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50" i="1" l="1"/>
  <c r="F31" i="1"/>
  <c r="K241" i="1"/>
  <c r="G97" i="1"/>
  <c r="G40" i="1"/>
  <c r="F460" i="1" l="1"/>
  <c r="F441" i="1"/>
  <c r="C10" i="12" l="1"/>
  <c r="B10" i="12"/>
  <c r="C11" i="12"/>
  <c r="B11" i="12"/>
  <c r="B12" i="12"/>
  <c r="C12" i="12"/>
  <c r="C38" i="12"/>
  <c r="B38" i="12"/>
  <c r="C19" i="12" l="1"/>
  <c r="B19" i="12"/>
  <c r="F15" i="13" l="1"/>
  <c r="F6" i="13"/>
  <c r="F5" i="13"/>
  <c r="E37" i="14" l="1"/>
  <c r="E25" i="14"/>
  <c r="D25" i="14"/>
  <c r="E5" i="14"/>
  <c r="D5" i="14"/>
  <c r="F22" i="1"/>
  <c r="J605" i="1"/>
  <c r="I605" i="1"/>
  <c r="H605" i="1"/>
  <c r="J594" i="1"/>
  <c r="J595" i="1"/>
  <c r="J593" i="1"/>
  <c r="I593" i="1"/>
  <c r="H593" i="1"/>
  <c r="H583" i="1"/>
  <c r="G529" i="1" l="1"/>
  <c r="J527" i="1"/>
  <c r="J529" i="1"/>
  <c r="J528" i="1"/>
  <c r="I529" i="1"/>
  <c r="I528" i="1"/>
  <c r="I527" i="1"/>
  <c r="H529" i="1"/>
  <c r="H528" i="1"/>
  <c r="H527" i="1"/>
  <c r="G528" i="1"/>
  <c r="G527" i="1"/>
  <c r="F529" i="1"/>
  <c r="F528" i="1"/>
  <c r="F527" i="1"/>
  <c r="K524" i="1"/>
  <c r="J524" i="1"/>
  <c r="I524" i="1"/>
  <c r="H524" i="1"/>
  <c r="G524" i="1"/>
  <c r="F524" i="1"/>
  <c r="K523" i="1"/>
  <c r="J523" i="1"/>
  <c r="I523" i="1"/>
  <c r="H523" i="1"/>
  <c r="G523" i="1"/>
  <c r="F523" i="1"/>
  <c r="K522" i="1"/>
  <c r="J522" i="1"/>
  <c r="I522" i="1"/>
  <c r="H522" i="1"/>
  <c r="G522" i="1"/>
  <c r="F522" i="1"/>
  <c r="I568" i="1" l="1"/>
  <c r="F568" i="1"/>
  <c r="F500" i="1" l="1"/>
  <c r="F499" i="1"/>
  <c r="H235" i="1" l="1"/>
  <c r="H217" i="1"/>
  <c r="H199" i="1"/>
  <c r="H278" i="1"/>
  <c r="F29" i="1"/>
  <c r="F24" i="1"/>
  <c r="F12" i="1"/>
  <c r="F36" i="1"/>
  <c r="G245" i="1"/>
  <c r="G227" i="1"/>
  <c r="G209" i="1"/>
  <c r="J245" i="1"/>
  <c r="J227" i="1"/>
  <c r="J209" i="1"/>
  <c r="I245" i="1"/>
  <c r="I227" i="1"/>
  <c r="I209" i="1"/>
  <c r="H245" i="1"/>
  <c r="H227" i="1"/>
  <c r="H209" i="1"/>
  <c r="F245" i="1"/>
  <c r="F227" i="1"/>
  <c r="F209" i="1"/>
  <c r="K245" i="1"/>
  <c r="K227" i="1"/>
  <c r="K209" i="1"/>
  <c r="H226" i="1"/>
  <c r="H244" i="1"/>
  <c r="H208" i="1"/>
  <c r="G244" i="1"/>
  <c r="G226" i="1"/>
  <c r="G208" i="1"/>
  <c r="I244" i="1"/>
  <c r="I226" i="1"/>
  <c r="I208" i="1"/>
  <c r="F244" i="1"/>
  <c r="F226" i="1"/>
  <c r="F208" i="1"/>
  <c r="J208" i="1"/>
  <c r="K242" i="1"/>
  <c r="K224" i="1"/>
  <c r="K206" i="1"/>
  <c r="J242" i="1"/>
  <c r="I242" i="1"/>
  <c r="I224" i="1"/>
  <c r="H224" i="1"/>
  <c r="H242" i="1"/>
  <c r="H206" i="1"/>
  <c r="F242" i="1"/>
  <c r="F224" i="1"/>
  <c r="F206" i="1"/>
  <c r="I241" i="1"/>
  <c r="H241" i="1"/>
  <c r="G241" i="1"/>
  <c r="F241" i="1"/>
  <c r="K223" i="1"/>
  <c r="I223" i="1"/>
  <c r="H223" i="1"/>
  <c r="G223" i="1"/>
  <c r="F223" i="1"/>
  <c r="H205" i="1"/>
  <c r="G205" i="1"/>
  <c r="F205" i="1"/>
  <c r="K205" i="1"/>
  <c r="I205" i="1"/>
  <c r="G240" i="1" l="1"/>
  <c r="G222" i="1"/>
  <c r="G204" i="1"/>
  <c r="J240" i="1"/>
  <c r="J222" i="1"/>
  <c r="J204" i="1"/>
  <c r="H240" i="1"/>
  <c r="H222" i="1"/>
  <c r="H204" i="1"/>
  <c r="F240" i="1"/>
  <c r="F222" i="1"/>
  <c r="F204" i="1"/>
  <c r="K240" i="1"/>
  <c r="I240" i="1"/>
  <c r="I222" i="1"/>
  <c r="I204" i="1"/>
  <c r="G239" i="1"/>
  <c r="G221" i="1"/>
  <c r="G203" i="1"/>
  <c r="J239" i="1"/>
  <c r="J221" i="1"/>
  <c r="I239" i="1"/>
  <c r="I221" i="1"/>
  <c r="H239" i="1"/>
  <c r="H221" i="1"/>
  <c r="F239" i="1"/>
  <c r="F221" i="1"/>
  <c r="J203" i="1"/>
  <c r="I203" i="1"/>
  <c r="H203" i="1"/>
  <c r="F203" i="1"/>
  <c r="G237" i="1"/>
  <c r="K239" i="1"/>
  <c r="K221" i="1"/>
  <c r="K203" i="1"/>
  <c r="F237" i="1"/>
  <c r="G219" i="1"/>
  <c r="F219" i="1"/>
  <c r="K237" i="1"/>
  <c r="K219" i="1"/>
  <c r="J237" i="1"/>
  <c r="J219" i="1"/>
  <c r="I237" i="1"/>
  <c r="I219" i="1"/>
  <c r="I201" i="1"/>
  <c r="H237" i="1"/>
  <c r="H219" i="1"/>
  <c r="G201" i="1"/>
  <c r="K201" i="1"/>
  <c r="F201" i="1"/>
  <c r="G217" i="1"/>
  <c r="G199" i="1"/>
  <c r="J199" i="1"/>
  <c r="I217" i="1"/>
  <c r="I199" i="1"/>
  <c r="F217" i="1"/>
  <c r="F199" i="1"/>
  <c r="G235" i="1"/>
  <c r="F235" i="1"/>
  <c r="K235" i="1"/>
  <c r="K217" i="1"/>
  <c r="K199" i="1"/>
  <c r="J235" i="1"/>
  <c r="J217" i="1"/>
  <c r="I235" i="1"/>
  <c r="G234" i="1"/>
  <c r="G216" i="1"/>
  <c r="G198" i="1"/>
  <c r="I234" i="1"/>
  <c r="I216" i="1"/>
  <c r="I198" i="1"/>
  <c r="H234" i="1"/>
  <c r="H216" i="1"/>
  <c r="H198" i="1"/>
  <c r="K234" i="1"/>
  <c r="K216" i="1"/>
  <c r="J234" i="1"/>
  <c r="J216" i="1"/>
  <c r="J198" i="1"/>
  <c r="F234" i="1"/>
  <c r="F216" i="1"/>
  <c r="F198" i="1"/>
  <c r="F469" i="1" l="1"/>
  <c r="F110" i="1"/>
  <c r="F101" i="1"/>
  <c r="F63" i="1"/>
  <c r="F68" i="1"/>
  <c r="I280" i="1" l="1"/>
  <c r="K299" i="1"/>
  <c r="J299" i="1"/>
  <c r="F299" i="1"/>
  <c r="H316" i="1"/>
  <c r="H297" i="1"/>
  <c r="K316" i="1"/>
  <c r="K297" i="1"/>
  <c r="K278" i="1"/>
  <c r="G301" i="1"/>
  <c r="F301" i="1"/>
  <c r="G320" i="1"/>
  <c r="G282" i="1"/>
  <c r="F320" i="1"/>
  <c r="F282" i="1"/>
  <c r="G297" i="1"/>
  <c r="F297" i="1"/>
  <c r="G278" i="1"/>
  <c r="F278" i="1"/>
  <c r="K321" i="1"/>
  <c r="K302" i="1"/>
  <c r="K283" i="1"/>
  <c r="H321" i="1"/>
  <c r="H302" i="1"/>
  <c r="H283" i="1"/>
  <c r="I315" i="1"/>
  <c r="I296" i="1"/>
  <c r="I277" i="1"/>
  <c r="G277" i="1"/>
  <c r="K277" i="1"/>
  <c r="I316" i="1"/>
  <c r="I297" i="1"/>
  <c r="I278" i="1"/>
  <c r="J316" i="1"/>
  <c r="J297" i="1"/>
  <c r="J278" i="1"/>
  <c r="F321" i="1"/>
  <c r="F302" i="1"/>
  <c r="F283" i="1"/>
  <c r="I321" i="1"/>
  <c r="I302" i="1"/>
  <c r="I283" i="1"/>
  <c r="G321" i="1"/>
  <c r="G302" i="1"/>
  <c r="G283" i="1"/>
  <c r="K280" i="1"/>
  <c r="J318" i="1"/>
  <c r="J280" i="1"/>
  <c r="F318" i="1"/>
  <c r="F280" i="1"/>
  <c r="H469" i="1"/>
  <c r="H130" i="1"/>
  <c r="H159" i="1"/>
  <c r="H155" i="1"/>
  <c r="H154" i="1"/>
  <c r="G473" i="1" l="1"/>
  <c r="J359" i="1"/>
  <c r="H368" i="1"/>
  <c r="G368" i="1"/>
  <c r="F368" i="1"/>
  <c r="G13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G651" i="1" s="1"/>
  <c r="L245" i="1"/>
  <c r="G652" i="1" s="1"/>
  <c r="G17" i="13"/>
  <c r="H17" i="13"/>
  <c r="G18" i="13"/>
  <c r="H18" i="13"/>
  <c r="L253" i="1"/>
  <c r="D18" i="13" s="1"/>
  <c r="C18" i="13" s="1"/>
  <c r="G19" i="13"/>
  <c r="H19" i="13"/>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5" i="1"/>
  <c r="L261" i="1"/>
  <c r="C131" i="2" s="1"/>
  <c r="L262" i="1"/>
  <c r="C132" i="2" s="1"/>
  <c r="L342" i="1"/>
  <c r="L343"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56" i="2" s="1"/>
  <c r="F79" i="1"/>
  <c r="C57" i="2" s="1"/>
  <c r="F94" i="1"/>
  <c r="F111" i="1"/>
  <c r="G111" i="1"/>
  <c r="H79" i="1"/>
  <c r="H94" i="1"/>
  <c r="E58" i="2" s="1"/>
  <c r="H111" i="1"/>
  <c r="I111" i="1"/>
  <c r="J111" i="1"/>
  <c r="J112" i="1" s="1"/>
  <c r="F121" i="1"/>
  <c r="F136" i="1"/>
  <c r="G121" i="1"/>
  <c r="G136" i="1"/>
  <c r="H121" i="1"/>
  <c r="H136" i="1"/>
  <c r="I121" i="1"/>
  <c r="I136" i="1"/>
  <c r="J121" i="1"/>
  <c r="J136" i="1"/>
  <c r="J140" i="1" s="1"/>
  <c r="F147" i="1"/>
  <c r="F170" i="1" s="1"/>
  <c r="G147" i="1"/>
  <c r="D85" i="2" s="1"/>
  <c r="H147" i="1"/>
  <c r="H170" i="1" s="1"/>
  <c r="I147" i="1"/>
  <c r="I170" i="1"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1" i="2"/>
  <c r="E123"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I257" i="1"/>
  <c r="J257" i="1"/>
  <c r="K257" i="1"/>
  <c r="F291" i="1"/>
  <c r="G291" i="1"/>
  <c r="H291" i="1"/>
  <c r="I291" i="1"/>
  <c r="F310" i="1"/>
  <c r="G310" i="1"/>
  <c r="H310" i="1"/>
  <c r="I310" i="1"/>
  <c r="F329" i="1"/>
  <c r="G329" i="1"/>
  <c r="H329" i="1"/>
  <c r="I329" i="1"/>
  <c r="F338" i="1"/>
  <c r="G338" i="1"/>
  <c r="H338" i="1"/>
  <c r="I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H471" i="1"/>
  <c r="I471" i="1"/>
  <c r="G475"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J572" i="1" s="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30" i="1"/>
  <c r="H631" i="1"/>
  <c r="H636" i="1"/>
  <c r="H637" i="1"/>
  <c r="G644" i="1"/>
  <c r="G645" i="1"/>
  <c r="G653" i="1"/>
  <c r="H653" i="1"/>
  <c r="G654" i="1"/>
  <c r="H654" i="1"/>
  <c r="G655" i="1"/>
  <c r="H655" i="1"/>
  <c r="H656" i="1"/>
  <c r="J656" i="1" s="1"/>
  <c r="G62" i="2"/>
  <c r="G646" i="1" l="1"/>
  <c r="H409" i="1"/>
  <c r="H645" i="1" s="1"/>
  <c r="I409" i="1"/>
  <c r="G409" i="1"/>
  <c r="H646" i="1" s="1"/>
  <c r="L402" i="1"/>
  <c r="C139" i="2" s="1"/>
  <c r="A40" i="12"/>
  <c r="J652" i="1"/>
  <c r="G553" i="1"/>
  <c r="C32" i="10"/>
  <c r="H663" i="1"/>
  <c r="D15" i="13"/>
  <c r="C15" i="13" s="1"/>
  <c r="C20" i="10"/>
  <c r="C121" i="2"/>
  <c r="C120" i="2"/>
  <c r="D6" i="13"/>
  <c r="C6" i="13" s="1"/>
  <c r="C112" i="2"/>
  <c r="J258" i="1"/>
  <c r="J272" i="1" s="1"/>
  <c r="C110" i="2"/>
  <c r="F258" i="1"/>
  <c r="F272" i="1" s="1"/>
  <c r="I112" i="1"/>
  <c r="C85" i="2"/>
  <c r="C91" i="2" s="1"/>
  <c r="E112" i="2"/>
  <c r="C12" i="10"/>
  <c r="A31" i="12"/>
  <c r="E111" i="2"/>
  <c r="C13" i="10"/>
  <c r="C11" i="10"/>
  <c r="E110" i="2"/>
  <c r="E119" i="2"/>
  <c r="K339" i="1"/>
  <c r="K353" i="1" s="1"/>
  <c r="G339" i="1"/>
  <c r="G353" i="1" s="1"/>
  <c r="H112" i="1"/>
  <c r="H194" i="1" s="1"/>
  <c r="G630" i="1" s="1"/>
  <c r="J630" i="1" s="1"/>
  <c r="H140" i="1"/>
  <c r="H193" i="1"/>
  <c r="D50" i="2"/>
  <c r="I370" i="1"/>
  <c r="H635" i="1" s="1"/>
  <c r="J635" i="1" s="1"/>
  <c r="G662" i="1"/>
  <c r="F339" i="1"/>
  <c r="F353" i="1" s="1"/>
  <c r="J642" i="1"/>
  <c r="L561" i="1"/>
  <c r="G462" i="1"/>
  <c r="H641" i="1" s="1"/>
  <c r="J641" i="1" s="1"/>
  <c r="E103" i="2"/>
  <c r="D18" i="2"/>
  <c r="L310" i="1"/>
  <c r="F462" i="1"/>
  <c r="H640" i="1" s="1"/>
  <c r="J640" i="1" s="1"/>
  <c r="K606" i="1"/>
  <c r="G649"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J620" i="1" s="1"/>
  <c r="G112" i="1"/>
  <c r="B10" i="16" s="1"/>
  <c r="E118" i="2"/>
  <c r="L248" i="1"/>
  <c r="D37" i="14" s="1"/>
  <c r="F37" i="14" s="1"/>
  <c r="F36" i="14" s="1"/>
  <c r="L212" i="1"/>
  <c r="H648" i="1"/>
  <c r="J645" i="1"/>
  <c r="G626" i="1"/>
  <c r="L530" i="1"/>
  <c r="G164" i="2"/>
  <c r="G161" i="2"/>
  <c r="G157" i="2"/>
  <c r="G156" i="2"/>
  <c r="G81" i="2"/>
  <c r="C78" i="2"/>
  <c r="C81" i="2" s="1"/>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J618" i="1"/>
  <c r="I25" i="13"/>
  <c r="K501" i="1"/>
  <c r="I461" i="1"/>
  <c r="I453" i="1"/>
  <c r="I447" i="1"/>
  <c r="G643" i="1" s="1"/>
  <c r="H339" i="1"/>
  <c r="H353" i="1" s="1"/>
  <c r="C123" i="2"/>
  <c r="E109" i="2"/>
  <c r="C56" i="2"/>
  <c r="F663" i="1"/>
  <c r="C25" i="10"/>
  <c r="C21" i="10"/>
  <c r="C17" i="10"/>
  <c r="D14" i="13"/>
  <c r="C14" i="13" s="1"/>
  <c r="C62" i="2"/>
  <c r="L540" i="1"/>
  <c r="K504" i="1"/>
  <c r="L383" i="1"/>
  <c r="G637" i="1" s="1"/>
  <c r="J637" i="1" s="1"/>
  <c r="G258" i="1"/>
  <c r="G272" i="1" s="1"/>
  <c r="C142" i="2"/>
  <c r="C111" i="2"/>
  <c r="H662" i="1"/>
  <c r="C15" i="10"/>
  <c r="A13" i="12"/>
  <c r="D29" i="13"/>
  <c r="C29" i="13" s="1"/>
  <c r="D12" i="13"/>
  <c r="C12" i="13" s="1"/>
  <c r="D5" i="13"/>
  <c r="C5" i="13" s="1"/>
  <c r="E8" i="13"/>
  <c r="C8" i="13" s="1"/>
  <c r="C35" i="10"/>
  <c r="G650" i="1"/>
  <c r="J650" i="1" s="1"/>
  <c r="L545" i="1"/>
  <c r="L525" i="1"/>
  <c r="D127" i="2"/>
  <c r="D128" i="2" s="1"/>
  <c r="D145" i="2" s="1"/>
  <c r="C124" i="2"/>
  <c r="C122" i="2"/>
  <c r="C118" i="2"/>
  <c r="C19" i="10"/>
  <c r="C16" i="10"/>
  <c r="D7" i="13"/>
  <c r="C7" i="13" s="1"/>
  <c r="E16" i="13"/>
  <c r="C16" i="13" s="1"/>
  <c r="C10" i="10"/>
  <c r="C109" i="2"/>
  <c r="L230" i="1"/>
  <c r="F62" i="2"/>
  <c r="F63" i="2" s="1"/>
  <c r="C23" i="10"/>
  <c r="G163" i="2"/>
  <c r="G162" i="2"/>
  <c r="G160" i="2"/>
  <c r="G159" i="2"/>
  <c r="G158" i="2"/>
  <c r="G103" i="2"/>
  <c r="F103" i="2"/>
  <c r="C103" i="2"/>
  <c r="F91" i="2"/>
  <c r="E50" i="2"/>
  <c r="C50" i="2"/>
  <c r="F31" i="2"/>
  <c r="C31" i="2"/>
  <c r="E18" i="2"/>
  <c r="E144" i="2"/>
  <c r="F50" i="2"/>
  <c r="H31" i="13"/>
  <c r="H33" i="13" s="1"/>
  <c r="I339" i="1"/>
  <c r="I353" i="1" s="1"/>
  <c r="J651" i="1"/>
  <c r="L408" i="1"/>
  <c r="C140" i="2" s="1"/>
  <c r="I193" i="1"/>
  <c r="E91" i="2"/>
  <c r="J655" i="1"/>
  <c r="J654" i="1"/>
  <c r="G21" i="2"/>
  <c r="G31" i="2" s="1"/>
  <c r="J32" i="1"/>
  <c r="J435" i="1"/>
  <c r="F435" i="1"/>
  <c r="K435" i="1"/>
  <c r="G134" i="2" s="1"/>
  <c r="G144" i="2" s="1"/>
  <c r="G145" i="2" s="1"/>
  <c r="J194" i="1"/>
  <c r="G647" i="1" s="1"/>
  <c r="G140" i="1"/>
  <c r="B11" i="16" s="1"/>
  <c r="F140" i="1"/>
  <c r="G63" i="2"/>
  <c r="J619" i="1"/>
  <c r="G42" i="2"/>
  <c r="J51" i="1"/>
  <c r="G16" i="2"/>
  <c r="G18" i="2" s="1"/>
  <c r="J19" i="1"/>
  <c r="G622" i="1" s="1"/>
  <c r="F546" i="1"/>
  <c r="H435" i="1"/>
  <c r="D103" i="2"/>
  <c r="I140" i="1"/>
  <c r="A22" i="12"/>
  <c r="G50" i="2"/>
  <c r="J653" i="1"/>
  <c r="G572" i="1"/>
  <c r="I435" i="1"/>
  <c r="G435" i="1"/>
  <c r="I664" i="1"/>
  <c r="D51" i="2" l="1"/>
  <c r="C141" i="2"/>
  <c r="L533" i="1"/>
  <c r="H551" i="1" s="1"/>
  <c r="K551" i="1" s="1"/>
  <c r="I535" i="1"/>
  <c r="I546" i="1" s="1"/>
  <c r="L534" i="1"/>
  <c r="H535" i="1"/>
  <c r="H546" i="1" s="1"/>
  <c r="L572" i="1"/>
  <c r="I663" i="1"/>
  <c r="L256" i="1"/>
  <c r="H661" i="1"/>
  <c r="H665" i="1" s="1"/>
  <c r="H668" i="1" s="1"/>
  <c r="F51" i="2"/>
  <c r="E128" i="2"/>
  <c r="F194" i="1"/>
  <c r="E51" i="2"/>
  <c r="F661" i="1"/>
  <c r="F665" i="1" s="1"/>
  <c r="F668" i="1" s="1"/>
  <c r="L334" i="1"/>
  <c r="G24" i="14"/>
  <c r="H24" i="14" s="1"/>
  <c r="I24" i="14" s="1"/>
  <c r="G36" i="14"/>
  <c r="H36" i="14" s="1"/>
  <c r="I36" i="14" s="1"/>
  <c r="E104" i="2"/>
  <c r="C36" i="10"/>
  <c r="L435" i="1"/>
  <c r="I662" i="1"/>
  <c r="G104" i="2"/>
  <c r="I194" i="1"/>
  <c r="G631" i="1" s="1"/>
  <c r="J631" i="1" s="1"/>
  <c r="G636" i="1"/>
  <c r="J636" i="1" s="1"/>
  <c r="G51" i="2"/>
  <c r="D104" i="2"/>
  <c r="L409" i="1"/>
  <c r="J469" i="1" s="1"/>
  <c r="C27" i="10"/>
  <c r="G4" i="14"/>
  <c r="H4" i="14" s="1"/>
  <c r="I4" i="14" s="1"/>
  <c r="J626" i="1"/>
  <c r="F104" i="2"/>
  <c r="B14" i="16"/>
  <c r="B22" i="16" s="1"/>
  <c r="G628" i="1"/>
  <c r="J628" i="1" s="1"/>
  <c r="E33" i="13"/>
  <c r="D35" i="13" s="1"/>
  <c r="J648" i="1"/>
  <c r="C63" i="2"/>
  <c r="C104" i="2" s="1"/>
  <c r="C39" i="10"/>
  <c r="C128" i="2"/>
  <c r="I462" i="1"/>
  <c r="H643" i="1" s="1"/>
  <c r="J643" i="1" s="1"/>
  <c r="G661" i="1"/>
  <c r="G665" i="1" s="1"/>
  <c r="G673" i="1" s="1"/>
  <c r="C5" i="10" s="1"/>
  <c r="C25" i="13"/>
  <c r="I33" i="13"/>
  <c r="C51" i="2"/>
  <c r="G632" i="1"/>
  <c r="G194" i="1"/>
  <c r="G627" i="1"/>
  <c r="J52" i="1"/>
  <c r="H622" i="1" s="1"/>
  <c r="J622" i="1" s="1"/>
  <c r="C38" i="10"/>
  <c r="J471" i="1" l="1"/>
  <c r="H632" i="1"/>
  <c r="J632" i="1" s="1"/>
  <c r="H638" i="1"/>
  <c r="G639" i="1"/>
  <c r="J473" i="1"/>
  <c r="H552" i="1"/>
  <c r="L535" i="1"/>
  <c r="L546" i="1" s="1"/>
  <c r="C130" i="2"/>
  <c r="C144" i="2" s="1"/>
  <c r="G22" i="13"/>
  <c r="C22" i="13" s="1"/>
  <c r="C29" i="10"/>
  <c r="L254" i="1"/>
  <c r="D19" i="13" s="1"/>
  <c r="C19" i="13" s="1"/>
  <c r="H257" i="1"/>
  <c r="H258" i="1" s="1"/>
  <c r="H272" i="1" s="1"/>
  <c r="L252" i="1"/>
  <c r="D17" i="13" s="1"/>
  <c r="C17" i="13" s="1"/>
  <c r="J338" i="1"/>
  <c r="G629" i="1"/>
  <c r="G469" i="1"/>
  <c r="H673" i="1"/>
  <c r="C6" i="10" s="1"/>
  <c r="F673" i="1"/>
  <c r="C4" i="10" s="1"/>
  <c r="I661" i="1"/>
  <c r="I665" i="1" s="1"/>
  <c r="I673" i="1" s="1"/>
  <c r="C7" i="10" s="1"/>
  <c r="G668" i="1"/>
  <c r="G638" i="1"/>
  <c r="H647" i="1"/>
  <c r="J647" i="1" s="1"/>
  <c r="C41" i="10"/>
  <c r="D38" i="10" s="1"/>
  <c r="J638" i="1" l="1"/>
  <c r="H639" i="1"/>
  <c r="J639" i="1" s="1"/>
  <c r="J475" i="1"/>
  <c r="J477" i="1" s="1"/>
  <c r="H627" i="1" s="1"/>
  <c r="J627" i="1" s="1"/>
  <c r="H553" i="1"/>
  <c r="K552" i="1"/>
  <c r="K553" i="1" s="1"/>
  <c r="L257" i="1"/>
  <c r="L258" i="1" s="1"/>
  <c r="L272" i="1" s="1"/>
  <c r="F473" i="1" s="1"/>
  <c r="C114" i="2"/>
  <c r="C115" i="2" s="1"/>
  <c r="C145" i="2" s="1"/>
  <c r="L336" i="1"/>
  <c r="G31" i="13"/>
  <c r="G33" i="13" s="1"/>
  <c r="J339" i="1"/>
  <c r="L338" i="1"/>
  <c r="L339" i="1" s="1"/>
  <c r="L353" i="1" s="1"/>
  <c r="E114" i="2"/>
  <c r="E115" i="2" s="1"/>
  <c r="E145" i="2" s="1"/>
  <c r="H629" i="1"/>
  <c r="J629" i="1" s="1"/>
  <c r="G471" i="1"/>
  <c r="G477" i="1" s="1"/>
  <c r="I668" i="1"/>
  <c r="D37" i="10"/>
  <c r="D36" i="10"/>
  <c r="D35" i="10"/>
  <c r="D40" i="10"/>
  <c r="D39" i="10"/>
  <c r="G633" i="1" l="1"/>
  <c r="G634" i="1"/>
  <c r="H473" i="1"/>
  <c r="D31" i="13"/>
  <c r="C31" i="13" s="1"/>
  <c r="C24" i="10"/>
  <c r="C28" i="10" s="1"/>
  <c r="D24" i="10" s="1"/>
  <c r="J353" i="1"/>
  <c r="H649" i="1"/>
  <c r="J649" i="1" s="1"/>
  <c r="B33" i="16"/>
  <c r="H624" i="1"/>
  <c r="D41" i="10"/>
  <c r="H633" i="1" l="1"/>
  <c r="J633" i="1" s="1"/>
  <c r="F475" i="1"/>
  <c r="F477" i="1" s="1"/>
  <c r="H623" i="1" s="1"/>
  <c r="J623" i="1" s="1"/>
  <c r="H634" i="1"/>
  <c r="J634" i="1" s="1"/>
  <c r="H475" i="1"/>
  <c r="H477" i="1" s="1"/>
  <c r="H625" i="1" s="1"/>
  <c r="J625" i="1" s="1"/>
  <c r="D33" i="13"/>
  <c r="D36" i="13" s="1"/>
  <c r="D23" i="10"/>
  <c r="D27" i="10"/>
  <c r="D20" i="10"/>
  <c r="D17" i="10"/>
  <c r="C30" i="10"/>
  <c r="D15" i="10"/>
  <c r="D11" i="10"/>
  <c r="D19" i="10"/>
  <c r="D16" i="10"/>
  <c r="D22" i="10"/>
  <c r="D21" i="10"/>
  <c r="D12" i="10"/>
  <c r="D10" i="10"/>
  <c r="D25" i="10"/>
  <c r="D18" i="10"/>
  <c r="D13" i="10"/>
  <c r="D26" i="10"/>
  <c r="J624" i="1"/>
  <c r="H657" i="1" l="1"/>
  <c r="D28"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<sst xmlns="http://schemas.openxmlformats.org/spreadsheetml/2006/main" count="5547" uniqueCount="1645">
  <si>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</si>
  <si>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</si>
  <si>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</si>
  <si>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</si>
  <si>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</si>
  <si>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</si>
  <si>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</si>
  <si>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</si>
  <si>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</si>
  <si>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</si>
  <si>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</si>
  <si>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</si>
  <si>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</si>
  <si>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</si>
  <si>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</si>
  <si>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</si>
  <si>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</si>
  <si>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</si>
  <si>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</si>
  <si>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</si>
  <si>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</si>
  <si>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</si>
  <si>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</si>
  <si>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</si>
  <si>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</si>
  <si>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</si>
  <si>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</si>
  <si>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</si>
  <si>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</si>
  <si>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</si>
  <si>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</si>
  <si>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</si>
  <si>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</si>
  <si>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</si>
  <si>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</si>
  <si>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</si>
  <si>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</si>
  <si>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</si>
  <si>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</si>
  <si>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</si>
  <si>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</si>
  <si>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</si>
  <si>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</si>
  <si>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</si>
  <si>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</si>
  <si>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</si>
  <si>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</si>
  <si>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</si>
  <si>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</si>
  <si>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</si>
  <si>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</si>
  <si>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</si>
  <si>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</si>
  <si>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</si>
  <si>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</si>
  <si>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</si>
  <si>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</si>
  <si>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</si>
  <si>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</si>
  <si>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</si>
  <si>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</si>
  <si>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</si>
  <si>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</si>
  <si>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</si>
  <si>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</si>
  <si>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</si>
  <si>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</si>
  <si>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</si>
  <si>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</si>
  <si>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</si>
  <si>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</si>
  <si>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</si>
  <si>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</si>
  <si>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</si>
  <si>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</si>
  <si>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</si>
  <si>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</si>
  <si>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</si>
  <si>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</si>
  <si>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</si>
  <si>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</si>
  <si>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</si>
  <si>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</si>
  <si>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</si>
  <si>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</si>
  <si>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</si>
  <si>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</si>
  <si>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</si>
  <si>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</si>
  <si>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</si>
  <si>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</si>
  <si>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</si>
  <si>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</si>
  <si>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</si>
  <si>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</si>
  <si>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</si>
  <si>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</si>
  <si>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</si>
  <si>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</si>
  <si>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</si>
  <si>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</si>
  <si>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</si>
  <si>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</si>
  <si>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</si>
  <si>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</si>
  <si>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</si>
  <si>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</si>
  <si>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</si>
  <si>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</si>
  <si>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</si>
  <si>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</si>
  <si>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</si>
  <si>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</si>
  <si>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</si>
  <si>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</si>
  <si>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</si>
  <si>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</si>
  <si>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</si>
  <si>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</si>
  <si>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</si>
  <si>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</si>
  <si>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</si>
  <si>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</si>
  <si>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</si>
  <si>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</si>
  <si>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</si>
  <si>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</si>
  <si>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</si>
  <si>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</si>
  <si>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</si>
  <si>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</si>
  <si>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</si>
  <si>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</si>
  <si>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</si>
  <si>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</si>
  <si>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</si>
  <si>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</si>
  <si>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</si>
  <si>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</si>
  <si>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</si>
  <si>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</si>
  <si>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</si>
  <si>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</si>
  <si>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</si>
  <si>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</si>
  <si>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</si>
  <si>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</si>
  <si>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</si>
  <si>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</si>
  <si>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</si>
  <si>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</si>
  <si>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</si>
  <si>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</si>
  <si>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</si>
  <si>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</si>
  <si>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</si>
  <si>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</si>
  <si>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</si>
  <si>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</si>
  <si>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</si>
  <si>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</si>
  <si>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</si>
  <si>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</si>
  <si>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</si>
  <si>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</si>
  <si>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</si>
  <si>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</si>
  <si>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</si>
  <si>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</si>
  <si>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</si>
  <si>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</si>
  <si>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</si>
  <si>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</si>
  <si>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</si>
  <si>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</si>
  <si>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</si>
  <si>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</si>
  <si>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</si>
  <si>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</si>
  <si>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</si>
  <si>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</si>
  <si>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</si>
  <si>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</si>
  <si>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</si>
  <si>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</si>
  <si>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</si>
  <si>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</si>
  <si>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</si>
  <si>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</si>
  <si>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</si>
  <si>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</si>
  <si>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</si>
  <si>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</si>
  <si>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</si>
  <si>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</si>
  <si>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</si>
  <si>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</si>
  <si>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</si>
  <si>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</si>
  <si>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</si>
  <si>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</si>
  <si>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</si>
  <si>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</si>
  <si>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</si>
  <si>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</si>
  <si>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</si>
  <si>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</si>
  <si>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</si>
  <si>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</si>
  <si>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</si>
  <si>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</si>
  <si>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</si>
  <si>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</si>
  <si>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</si>
  <si>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</si>
  <si>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</si>
  <si>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</si>
  <si>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</si>
  <si>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</si>
  <si>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</si>
  <si>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</si>
  <si>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</si>
  <si>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</si>
  <si>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</si>
  <si>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</si>
  <si>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</si>
  <si>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</si>
  <si>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</si>
  <si>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</si>
  <si>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</si>
  <si>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</si>
  <si>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</si>
  <si>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</si>
  <si>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</si>
  <si>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</si>
  <si>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</si>
  <si>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</si>
  <si>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</si>
  <si>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</si>
  <si>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</si>
  <si>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</si>
  <si>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</si>
  <si>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</si>
  <si>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</si>
  <si>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</si>
  <si>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</si>
  <si>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</si>
  <si>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</si>
  <si>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</si>
  <si>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</si>
  <si>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</si>
  <si>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</si>
  <si>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</si>
  <si>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</si>
  <si>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</si>
  <si>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</si>
  <si>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</si>
  <si>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</si>
  <si>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</si>
  <si>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</si>
  <si>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</si>
  <si>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</si>
  <si>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</si>
  <si>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</si>
  <si>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</si>
  <si>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</si>
  <si>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</si>
  <si>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</si>
  <si>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</si>
  <si>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</si>
  <si>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</si>
  <si>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</si>
  <si>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</si>
  <si>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</si>
  <si>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</si>
  <si>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</si>
  <si>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</si>
  <si>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</si>
  <si>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</si>
  <si>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</si>
  <si>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</si>
  <si>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</si>
  <si>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</si>
  <si>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</si>
  <si>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</si>
  <si>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</si>
  <si>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</si>
  <si>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</si>
  <si>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</si>
  <si>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</si>
  <si>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</si>
  <si>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</si>
  <si>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</si>
  <si>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</si>
  <si>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</si>
  <si>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</si>
  <si>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</si>
  <si>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</si>
  <si>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</si>
  <si>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</si>
  <si>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</si>
  <si>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</si>
  <si>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</si>
  <si>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</si>
  <si>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</si>
  <si>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</si>
  <si>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</si>
  <si>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</si>
  <si>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</si>
  <si>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</si>
  <si>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</si>
  <si>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</si>
  <si>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</si>
  <si>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</si>
  <si>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</si>
  <si>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</si>
  <si>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</si>
  <si>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</si>
  <si>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</si>
  <si>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</si>
  <si>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</si>
  <si>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</si>
  <si>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</si>
  <si>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</si>
  <si>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</si>
  <si>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</si>
  <si>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</si>
  <si>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</si>
  <si>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</si>
  <si>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</si>
  <si>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</si>
  <si>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</si>
  <si>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</si>
  <si>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</si>
  <si>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</si>
  <si>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</si>
  <si>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</si>
  <si>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</si>
  <si>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</si>
  <si>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</si>
  <si>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</si>
  <si>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</si>
  <si>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</si>
  <si>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</si>
  <si>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</si>
  <si>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</si>
  <si>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</si>
  <si>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</si>
  <si>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</si>
  <si>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</si>
  <si>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</si>
  <si>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</si>
  <si>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</si>
  <si>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</si>
  <si>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</si>
  <si>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</si>
  <si>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</si>
  <si>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</si>
  <si>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</si>
  <si>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</si>
  <si>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</si>
  <si>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</si>
  <si>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</si>
  <si>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</si>
  <si>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</si>
  <si>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</si>
  <si>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</si>
  <si>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</si>
  <si>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</si>
  <si>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</si>
  <si>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</si>
  <si>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</si>
  <si>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</si>
  <si>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</si>
  <si>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</si>
  <si>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</si>
  <si>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</si>
  <si>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</si>
  <si>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</si>
  <si>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</si>
  <si>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</si>
  <si>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</si>
  <si>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</si>
  <si>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</si>
  <si>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</si>
  <si>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</si>
  <si>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</si>
  <si>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</si>
  <si>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</si>
  <si>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</si>
  <si>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</si>
  <si>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</si>
  <si>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</si>
  <si>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</si>
  <si>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</si>
  <si>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</si>
  <si>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</si>
  <si>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</si>
  <si>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</si>
  <si>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</si>
  <si>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</si>
  <si>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</si>
  <si>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</si>
  <si>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</si>
  <si>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</si>
  <si>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</si>
  <si>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</si>
  <si>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</si>
  <si>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</si>
  <si>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</si>
  <si>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</si>
  <si>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</si>
  <si>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</si>
  <si>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</si>
  <si>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</si>
  <si>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</si>
  <si>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</si>
  <si>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</si>
  <si>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</si>
  <si>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</si>
  <si>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</si>
  <si>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</si>
  <si>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</si>
  <si>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</si>
  <si>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</si>
  <si>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</si>
  <si>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</si>
  <si>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</si>
  <si>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</si>
  <si>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</si>
  <si>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</si>
  <si>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</si>
  <si>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</si>
  <si>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</si>
  <si>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</si>
  <si>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</si>
  <si>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</si>
  <si>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</si>
  <si>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</si>
  <si>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</si>
  <si>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</si>
  <si>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</si>
  <si>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</si>
  <si>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</si>
  <si>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</si>
  <si>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</si>
  <si>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</si>
  <si>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</si>
  <si>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</si>
  <si>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</si>
  <si>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</si>
  <si>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</si>
  <si>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</si>
  <si>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</si>
  <si>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</si>
  <si>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</si>
  <si>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</si>
  <si>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</si>
  <si>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</si>
  <si>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</si>
  <si>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</si>
  <si>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</si>
  <si>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</si>
  <si>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</si>
  <si>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</si>
  <si>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</si>
  <si>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</si>
  <si>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</si>
  <si>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</si>
  <si>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</si>
  <si>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</si>
  <si>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</si>
  <si>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</si>
  <si>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</si>
  <si>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</si>
  <si>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</si>
  <si>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</si>
  <si>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</si>
  <si>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</si>
  <si>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</si>
  <si>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</si>
  <si>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</si>
  <si>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</si>
  <si>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</si>
  <si>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</si>
  <si>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</si>
  <si>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</si>
  <si>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</si>
  <si>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</si>
  <si>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</si>
  <si>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</si>
  <si>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</si>
  <si>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</si>
  <si>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</si>
  <si>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</si>
  <si>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</si>
  <si>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</si>
  <si>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</si>
  <si>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</si>
  <si>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</si>
  <si>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</si>
  <si>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</si>
  <si>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</si>
  <si>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</si>
  <si>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</si>
  <si>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</si>
  <si>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</si>
  <si>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</si>
  <si>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</si>
  <si>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</si>
  <si>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</si>
  <si>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</si>
  <si>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</si>
  <si>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</si>
  <si>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</si>
  <si>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</si>
  <si>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</si>
  <si>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</si>
  <si>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</si>
  <si>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</si>
  <si>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</si>
  <si>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</si>
  <si>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</si>
  <si>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</si>
  <si>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</si>
  <si>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</si>
  <si>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</si>
  <si>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</si>
  <si>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</si>
  <si>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</si>
  <si>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</si>
  <si>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</si>
  <si>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</si>
  <si>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</si>
  <si>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</si>
  <si>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</si>
  <si>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</si>
  <si>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</si>
  <si>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</si>
  <si>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</si>
  <si>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</si>
  <si>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</si>
  <si>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</si>
  <si>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</si>
  <si>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</si>
  <si>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</si>
  <si>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</si>
  <si>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</si>
  <si>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</si>
  <si>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</si>
  <si>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</si>
  <si>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</si>
  <si>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</si>
  <si>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</si>
  <si>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</si>
  <si>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</si>
  <si>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</si>
  <si>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</si>
  <si>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</si>
  <si>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</si>
  <si>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</si>
  <si>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</si>
  <si>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</si>
  <si>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</si>
  <si>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</si>
  <si>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</si>
  <si>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</si>
  <si>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</si>
  <si>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</si>
  <si>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</si>
  <si>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</si>
  <si>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</si>
  <si>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</si>
  <si>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</si>
  <si>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</si>
  <si>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</si>
  <si>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</si>
  <si>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</si>
  <si>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</si>
  <si>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</si>
  <si>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</si>
  <si>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</si>
  <si>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</si>
  <si>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</si>
  <si>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</si>
  <si>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</si>
  <si>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</si>
  <si>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</si>
  <si>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</si>
  <si>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</si>
  <si>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</si>
  <si>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</si>
  <si>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</si>
  <si>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</si>
  <si>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</si>
  <si>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</si>
  <si>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</si>
  <si>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</si>
  <si>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</si>
  <si>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</si>
  <si>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</si>
  <si>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</si>
  <si>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</si>
  <si>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</si>
  <si>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</si>
  <si>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</si>
  <si>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</si>
  <si>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</si>
  <si>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</si>
  <si>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</si>
  <si>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</si>
  <si>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</si>
  <si>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</si>
  <si>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</si>
  <si>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</si>
  <si>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</si>
  <si>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</si>
  <si>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</si>
  <si>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</si>
  <si>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</si>
  <si>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</si>
  <si>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</si>
  <si>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</si>
  <si>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</si>
  <si>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</si>
  <si>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</si>
  <si>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</si>
  <si>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</si>
  <si>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</si>
  <si>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</si>
  <si>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</si>
  <si>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</si>
  <si>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</si>
  <si>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</si>
  <si>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</si>
  <si>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</si>
  <si>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</si>
  <si>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</si>
  <si>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</si>
  <si>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</si>
  <si>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</si>
  <si>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</si>
  <si>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</si>
  <si>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</si>
  <si>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</si>
  <si>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</si>
  <si>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</si>
  <si>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</si>
  <si>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</si>
  <si>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</si>
  <si>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</si>
  <si>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</si>
  <si>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</si>
  <si>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</si>
  <si>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</si>
  <si>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</si>
  <si>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</si>
  <si>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</si>
  <si>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</si>
  <si>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</si>
  <si>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</si>
  <si>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</si>
  <si>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</si>
  <si>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</si>
  <si>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</si>
  <si>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</si>
  <si>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</si>
  <si>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</si>
  <si>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</si>
  <si>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</si>
  <si>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</si>
  <si>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</si>
  <si>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</si>
  <si>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</si>
  <si>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</si>
  <si>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</si>
  <si>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</si>
  <si>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</si>
  <si>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</si>
  <si>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</si>
  <si>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</si>
  <si>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</si>
  <si>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</si>
  <si>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</si>
  <si>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</si>
  <si>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</si>
  <si>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</si>
  <si>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</si>
  <si>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</si>
  <si>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</si>
  <si>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</si>
  <si>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</si>
  <si>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</si>
  <si>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</si>
  <si>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</si>
  <si>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</si>
  <si>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</si>
  <si>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</si>
  <si>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</si>
  <si>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</si>
  <si>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</si>
  <si>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</si>
  <si>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</si>
  <si>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</si>
  <si>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</si>
  <si>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</si>
  <si>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</si>
  <si>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</si>
  <si>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</si>
  <si>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</si>
  <si>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</si>
  <si>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</si>
  <si>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</si>
  <si>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</si>
  <si>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</si>
  <si>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</si>
  <si>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</si>
  <si>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</si>
  <si>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</si>
  <si>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</si>
  <si>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</si>
  <si>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</si>
  <si>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</si>
  <si>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</si>
  <si>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</si>
  <si>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</si>
  <si>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</si>
  <si>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</si>
  <si>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</si>
  <si>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</si>
  <si>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</si>
  <si>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</si>
  <si>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</si>
  <si>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</si>
  <si>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</si>
  <si>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</si>
  <si>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</si>
  <si>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</si>
  <si>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</si>
  <si>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</si>
  <si>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</si>
  <si>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</si>
  <si>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</si>
  <si>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</si>
  <si>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</si>
  <si>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</si>
  <si>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</si>
  <si>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</si>
  <si>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</si>
  <si>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</si>
  <si>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</si>
  <si>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</si>
  <si>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</si>
  <si>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</si>
  <si>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</si>
  <si>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</si>
  <si>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</si>
  <si>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</si>
  <si>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</si>
  <si>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</si>
  <si>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</si>
  <si>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</si>
  <si>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</si>
  <si>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</si>
  <si>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</si>
  <si>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</si>
  <si>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</si>
  <si>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</si>
  <si>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</si>
  <si>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</si>
  <si>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</si>
  <si>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</si>
  <si>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</si>
  <si>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</si>
  <si>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</si>
  <si>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</si>
  <si>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</si>
  <si>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</si>
  <si>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</si>
  <si>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</si>
  <si>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</si>
  <si>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</si>
  <si>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</si>
  <si>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</si>
  <si>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</si>
  <si>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</si>
  <si>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</si>
  <si>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</si>
  <si>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</si>
  <si>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</si>
  <si>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</si>
  <si>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</si>
  <si>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</si>
  <si>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</si>
  <si>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</si>
  <si>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</si>
  <si>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</si>
  <si>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</si>
  <si>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</si>
  <si>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</si>
  <si>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</si>
  <si>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</si>
  <si>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</si>
  <si>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</si>
  <si>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</si>
  <si>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</si>
  <si>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</si>
  <si>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</si>
  <si>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</si>
  <si>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</si>
  <si>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</si>
  <si>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</si>
  <si>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</si>
  <si>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</si>
  <si>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</si>
  <si>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</si>
  <si>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</si>
  <si>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</si>
  <si>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</si>
  <si>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</si>
  <si>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</si>
  <si>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</si>
  <si>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</si>
  <si>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</si>
  <si>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</si>
  <si>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</si>
  <si>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</si>
  <si>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</si>
  <si>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</si>
  <si>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</si>
  <si>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</si>
  <si>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</si>
  <si>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</si>
  <si>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</si>
  <si>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</si>
  <si>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</si>
  <si>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</si>
  <si>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</si>
  <si>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</si>
  <si>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</si>
  <si>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</si>
  <si>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</si>
  <si>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</si>
  <si>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</si>
  <si>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</si>
  <si>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</si>
  <si>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</si>
  <si>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</si>
  <si>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</si>
  <si>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</si>
  <si>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</si>
  <si>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</si>
  <si>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</si>
  <si>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</si>
  <si>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</si>
  <si>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</si>
  <si>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</si>
  <si>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</si>
  <si>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</si>
  <si>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</si>
  <si>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</si>
  <si>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</si>
  <si>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</si>
  <si>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</si>
  <si>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</si>
  <si>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</si>
  <si>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</si>
  <si>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</si>
  <si>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</si>
  <si>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</si>
  <si>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</si>
  <si>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</si>
  <si>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</si>
  <si>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</si>
  <si>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</si>
  <si>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</si>
  <si>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</si>
  <si>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</si>
  <si>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</si>
  <si>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</si>
  <si>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</si>
  <si>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</si>
  <si>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</si>
  <si>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</si>
  <si>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</si>
  <si>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</si>
  <si>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</si>
  <si>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</si>
  <si>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</si>
  <si>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</si>
  <si>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</si>
  <si>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</si>
  <si>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</si>
  <si>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</si>
  <si>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</si>
  <si>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</si>
  <si>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</si>
  <si>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</si>
  <si>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</si>
  <si>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</si>
  <si>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</si>
  <si>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</si>
  <si>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</si>
  <si>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</si>
  <si>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</si>
  <si>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</si>
  <si>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</si>
  <si>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</si>
  <si>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</si>
  <si>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</si>
  <si>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</si>
  <si>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</si>
  <si>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</si>
  <si>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</si>
  <si>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</si>
  <si>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</si>
  <si>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</si>
  <si>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</si>
  <si>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</si>
  <si>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</si>
  <si>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</si>
  <si>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</si>
  <si>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</si>
  <si>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</si>
  <si>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</si>
  <si>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</si>
  <si>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</si>
  <si>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</si>
  <si>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</si>
  <si>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</si>
  <si>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</si>
  <si>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</si>
  <si>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</si>
  <si>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</si>
  <si>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</si>
  <si>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</si>
  <si>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</si>
  <si>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</si>
  <si>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</si>
  <si>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</si>
  <si>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</si>
  <si>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</si>
  <si>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</si>
  <si>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</si>
  <si>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</si>
  <si>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</si>
  <si>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</si>
  <si>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</si>
  <si>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</si>
  <si>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</si>
  <si>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</si>
  <si>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</si>
  <si>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</si>
  <si>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</si>
  <si>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</si>
  <si>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</si>
  <si>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</si>
  <si>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</si>
  <si>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</si>
  <si>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</si>
  <si>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</si>
  <si>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</si>
  <si>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</si>
  <si>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</si>
  <si>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</si>
  <si>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</si>
  <si>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</si>
  <si>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</si>
  <si>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</si>
  <si>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</si>
  <si>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</si>
  <si>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</si>
  <si>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</si>
  <si>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</si>
  <si>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</si>
  <si>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</si>
  <si>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</si>
  <si>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</si>
  <si>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</si>
  <si>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</si>
  <si>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</si>
  <si>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</si>
  <si>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</si>
  <si>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</si>
  <si>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</si>
  <si>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</si>
  <si>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</si>
  <si>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</si>
  <si>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</si>
  <si>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</si>
  <si>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</si>
  <si>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</si>
  <si>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</si>
  <si>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</si>
  <si>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</si>
  <si>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</si>
  <si>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</si>
  <si>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</si>
  <si>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</si>
  <si>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</si>
  <si>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</si>
  <si>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</si>
  <si>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</si>
  <si>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</si>
  <si>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</si>
  <si>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</si>
  <si>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</si>
  <si>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</si>
  <si>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</si>
  <si>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</si>
  <si>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</si>
  <si>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</si>
  <si>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</si>
  <si>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</si>
  <si>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</si>
  <si>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</si>
  <si>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</si>
  <si>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</si>
  <si>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</si>
  <si>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</si>
  <si>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</si>
  <si>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</si>
  <si>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</si>
  <si>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</si>
  <si>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</si>
  <si>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</si>
  <si>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</si>
  <si>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</si>
  <si>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</si>
  <si>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</si>
  <si>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</si>
  <si>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</si>
  <si>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</si>
  <si>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</si>
  <si>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</si>
  <si>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</si>
  <si>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</si>
  <si>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</si>
  <si>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</si>
  <si>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</si>
  <si>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</si>
  <si>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</si>
  <si>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</si>
  <si>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</si>
  <si>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</si>
  <si>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</si>
  <si>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</si>
  <si>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</si>
  <si>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</si>
  <si>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</si>
  <si>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</si>
  <si>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</si>
  <si>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</si>
  <si>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</si>
  <si>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</si>
  <si>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</si>
  <si>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</si>
  <si>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</si>
  <si>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</si>
  <si>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</si>
  <si>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</si>
  <si>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</si>
  <si>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</si>
  <si>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</si>
  <si>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</si>
  <si>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</si>
  <si>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</si>
  <si>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</si>
  <si>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</si>
  <si>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</si>
  <si>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</si>
  <si>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</si>
  <si>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</si>
  <si>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</si>
  <si>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</si>
  <si>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</si>
  <si>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</si>
  <si>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</si>
  <si>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</si>
  <si>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</si>
  <si>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</si>
  <si>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</si>
  <si>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</si>
  <si>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</si>
  <si>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</si>
  <si>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</si>
  <si>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</si>
  <si>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</si>
  <si>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</si>
  <si>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</si>
  <si>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</si>
  <si>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</si>
  <si>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</si>
  <si>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</si>
  <si>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</si>
  <si>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</si>
  <si>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</si>
  <si>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</si>
  <si>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</si>
  <si>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</si>
  <si>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</si>
  <si>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</si>
  <si>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</si>
  <si>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</si>
  <si>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</si>
  <si>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</si>
  <si>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</si>
  <si>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</si>
  <si>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</si>
  <si>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</si>
  <si>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</si>
  <si>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</si>
  <si>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</si>
  <si>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</si>
  <si>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</si>
  <si>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</si>
  <si>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</si>
  <si>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</si>
  <si>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</si>
  <si>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</si>
  <si>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</si>
  <si>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</si>
  <si>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</si>
  <si>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</si>
  <si>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</si>
  <si>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</si>
  <si>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</si>
  <si>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</si>
  <si>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</si>
  <si>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</si>
  <si>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</si>
  <si>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</si>
  <si>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</si>
  <si>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</si>
  <si>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</si>
  <si>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</si>
  <si>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</si>
  <si>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</si>
  <si>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</si>
  <si>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</si>
  <si>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</si>
  <si>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</si>
  <si>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</si>
  <si>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</si>
  <si>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</si>
  <si>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</si>
  <si>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</si>
  <si>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</si>
  <si>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</si>
  <si>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</si>
  <si>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</si>
  <si>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</si>
  <si>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</si>
  <si>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</si>
  <si>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</si>
  <si>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</si>
  <si>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</si>
  <si>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</si>
  <si>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</si>
  <si>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</si>
  <si>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</si>
  <si>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</si>
  <si>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</si>
  <si>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</si>
  <si>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</si>
  <si>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</si>
  <si>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</si>
  <si>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</si>
  <si>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</si>
  <si>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</si>
  <si>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</si>
  <si>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</si>
  <si>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</si>
  <si>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</si>
  <si>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</si>
  <si>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</si>
  <si>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</si>
  <si>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</si>
  <si>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</si>
  <si>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</si>
  <si>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</si>
  <si>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</si>
  <si>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</si>
  <si>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</si>
  <si>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</si>
  <si>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</si>
  <si>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</si>
  <si>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</si>
  <si>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</si>
  <si>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</si>
  <si>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</si>
  <si>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</si>
  <si>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</si>
  <si>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</si>
  <si>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</si>
  <si>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</si>
  <si>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</si>
  <si>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</si>
  <si>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</si>
  <si>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</si>
  <si>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</si>
  <si>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</si>
  <si>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</si>
  <si>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</si>
  <si>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</si>
  <si>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</si>
  <si>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</si>
  <si>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</si>
  <si>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</si>
  <si>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</si>
  <si>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</si>
  <si>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</si>
  <si>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</si>
  <si>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</si>
  <si>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</si>
  <si>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</si>
  <si>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</si>
  <si>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</si>
  <si>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</si>
  <si>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</si>
  <si>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</si>
  <si>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</si>
  <si>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</si>
  <si>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</si>
  <si>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</si>
  <si>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</si>
  <si>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</si>
  <si>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</si>
  <si>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</si>
  <si>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</si>
  <si>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</si>
  <si>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</si>
  <si>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</si>
  <si>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</si>
  <si>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</si>
  <si>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</si>
  <si>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</si>
  <si>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</si>
  <si>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</si>
  <si>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</si>
  <si>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</si>
  <si>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</si>
  <si>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</si>
  <si>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</si>
  <si>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</si>
  <si>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</si>
  <si>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</si>
  <si>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</si>
  <si>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</si>
  <si>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</si>
  <si>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</si>
  <si>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</si>
  <si>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</si>
  <si>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</si>
  <si>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</si>
  <si>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</si>
  <si>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</si>
  <si>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</si>
  <si>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</si>
  <si>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</si>
  <si>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</si>
  <si>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</si>
  <si>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</si>
  <si>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</si>
  <si>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</si>
  <si>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</si>
  <si>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</si>
  <si>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</si>
  <si>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</si>
  <si>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</si>
  <si>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</si>
  <si>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</si>
  <si>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</si>
  <si>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</si>
  <si>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</si>
  <si>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</si>
  <si>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</si>
  <si>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</si>
  <si>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</si>
  <si>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</si>
  <si>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</si>
  <si>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</si>
  <si>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</si>
  <si>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</si>
  <si>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</si>
  <si>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</si>
  <si>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</si>
  <si>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</si>
  <si>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</si>
  <si>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</si>
  <si>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</si>
  <si>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</si>
  <si>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</si>
  <si>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</si>
  <si>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</si>
  <si>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</si>
  <si>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</si>
  <si>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</si>
  <si>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</si>
  <si>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</si>
  <si>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</si>
  <si>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</si>
  <si>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</si>
  <si>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</si>
  <si>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</si>
  <si>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</si>
  <si>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</si>
  <si>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</si>
  <si>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</si>
  <si>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</si>
  <si>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</si>
  <si>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</si>
  <si>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</si>
  <si>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</si>
  <si>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</si>
  <si>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</si>
  <si>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</si>
  <si>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</si>
  <si>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</si>
  <si>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</si>
  <si>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</si>
  <si>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</si>
  <si>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</si>
  <si>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</si>
  <si>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</si>
  <si>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</si>
  <si>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</si>
  <si>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</si>
  <si>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</si>
  <si>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</si>
  <si>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</si>
  <si>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</si>
  <si>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</si>
  <si>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</si>
  <si>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</si>
  <si>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</si>
  <si>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</si>
  <si>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</si>
  <si>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</si>
  <si>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</si>
  <si>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</si>
  <si>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</si>
  <si>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</si>
  <si>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</si>
  <si>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</si>
  <si>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</si>
  <si>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</si>
  <si>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</si>
  <si>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</si>
  <si>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</si>
  <si>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</si>
  <si>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</si>
  <si>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</si>
  <si>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</si>
  <si>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</si>
  <si>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</si>
  <si>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</si>
  <si>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</si>
  <si>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</si>
  <si>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</si>
  <si>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</si>
  <si>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</si>
  <si>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</si>
  <si>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</si>
  <si>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</si>
  <si>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</si>
  <si>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</si>
  <si>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</si>
  <si>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</si>
  <si>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</si>
  <si>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</si>
  <si>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</si>
  <si>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</si>
  <si>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</si>
  <si>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</si>
  <si>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</si>
  <si>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</si>
  <si>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</si>
  <si>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</si>
  <si>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</si>
  <si>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</si>
  <si>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</si>
  <si>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</si>
  <si>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</si>
  <si>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</si>
  <si>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</si>
  <si>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</si>
  <si>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</si>
  <si>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</si>
  <si>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</si>
  <si>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</si>
  <si>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</si>
  <si>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</si>
  <si>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</si>
  <si>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</si>
  <si>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</si>
  <si>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</si>
  <si>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</si>
  <si>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</si>
  <si>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</si>
  <si>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</si>
  <si>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</si>
  <si>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</si>
  <si>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</si>
  <si>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</si>
  <si>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</si>
  <si>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</si>
  <si>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</si>
  <si>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</si>
  <si>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</si>
  <si>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</si>
  <si>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</si>
  <si>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</si>
  <si>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</si>
  <si>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</si>
  <si>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</si>
  <si>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</si>
  <si>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</si>
  <si>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</si>
  <si>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</si>
  <si>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</si>
  <si>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</si>
  <si>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</si>
  <si>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</si>
  <si>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</si>
  <si>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</si>
  <si>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</si>
  <si>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</si>
  <si>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</si>
  <si>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</si>
  <si>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</si>
  <si>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</si>
  <si>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</si>
  <si>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</si>
  <si>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</si>
  <si>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</si>
  <si>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</si>
  <si>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</si>
  <si>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</si>
  <si>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</si>
  <si>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</si>
  <si>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</si>
  <si>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</si>
  <si>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</si>
  <si>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</si>
  <si>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</si>
  <si>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</si>
  <si>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</si>
  <si>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</si>
  <si>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</si>
  <si>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</si>
  <si>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</si>
  <si>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</si>
  <si>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</si>
  <si>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</si>
  <si>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</si>
  <si>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</si>
  <si>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</si>
  <si>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</si>
  <si>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</si>
  <si>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</si>
  <si>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</si>
  <si>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</si>
  <si>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</si>
  <si>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</si>
  <si>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</si>
  <si>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</si>
  <si>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</si>
  <si>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</si>
  <si>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</si>
  <si>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</si>
  <si>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</si>
  <si>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</si>
  <si>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</si>
  <si>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</si>
  <si>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</si>
  <si>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</si>
  <si>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</si>
  <si>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</si>
  <si>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</si>
  <si>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</si>
  <si>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</si>
  <si>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</si>
  <si>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</si>
  <si>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</si>
  <si>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</si>
  <si>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</si>
  <si>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</si>
  <si>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</si>
  <si>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</si>
  <si>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</si>
  <si>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</si>
  <si>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</si>
  <si>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</si>
  <si>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</si>
  <si>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</si>
  <si>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</si>
  <si>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</si>
  <si>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</si>
  <si>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</si>
  <si>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</si>
  <si>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</si>
  <si>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</si>
  <si>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</si>
  <si>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</si>
  <si>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</si>
  <si>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</si>
  <si>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</si>
  <si>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</si>
  <si>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</si>
  <si>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</si>
  <si>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</si>
  <si>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</si>
  <si>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</si>
  <si>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</si>
  <si>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</si>
  <si>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</si>
  <si>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</si>
  <si>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</si>
  <si>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</si>
  <si>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</si>
  <si>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</si>
  <si>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</si>
  <si>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</si>
  <si>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</si>
  <si>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</si>
  <si>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</si>
  <si>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</si>
  <si>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</si>
  <si>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</si>
  <si>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</si>
  <si>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</si>
  <si>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</si>
  <si>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</si>
  <si>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</si>
  <si>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</si>
  <si>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</si>
  <si>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</si>
  <si>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</si>
  <si>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</si>
  <si>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</si>
  <si>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</si>
  <si>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</si>
  <si>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</si>
  <si>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</si>
  <si>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</si>
  <si>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</si>
  <si>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</si>
  <si>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</si>
  <si>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</si>
  <si>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</si>
  <si>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</si>
  <si>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</si>
  <si>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</si>
  <si>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</si>
  <si>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</si>
  <si>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</si>
  <si>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</si>
  <si>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</si>
  <si>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</si>
  <si>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</si>
  <si>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</si>
  <si>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</si>
  <si>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</si>
  <si>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</si>
  <si>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</si>
  <si>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</si>
  <si>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</si>
  <si>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</si>
  <si>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</si>
  <si>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</si>
  <si>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</si>
  <si>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</si>
  <si>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</si>
  <si>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</si>
  <si>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</si>
  <si>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</si>
  <si>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</si>
  <si>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</si>
  <si>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</si>
  <si>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</si>
  <si>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</si>
  <si>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</si>
  <si>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</si>
  <si>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</si>
  <si>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</si>
  <si>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</si>
  <si>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</si>
  <si>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</si>
  <si>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</si>
  <si>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</si>
  <si>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</si>
  <si>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</si>
  <si>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</si>
  <si>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</si>
  <si>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</si>
  <si>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</si>
  <si>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</si>
  <si>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</si>
  <si>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</si>
  <si>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</si>
  <si>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</si>
  <si>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</si>
  <si>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</si>
  <si>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</si>
  <si>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</si>
  <si>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</si>
  <si>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</si>
  <si>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</si>
  <si>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</si>
  <si>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</si>
  <si>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</si>
  <si>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</si>
  <si>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</si>
  <si>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</si>
  <si>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</si>
  <si>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</si>
  <si>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</si>
  <si>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</si>
  <si>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</si>
  <si>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</si>
  <si>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</si>
  <si>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</si>
  <si>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</si>
  <si>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</si>
  <si>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</si>
  <si>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</si>
  <si>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</si>
  <si>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</si>
  <si>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</si>
  <si>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</si>
  <si>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</si>
  <si>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</si>
  <si>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</si>
  <si>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</si>
  <si>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</si>
  <si>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</si>
  <si>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</si>
  <si>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</si>
  <si>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</si>
  <si>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</si>
  <si>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</si>
  <si>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BOW SCHOOL DISTRICT</t>
  </si>
  <si>
    <t>07/26</t>
  </si>
  <si>
    <t>07/06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</si>
</sst>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4"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57</v>
      </c>
      <c r="C2" s="21">
        <v>57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1724065.69</v>
      </c>
      <c r="G9" s="18">
        <v>0</v>
      </c>
      <c r="H9" s="18">
        <v>0</v>
      </c>
      <c r="I9" s="18">
        <v>0</v>
      </c>
      <c r="J9" s="67">
        <f>SUM(I440)</f>
        <v>0</v>
      </c>
      <c r="K9" s="24" t="s">
        <v>288</v>
      </c>
      <c r="L9" s="24" t="s">
        <v>288</v>
      </c>
      <c r="M9" s="8"/>
      <c r="N9" s="266"/>
    </row>
    <row r="10" spans="1:14" s="3" customFormat="1" ht="12.2" customHeight="1" x14ac:dyDescent="0.15">
      <c r="A10" s="1" t="s">
        <v>562</v>
      </c>
      <c r="B10" s="2" t="s">
        <v>289</v>
      </c>
      <c r="C10" s="6">
        <v>2</v>
      </c>
      <c r="D10" s="2" t="s">
        <v>428</v>
      </c>
      <c r="E10" s="6">
        <v>110</v>
      </c>
      <c r="F10" s="18">
        <v>0</v>
      </c>
      <c r="G10" s="18">
        <v>0</v>
      </c>
      <c r="H10" s="18">
        <v>0</v>
      </c>
      <c r="I10" s="18">
        <v>0</v>
      </c>
      <c r="J10" s="67">
        <f>SUM(I441)</f>
        <v>2065232.59</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1863514.05+2643326.16</f>
        <v>4506840.21</v>
      </c>
      <c r="G12" s="18">
        <v>2864230.15</v>
      </c>
      <c r="H12" s="18">
        <v>1748187.51</v>
      </c>
      <c r="I12" s="18">
        <v>0</v>
      </c>
      <c r="J12" s="67">
        <f>SUM(I442)</f>
        <v>0</v>
      </c>
      <c r="K12" s="24" t="s">
        <v>288</v>
      </c>
      <c r="L12" s="24" t="s">
        <v>288</v>
      </c>
      <c r="M12" s="8"/>
      <c r="N12" s="266"/>
    </row>
    <row r="13" spans="1:14" s="3" customFormat="1" ht="12.2" customHeight="1" x14ac:dyDescent="0.15">
      <c r="A13" s="1" t="s">
        <v>604</v>
      </c>
      <c r="B13" s="2" t="s">
        <v>289</v>
      </c>
      <c r="C13" s="6">
        <v>5</v>
      </c>
      <c r="D13" s="2" t="s">
        <v>428</v>
      </c>
      <c r="E13" s="6">
        <v>140</v>
      </c>
      <c r="F13" s="18">
        <v>0</v>
      </c>
      <c r="G13" s="18">
        <v>0</v>
      </c>
      <c r="H13" s="18">
        <v>0</v>
      </c>
      <c r="I13" s="18">
        <v>0</v>
      </c>
      <c r="J13" s="67">
        <f>SUM(I443)</f>
        <v>0</v>
      </c>
      <c r="K13" s="24" t="s">
        <v>288</v>
      </c>
      <c r="L13" s="24" t="s">
        <v>288</v>
      </c>
      <c r="M13" s="8"/>
      <c r="N13" s="266"/>
    </row>
    <row r="14" spans="1:14" s="3" customFormat="1" ht="12.2" customHeight="1" x14ac:dyDescent="0.15">
      <c r="A14" s="1" t="s">
        <v>565</v>
      </c>
      <c r="B14" s="2" t="s">
        <v>289</v>
      </c>
      <c r="C14" s="6">
        <v>6</v>
      </c>
      <c r="D14" s="2" t="s">
        <v>428</v>
      </c>
      <c r="E14" s="6">
        <v>150</v>
      </c>
      <c r="F14" s="18">
        <v>215039.91</v>
      </c>
      <c r="G14" s="18">
        <v>0</v>
      </c>
      <c r="H14" s="18">
        <v>99796.37</v>
      </c>
      <c r="I14" s="18">
        <v>0</v>
      </c>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271312.5</v>
      </c>
      <c r="G17" s="18">
        <v>0</v>
      </c>
      <c r="H17" s="18">
        <v>0</v>
      </c>
      <c r="I17" s="18">
        <v>0</v>
      </c>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7202.09</v>
      </c>
      <c r="G18" s="18">
        <v>0</v>
      </c>
      <c r="H18" s="145">
        <v>485.47</v>
      </c>
      <c r="I18" s="18">
        <v>0</v>
      </c>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6724460.4000000004</v>
      </c>
      <c r="G19" s="41">
        <f>SUM(G9:G18)</f>
        <v>2864230.15</v>
      </c>
      <c r="H19" s="41">
        <f>SUM(H9:H18)</f>
        <v>1848469.3499999999</v>
      </c>
      <c r="I19" s="41">
        <f>SUM(I9:I18)</f>
        <v>0</v>
      </c>
      <c r="J19" s="41">
        <f>SUM(J9:J18)</f>
        <v>2065232.59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2864637.19+1748342.51+22310.27</f>
        <v>4635289.97</v>
      </c>
      <c r="G22" s="18">
        <v>2642764.15</v>
      </c>
      <c r="H22" s="18">
        <v>1841203.78</v>
      </c>
      <c r="I22" s="18">
        <v>0</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828500-603171.16</f>
        <v>225328.83999999997</v>
      </c>
      <c r="G24" s="18">
        <v>1945.56</v>
      </c>
      <c r="H24" s="18">
        <v>7265.57</v>
      </c>
      <c r="I24" s="18">
        <v>0</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495488.91</v>
      </c>
      <c r="G25" s="145">
        <v>8103.93</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f>25662.48-10273.51+3297.44</f>
        <v>18686.41</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43901.83</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f>466.47</f>
        <v>466.47</v>
      </c>
      <c r="G31" s="18">
        <v>0</v>
      </c>
      <c r="H31" s="18">
        <v>0</v>
      </c>
      <c r="I31" s="18">
        <v>0</v>
      </c>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5375260.5999999996</v>
      </c>
      <c r="G32" s="41">
        <f>SUM(G22:G31)</f>
        <v>2696715.47</v>
      </c>
      <c r="H32" s="41">
        <f>SUM(H22:H31)</f>
        <v>1848469.35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f>F17</f>
        <v>271312.5</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6"/>
    </row>
    <row r="40" spans="1:14" s="3" customFormat="1" ht="12.2" customHeight="1" x14ac:dyDescent="0.15">
      <c r="A40" s="1" t="s">
        <v>860</v>
      </c>
      <c r="B40" s="6">
        <v>1</v>
      </c>
      <c r="C40" s="6">
        <v>27</v>
      </c>
      <c r="D40" s="2"/>
      <c r="E40" s="6"/>
      <c r="F40" s="24" t="s">
        <v>288</v>
      </c>
      <c r="G40" s="18">
        <f>2864230.15-2696715.47</f>
        <v>167514.6799999997</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6"/>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0</v>
      </c>
      <c r="I48" s="18">
        <v>0</v>
      </c>
      <c r="J48" s="13">
        <f>SUM(I460)</f>
        <v>2065232.59</v>
      </c>
      <c r="K48" s="24" t="s">
        <v>288</v>
      </c>
      <c r="L48" s="24" t="s">
        <v>288</v>
      </c>
      <c r="M48" s="8"/>
      <c r="N48" s="266"/>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6"/>
    </row>
    <row r="50" spans="1:14" s="3" customFormat="1" ht="12.2" customHeight="1" thickBot="1" x14ac:dyDescent="0.2">
      <c r="A50" s="29" t="s">
        <v>840</v>
      </c>
      <c r="B50" s="2" t="s">
        <v>289</v>
      </c>
      <c r="C50" s="71">
        <v>35</v>
      </c>
      <c r="D50" s="2" t="s">
        <v>653</v>
      </c>
      <c r="E50" s="6">
        <v>770</v>
      </c>
      <c r="F50" s="18">
        <f>F477-271312.5</f>
        <v>1077887.299999997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1349199.799999997</v>
      </c>
      <c r="G51" s="41">
        <f>SUM(G35:G50)</f>
        <v>167514.6799999997</v>
      </c>
      <c r="H51" s="41">
        <f>SUM(H35:H50)</f>
        <v>0</v>
      </c>
      <c r="I51" s="41">
        <f>SUM(I35:I50)</f>
        <v>0</v>
      </c>
      <c r="J51" s="41">
        <f>SUM(J35:J50)</f>
        <v>2065232.59</v>
      </c>
      <c r="K51" s="45" t="s">
        <v>288</v>
      </c>
      <c r="L51" s="45" t="s">
        <v>288</v>
      </c>
      <c r="N51" s="264"/>
    </row>
    <row r="52" spans="1:14" s="3" customFormat="1" ht="12.2" customHeight="1" thickTop="1" x14ac:dyDescent="0.15">
      <c r="A52" s="38" t="s">
        <v>455</v>
      </c>
      <c r="B52" s="39" t="s">
        <v>289</v>
      </c>
      <c r="C52" s="6">
        <v>37</v>
      </c>
      <c r="D52" s="39" t="s">
        <v>653</v>
      </c>
      <c r="E52" s="39"/>
      <c r="F52" s="41">
        <f>F51+F32</f>
        <v>6724460.3999999966</v>
      </c>
      <c r="G52" s="41">
        <f>G51+G32</f>
        <v>2864230.15</v>
      </c>
      <c r="H52" s="41">
        <f>H51+H32</f>
        <v>1848469.35</v>
      </c>
      <c r="I52" s="41">
        <f>I51+I32</f>
        <v>0</v>
      </c>
      <c r="J52" s="41">
        <f>J51+J32</f>
        <v>2065232.59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18737008</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18737008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13049.4+9890</f>
        <v>22939.4</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200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96436.91+858966.11+1996676.82</f>
        <v>2952079.84</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2786.89</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2978006.13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13510.99</v>
      </c>
      <c r="G96" s="18">
        <v>0</v>
      </c>
      <c r="H96" s="18">
        <v>0</v>
      </c>
      <c r="I96" s="18">
        <v>0</v>
      </c>
      <c r="J96" s="18">
        <v>90718.14</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103397.23+161015.71+175126.6+294.37+12091.94</f>
        <v>451925.85000000003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25024.67</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f>8720+5460</f>
        <v>14180</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9296.1+285776.31</f>
        <v>295072.40999999997</v>
      </c>
      <c r="G110" s="18">
        <v>0</v>
      </c>
      <c r="H110" s="18">
        <v>0</v>
      </c>
      <c r="I110" s="18">
        <v>0</v>
      </c>
      <c r="J110" s="18">
        <v>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347788.06999999995</v>
      </c>
      <c r="G111" s="41">
        <f>SUM(G96:G110)</f>
        <v>451925.85000000003</v>
      </c>
      <c r="H111" s="41">
        <f>SUM(H96:H110)</f>
        <v>0</v>
      </c>
      <c r="I111" s="41">
        <f>SUM(I96:I110)</f>
        <v>0</v>
      </c>
      <c r="J111" s="41">
        <f>SUM(J96:J110)</f>
        <v>90718.14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22062802.199999999</v>
      </c>
      <c r="G112" s="41">
        <f>G60+G111</f>
        <v>451925.85000000003</v>
      </c>
      <c r="H112" s="41">
        <f>H60+H79+H94+H111</f>
        <v>0</v>
      </c>
      <c r="I112" s="41">
        <f>I60+I111</f>
        <v>0</v>
      </c>
      <c r="J112" s="41">
        <f>J60+J111</f>
        <v>90718.14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4104163.15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2167917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5656.43</v>
      </c>
      <c r="G120" s="18">
        <v>0</v>
      </c>
      <c r="H120" s="18">
        <v>0</v>
      </c>
      <c r="I120" s="18">
        <v>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6277736.5800000001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67289.929999999993</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427153.99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8518.7999999999993</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v>0</v>
      </c>
      <c r="G130" s="24" t="s">
        <v>288</v>
      </c>
      <c r="H130" s="18">
        <f>3664.89+1062</f>
        <v>4726.8899999999994</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7319.25+20491.05</f>
        <v>27810.3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502962.72</v>
      </c>
      <c r="G136" s="41">
        <f>SUM(G123:G135)</f>
        <v>27810.3</v>
      </c>
      <c r="H136" s="41">
        <f>SUM(H123:H135)</f>
        <v>4726.8899999999994</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6780699.2999999998</v>
      </c>
      <c r="G140" s="41">
        <f>G121+SUM(G136:G137)</f>
        <v>27810.3</v>
      </c>
      <c r="H140" s="41">
        <f>H121+SUM(H136:H139)</f>
        <v>4726.8899999999994</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72691.19</f>
        <v>72691.19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2240.31+40375.04+6069.56+7713.75+2312.88+17390.85</f>
        <v>76102.389999999985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61429.32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f>54255.82+5212.13+254914.4</f>
        <v>314382.34999999998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94629.24</v>
      </c>
      <c r="G160" s="24" t="s">
        <v>288</v>
      </c>
      <c r="H160" s="18">
        <v>0</v>
      </c>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94629.24</v>
      </c>
      <c r="G163" s="41">
        <f>SUM(G150:G162)</f>
        <v>61429.32</v>
      </c>
      <c r="H163" s="41">
        <f>SUM(H150:H162)</f>
        <v>463175.92999999993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94629.24</v>
      </c>
      <c r="G170" s="41">
        <f>G147+G163+SUM(G164:G169)</f>
        <v>61429.32</v>
      </c>
      <c r="H170" s="41">
        <f>H147+H163+SUM(H164:H169)</f>
        <v>463175.92999999993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0</v>
      </c>
      <c r="H180" s="18">
        <v>0</v>
      </c>
      <c r="I180" s="18">
        <v>0</v>
      </c>
      <c r="J180" s="18">
        <v>481093.67</v>
      </c>
      <c r="K180" s="24" t="s">
        <v>288</v>
      </c>
      <c r="L180" s="24" t="s">
        <v>288</v>
      </c>
      <c r="M180" s="8"/>
      <c r="N180" s="266"/>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6"/>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6"/>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481093.67</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6"/>
    </row>
    <row r="187" spans="1:14" ht="12.2" customHeight="1" x14ac:dyDescent="0.2">
      <c r="A187" s="1" t="s">
        <v>529</v>
      </c>
      <c r="B187" s="2" t="s">
        <v>330</v>
      </c>
      <c r="C187" s="6">
        <v>12</v>
      </c>
      <c r="D187" s="2" t="s">
        <v>430</v>
      </c>
      <c r="E187" s="6">
        <v>5252</v>
      </c>
      <c r="F187" s="18">
        <v>378436.83</v>
      </c>
      <c r="G187" s="18">
        <v>0</v>
      </c>
      <c r="H187" s="18">
        <v>0</v>
      </c>
      <c r="I187" s="18">
        <v>0</v>
      </c>
      <c r="J187" s="24" t="s">
        <v>288</v>
      </c>
      <c r="K187" s="24" t="s">
        <v>288</v>
      </c>
      <c r="L187" s="24" t="s">
        <v>288</v>
      </c>
      <c r="N187" s="264"/>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378436.83</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378436.83</v>
      </c>
      <c r="G193" s="41">
        <f>G184+SUM(G189:G192)</f>
        <v>0</v>
      </c>
      <c r="H193" s="41">
        <f>+H184+SUM(H189:H192)</f>
        <v>0</v>
      </c>
      <c r="I193" s="41">
        <f>I178+I184+SUM(I189:I192)</f>
        <v>0</v>
      </c>
      <c r="J193" s="41">
        <f>J184</f>
        <v>481093.67</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29316567.569999997</v>
      </c>
      <c r="G194" s="47">
        <f>G112+G140+G170+G193</f>
        <v>541165.47</v>
      </c>
      <c r="H194" s="47">
        <f>H112+H140+H170+H193</f>
        <v>467902.81999999995</v>
      </c>
      <c r="I194" s="47">
        <f>I112+I140+I170+I193</f>
        <v>0</v>
      </c>
      <c r="J194" s="47">
        <f>J112+J140+J193</f>
        <v>571811.80999999994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2326356.02+56583.47</f>
        <v>2382939.4900000002</v>
      </c>
      <c r="G198" s="18">
        <f>25540.67+1106673.29</f>
        <v>1132213.96</v>
      </c>
      <c r="H198" s="18">
        <f>18253.81+4667.24</f>
        <v>22921.050000000003</v>
      </c>
      <c r="I198" s="18">
        <f>3335.5+1998+700+2285.08+35+3667+195.52+994.84+715.12+69.44+29917.16+306+14404.52+4745.95</f>
        <v>63369.130000000005</v>
      </c>
      <c r="J198" s="18">
        <f>817.93+389.94+4005.24</f>
        <v>5213.1099999999997</v>
      </c>
      <c r="K198" s="18">
        <v>0</v>
      </c>
      <c r="L198" s="19">
        <f>SUM(F198:K198)</f>
        <v>3606656.7399999998</v>
      </c>
      <c r="M198" s="8"/>
      <c r="N198" s="266"/>
    </row>
    <row r="199" spans="1:14" s="3" customFormat="1" ht="12.2" customHeight="1" x14ac:dyDescent="0.15">
      <c r="A199" s="1" t="s">
        <v>439</v>
      </c>
      <c r="B199" s="2" t="s">
        <v>341</v>
      </c>
      <c r="C199" s="2" t="s">
        <v>291</v>
      </c>
      <c r="D199" s="2" t="s">
        <v>431</v>
      </c>
      <c r="E199" s="6">
        <v>1200</v>
      </c>
      <c r="F199" s="18">
        <f>372246.49+474247.37+13483.71+40046.4+5845.33+47176.08</f>
        <v>953045.37999999989</v>
      </c>
      <c r="G199" s="18">
        <f>526.68+386734.14+3136.53+33111.17</f>
        <v>423508.52</v>
      </c>
      <c r="H199" s="18">
        <f>1293.07+150475.31+145805.59</f>
        <v>297573.96999999997</v>
      </c>
      <c r="I199" s="18">
        <f>450.55+674.79+64.93+82.39+359+1600.34</f>
        <v>3232</v>
      </c>
      <c r="J199" s="18">
        <f>80.69+125+80.34+1512.38</f>
        <v>1798.41</v>
      </c>
      <c r="K199" s="18">
        <f>143.14</f>
        <v>143.13999999999999</v>
      </c>
      <c r="L199" s="19">
        <f>SUM(F199:K199)</f>
        <v>1679301.4199999997</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f>11000</f>
        <v>11000</v>
      </c>
      <c r="G201" s="18">
        <f>2691.95</f>
        <v>2691.95</v>
      </c>
      <c r="H201" s="18">
        <v>0</v>
      </c>
      <c r="I201" s="18">
        <f>61.54+550</f>
        <v>611.54</v>
      </c>
      <c r="J201" s="18">
        <v>0</v>
      </c>
      <c r="K201" s="18">
        <f>757</f>
        <v>757</v>
      </c>
      <c r="L201" s="19">
        <f>SUM(F201:K201)</f>
        <v>15060.490000000002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79331.97+49192+22537.09+67810.97+302641.44+135944.81</f>
        <v>657458.28</v>
      </c>
      <c r="G203" s="18">
        <f>4448.66+42252+28478.6+33285.41+146997.24+77026.41</f>
        <v>332488.32000000001</v>
      </c>
      <c r="H203" s="18">
        <f>14898+2318.33+1175.28+4088.5+30640.75</f>
        <v>53120.86</v>
      </c>
      <c r="I203" s="18">
        <f>472.35+1800+543.85+708.93</f>
        <v>3525.1299999999997</v>
      </c>
      <c r="J203" s="18">
        <f>160.01+543.85+532.61+636.93</f>
        <v>1873.4</v>
      </c>
      <c r="K203" s="18">
        <f>179</f>
        <v>179</v>
      </c>
      <c r="L203" s="19">
        <f t="shared" ref="L203:L209" si="0">SUM(F203:K203)</f>
        <v>1048644.9900000002</v>
      </c>
      <c r="M203" s="8"/>
      <c r="N203" s="266"/>
    </row>
    <row r="204" spans="1:14" s="3" customFormat="1" ht="12.2" customHeight="1" x14ac:dyDescent="0.15">
      <c r="A204" s="1" t="s">
        <v>443</v>
      </c>
      <c r="B204" s="2" t="s">
        <v>341</v>
      </c>
      <c r="C204" s="2" t="s">
        <v>295</v>
      </c>
      <c r="D204" s="2" t="s">
        <v>431</v>
      </c>
      <c r="E204" s="6">
        <v>2200</v>
      </c>
      <c r="F204" s="18">
        <f>2008.34+118512.82+7636.02+47769.4</f>
        <v>175926.58000000002</v>
      </c>
      <c r="G204" s="18">
        <f>5.67+55636.07+22133.49</f>
        <v>77775.23</v>
      </c>
      <c r="H204" s="18">
        <f>9697.1+745+341.89+15102.99+26152.23</f>
        <v>52039.21</v>
      </c>
      <c r="I204" s="18">
        <f>637+7122.21+7295.75</f>
        <v>15054.96</v>
      </c>
      <c r="J204" s="18">
        <f>13.99+82118.41</f>
        <v>82132.400000000009</v>
      </c>
      <c r="K204" s="18">
        <v>0</v>
      </c>
      <c r="L204" s="19">
        <f t="shared" si="0"/>
        <v>402928.38000000006</v>
      </c>
      <c r="M204" s="8"/>
      <c r="N204" s="266"/>
    </row>
    <row r="205" spans="1:14" s="3" customFormat="1" ht="12.2" customHeight="1" x14ac:dyDescent="0.15">
      <c r="A205" s="1" t="s">
        <v>444</v>
      </c>
      <c r="B205" s="2" t="s">
        <v>341</v>
      </c>
      <c r="C205" s="2" t="s">
        <v>296</v>
      </c>
      <c r="D205" s="2" t="s">
        <v>431</v>
      </c>
      <c r="E205" s="6">
        <v>2300</v>
      </c>
      <c r="F205" s="18">
        <f>4876.67+200+433.33</f>
        <v>5510</v>
      </c>
      <c r="G205" s="18">
        <f>373.08+33.15</f>
        <v>406.22999999999996</v>
      </c>
      <c r="H205" s="18">
        <f>7088.6+5365.7+4046.67+248117</f>
        <v>264617.96999999997</v>
      </c>
      <c r="I205" s="18">
        <f>1963.97</f>
        <v>1963.97</v>
      </c>
      <c r="J205" s="18">
        <v>0</v>
      </c>
      <c r="K205" s="18">
        <f>35394.51+1824.83</f>
        <v>37219.340000000004</v>
      </c>
      <c r="L205" s="19">
        <f t="shared" si="0"/>
        <v>309717.50999999995</v>
      </c>
      <c r="M205" s="8"/>
      <c r="N205" s="266"/>
    </row>
    <row r="206" spans="1:14" s="3" customFormat="1" ht="12.2" customHeight="1" x14ac:dyDescent="0.15">
      <c r="A206" s="1" t="s">
        <v>445</v>
      </c>
      <c r="B206" s="2" t="s">
        <v>341</v>
      </c>
      <c r="C206" s="2" t="s">
        <v>297</v>
      </c>
      <c r="D206" s="2" t="s">
        <v>431</v>
      </c>
      <c r="E206" s="6">
        <v>2400</v>
      </c>
      <c r="F206" s="18">
        <f>105198.08+94756.91+92308.09</f>
        <v>292263.07999999996</v>
      </c>
      <c r="G206" s="18">
        <v>122790.72</v>
      </c>
      <c r="H206" s="18">
        <f>419+965.4+3291.51+2296.27</f>
        <v>6972.18</v>
      </c>
      <c r="I206" s="18">
        <v>0</v>
      </c>
      <c r="J206" s="18">
        <v>0</v>
      </c>
      <c r="K206" s="18">
        <f>1597</f>
        <v>1597</v>
      </c>
      <c r="L206" s="19">
        <f t="shared" si="0"/>
        <v>423622.97999999992</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f>123546.19+19894.35</f>
        <v>143440.54</v>
      </c>
      <c r="G208" s="18">
        <f>68923.74+12435.36</f>
        <v>81359.100000000006</v>
      </c>
      <c r="H208" s="18">
        <f>73.5+13076.86+5594.72+38685.73+8818.44+27848.11+11756.85+11320.15+451.86+15626.72</f>
        <v>133252.94</v>
      </c>
      <c r="I208" s="18">
        <f>17274.17+30420.94+70345.36+565.91</f>
        <v>118606.38</v>
      </c>
      <c r="J208" s="18">
        <f>1751</f>
        <v>1751</v>
      </c>
      <c r="K208" s="18">
        <v>0</v>
      </c>
      <c r="L208" s="19">
        <f t="shared" si="0"/>
        <v>478409.96</v>
      </c>
      <c r="M208" s="8"/>
      <c r="N208" s="266"/>
    </row>
    <row r="209" spans="1:14" s="3" customFormat="1" ht="12.2" customHeight="1" x14ac:dyDescent="0.15">
      <c r="A209" s="1" t="s">
        <v>448</v>
      </c>
      <c r="B209" s="2" t="s">
        <v>341</v>
      </c>
      <c r="C209" s="2" t="s">
        <v>300</v>
      </c>
      <c r="D209" s="2" t="s">
        <v>431</v>
      </c>
      <c r="E209" s="6">
        <v>2700</v>
      </c>
      <c r="F209" s="18">
        <f>120054.72+20634.25+895.32+34951.83</f>
        <v>176536.12</v>
      </c>
      <c r="G209" s="18">
        <f>30868.56+2063.71+88.77+18372.14</f>
        <v>51393.18</v>
      </c>
      <c r="H209" s="18">
        <f>694.64+56659.01+27670.6</f>
        <v>85024.25</v>
      </c>
      <c r="I209" s="18">
        <f>3122.41+37729.6</f>
        <v>40852.009999999995</v>
      </c>
      <c r="J209" s="18">
        <f>4168.8+31416.84</f>
        <v>35585.64</v>
      </c>
      <c r="K209" s="18">
        <f>3192.76</f>
        <v>3192.76</v>
      </c>
      <c r="L209" s="19">
        <f t="shared" si="0"/>
        <v>392583.96</v>
      </c>
      <c r="M209" s="8"/>
      <c r="N209" s="266"/>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4798119.4700000007</v>
      </c>
      <c r="G212" s="41">
        <f t="shared" si="1"/>
        <v>2224627.21</v>
      </c>
      <c r="H212" s="41">
        <f t="shared" si="1"/>
        <v>915522.42999999993</v>
      </c>
      <c r="I212" s="41">
        <f t="shared" si="1"/>
        <v>247215.12</v>
      </c>
      <c r="J212" s="41">
        <f t="shared" si="1"/>
        <v>128353.96</v>
      </c>
      <c r="K212" s="41">
        <f t="shared" si="1"/>
        <v>43088.240000000005</v>
      </c>
      <c r="L212" s="41">
        <f t="shared" si="1"/>
        <v>8356926.4299999988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2349743.24+15718.64+53910.06</f>
        <v>2419371.9400000004</v>
      </c>
      <c r="G216" s="18">
        <f>25540.67+1123593.07</f>
        <v>1149133.74</v>
      </c>
      <c r="H216" s="18">
        <f>21648.95+6767.74</f>
        <v>28416.690000000002</v>
      </c>
      <c r="I216" s="18">
        <f>3477.25+717.36+810.58+2633.38+184.35+1144.65+2823.38-2625.34+2227.4+2906.44+11243.66+1171.14+14459.5+9991.43+1263.49+17834.26+332.19</f>
        <v>70595.12</v>
      </c>
      <c r="J216" s="18">
        <f>4249.01+6482.79+399.95</f>
        <v>11131.75</v>
      </c>
      <c r="K216" s="18">
        <f>1692</f>
        <v>1692</v>
      </c>
      <c r="L216" s="19">
        <f>SUM(F216:K216)</f>
        <v>3680341.2400000007</v>
      </c>
      <c r="M216" s="8"/>
      <c r="N216" s="266"/>
    </row>
    <row r="217" spans="1:14" s="3" customFormat="1" ht="12.2" customHeight="1" x14ac:dyDescent="0.15">
      <c r="A217" s="1" t="s">
        <v>439</v>
      </c>
      <c r="B217" s="2" t="s">
        <v>346</v>
      </c>
      <c r="C217" s="2" t="s">
        <v>291</v>
      </c>
      <c r="D217" s="2" t="s">
        <v>431</v>
      </c>
      <c r="E217" s="6">
        <v>1200</v>
      </c>
      <c r="F217" s="18">
        <f>412589.82+469527.22+12846.65+38154.32+5845.33+78221.02</f>
        <v>1017184.36</v>
      </c>
      <c r="G217" s="18">
        <f>1404.48+400954.42+3136.53+54900.49</f>
        <v>460395.92</v>
      </c>
      <c r="H217" s="18">
        <f>1231.98+143365.79+163589.34</f>
        <v>308187.11</v>
      </c>
      <c r="I217" s="18">
        <f>429.27+1339.76+1838.88+78.5+150+14.61</f>
        <v>3851.02</v>
      </c>
      <c r="J217" s="18">
        <f>76.88+5640.84</f>
        <v>5717.72</v>
      </c>
      <c r="K217" s="18">
        <f>136.38</f>
        <v>136.38</v>
      </c>
      <c r="L217" s="19">
        <f>SUM(F217:K217)</f>
        <v>1795472.51</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f>36425+14539.75</f>
        <v>50964.75</v>
      </c>
      <c r="G219" s="18">
        <f>8914.02+9641.86</f>
        <v>18555.88</v>
      </c>
      <c r="H219" s="18">
        <f>6500</f>
        <v>6500</v>
      </c>
      <c r="I219" s="18">
        <f>1065.47+1418.25</f>
        <v>2483.7200000000003</v>
      </c>
      <c r="J219" s="18">
        <f>823.8+4747.3</f>
        <v>5571.1</v>
      </c>
      <c r="K219" s="18">
        <f>2653.75+560</f>
        <v>3213.75</v>
      </c>
      <c r="L219" s="19">
        <f>SUM(F219:K219)</f>
        <v>87289.200000000012</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137850.48+90397.22+16041.1+67810.97+64413.47+33986.2</f>
        <v>410499.44</v>
      </c>
      <c r="G221" s="18">
        <f>4448.66+73418.81+42259.21+33285.41+31286.54+19256.6</f>
        <v>203955.23</v>
      </c>
      <c r="H221" s="18">
        <f>14898+2318.33+1119.75+1002.32+7660.19</f>
        <v>26998.59</v>
      </c>
      <c r="I221" s="18">
        <f>545.27+1166.48+133.33+177.23</f>
        <v>2022.31</v>
      </c>
      <c r="J221" s="18">
        <f>202.33+133.15</f>
        <v>335.48</v>
      </c>
      <c r="K221" s="18">
        <f>175</f>
        <v>175</v>
      </c>
      <c r="L221" s="19">
        <f t="shared" ref="L221:L227" si="2">SUM(F221:K221)</f>
        <v>643986.05000000005</v>
      </c>
      <c r="M221" s="8"/>
      <c r="N221" s="266"/>
    </row>
    <row r="222" spans="1:14" s="3" customFormat="1" ht="12.2" customHeight="1" x14ac:dyDescent="0.15">
      <c r="A222" s="1" t="s">
        <v>443</v>
      </c>
      <c r="B222" s="2" t="s">
        <v>346</v>
      </c>
      <c r="C222" s="2" t="s">
        <v>295</v>
      </c>
      <c r="D222" s="2" t="s">
        <v>431</v>
      </c>
      <c r="E222" s="6">
        <v>2200</v>
      </c>
      <c r="F222" s="18">
        <f>2008.34+76248.32+12270.55+51923.26</f>
        <v>142450.47</v>
      </c>
      <c r="G222" s="18">
        <f>5.67+39039.93+24058.14</f>
        <v>63103.74</v>
      </c>
      <c r="H222" s="18">
        <f>9407.18+325.74+14387.41+24916.89</f>
        <v>49037.22</v>
      </c>
      <c r="I222" s="18">
        <f>53+692.86+5532.97+4304.25</f>
        <v>10583.08</v>
      </c>
      <c r="J222" s="18">
        <f>78238.55</f>
        <v>78238.55</v>
      </c>
      <c r="K222" s="18">
        <v>0</v>
      </c>
      <c r="L222" s="19">
        <f t="shared" si="2"/>
        <v>343413.06</v>
      </c>
      <c r="M222" s="8"/>
      <c r="N222" s="266"/>
    </row>
    <row r="223" spans="1:14" s="3" customFormat="1" ht="12.2" customHeight="1" x14ac:dyDescent="0.15">
      <c r="A223" s="1" t="s">
        <v>444</v>
      </c>
      <c r="B223" s="2" t="s">
        <v>346</v>
      </c>
      <c r="C223" s="2" t="s">
        <v>296</v>
      </c>
      <c r="D223" s="2" t="s">
        <v>431</v>
      </c>
      <c r="E223" s="6">
        <v>2300</v>
      </c>
      <c r="F223" s="18">
        <f>4876.67+200+433.33</f>
        <v>5510</v>
      </c>
      <c r="G223" s="18">
        <f>373.08+33.15</f>
        <v>406.22999999999996</v>
      </c>
      <c r="H223" s="18">
        <f>7088.6+5365.7+4046.67+248117</f>
        <v>264617.96999999997</v>
      </c>
      <c r="I223" s="18">
        <f>1963.97</f>
        <v>1963.97</v>
      </c>
      <c r="J223" s="18">
        <v>0</v>
      </c>
      <c r="K223" s="18">
        <f>35394.51+1824.83</f>
        <v>37219.340000000004</v>
      </c>
      <c r="L223" s="19">
        <f t="shared" si="2"/>
        <v>309717.50999999995</v>
      </c>
      <c r="M223" s="8"/>
      <c r="N223" s="266"/>
    </row>
    <row r="224" spans="1:14" s="3" customFormat="1" ht="12.2" customHeight="1" x14ac:dyDescent="0.15">
      <c r="A224" s="1" t="s">
        <v>445</v>
      </c>
      <c r="B224" s="2" t="s">
        <v>346</v>
      </c>
      <c r="C224" s="2" t="s">
        <v>297</v>
      </c>
      <c r="D224" s="2" t="s">
        <v>431</v>
      </c>
      <c r="E224" s="6">
        <v>2400</v>
      </c>
      <c r="F224" s="18">
        <f>114004.98+97154.13+92291.94</f>
        <v>303451.05</v>
      </c>
      <c r="G224" s="18">
        <v>127491.21</v>
      </c>
      <c r="H224" s="18">
        <f>50+3216.19+654.89+85.43</f>
        <v>4006.5099999999998</v>
      </c>
      <c r="I224" s="18">
        <f>406.79</f>
        <v>406.79</v>
      </c>
      <c r="J224" s="18">
        <v>0</v>
      </c>
      <c r="K224" s="18">
        <f>810</f>
        <v>810</v>
      </c>
      <c r="L224" s="19">
        <f t="shared" si="2"/>
        <v>436165.56</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6"/>
    </row>
    <row r="226" spans="1:14" s="3" customFormat="1" ht="12.2" customHeight="1" x14ac:dyDescent="0.15">
      <c r="A226" s="1" t="s">
        <v>447</v>
      </c>
      <c r="B226" s="2" t="s">
        <v>346</v>
      </c>
      <c r="C226" s="2" t="s">
        <v>299</v>
      </c>
      <c r="D226" s="2" t="s">
        <v>431</v>
      </c>
      <c r="E226" s="6">
        <v>2600</v>
      </c>
      <c r="F226" s="18">
        <f>121372.39+34069.62</f>
        <v>155442.01</v>
      </c>
      <c r="G226" s="18">
        <f>67711.02+21295.89</f>
        <v>89006.91</v>
      </c>
      <c r="H226" s="18">
        <f>11900.86+5560.2+48644.05+1337.55+1151.49+72150.55+16040.8+23857.13+1355.59+21716.06+1256+2641.38</f>
        <v>207611.66</v>
      </c>
      <c r="I226" s="18">
        <f>18784.28+32063.69+95977.74+148.41+1697.73</f>
        <v>148671.85000000003</v>
      </c>
      <c r="J226" s="18">
        <v>0</v>
      </c>
      <c r="K226" s="18">
        <v>0</v>
      </c>
      <c r="L226" s="19">
        <f t="shared" si="2"/>
        <v>600732.43000000005</v>
      </c>
      <c r="M226" s="8"/>
      <c r="N226" s="266"/>
    </row>
    <row r="227" spans="1:14" s="3" customFormat="1" ht="12.2" customHeight="1" x14ac:dyDescent="0.15">
      <c r="A227" s="1" t="s">
        <v>448</v>
      </c>
      <c r="B227" s="2" t="s">
        <v>346</v>
      </c>
      <c r="C227" s="2" t="s">
        <v>300</v>
      </c>
      <c r="D227" s="2" t="s">
        <v>431</v>
      </c>
      <c r="E227" s="6">
        <v>2700</v>
      </c>
      <c r="F227" s="18">
        <f>120054.72+20634.25+5819.61+5271.85+34951.83</f>
        <v>186732.26</v>
      </c>
      <c r="G227" s="18">
        <f>30868.56+2063.71+577.01+555.7+18372.14</f>
        <v>52437.120000000003</v>
      </c>
      <c r="H227" s="18">
        <f>694.64+56659.01+27670.6</f>
        <v>85024.25</v>
      </c>
      <c r="I227" s="18">
        <f>3122.41+37729.6</f>
        <v>40852.009999999995</v>
      </c>
      <c r="J227" s="18">
        <f>4168.8+31416.84</f>
        <v>35585.64</v>
      </c>
      <c r="K227" s="18">
        <f>3192.76</f>
        <v>3192.76</v>
      </c>
      <c r="L227" s="19">
        <f t="shared" si="2"/>
        <v>403824.04000000004</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4691606.28</v>
      </c>
      <c r="G230" s="41">
        <f>SUM(G216:G229)</f>
        <v>2164485.98</v>
      </c>
      <c r="H230" s="41">
        <f>SUM(H216:H229)</f>
        <v>980400</v>
      </c>
      <c r="I230" s="41">
        <f>SUM(I216:I229)</f>
        <v>281429.87000000005</v>
      </c>
      <c r="J230" s="41">
        <f>SUM(J216:J229)</f>
        <v>136580.24</v>
      </c>
      <c r="K230" s="41">
        <f t="shared" si="3"/>
        <v>46439.23</v>
      </c>
      <c r="L230" s="41">
        <f t="shared" si="3"/>
        <v>8300941.5999999996</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3057172.26+21711.69+67386.24</f>
        <v>3146270.19</v>
      </c>
      <c r="G234" s="18">
        <f>25540.67+1461175.65-0.01</f>
        <v>1486716.3099999998</v>
      </c>
      <c r="H234" s="18">
        <f>27378.18+6215.39</f>
        <v>33593.57</v>
      </c>
      <c r="I234" s="18">
        <f>10148.96+487.98+3121.9+3962.33+5812.77+775.89+3153.14+12105.26+15013.37+18837.8+1093.32+1889.45</f>
        <v>76402.17</v>
      </c>
      <c r="J234" s="18">
        <f>4919.53+1755.63+2718.98</f>
        <v>9394.14</v>
      </c>
      <c r="K234" s="18">
        <f>4085</f>
        <v>4085</v>
      </c>
      <c r="L234" s="19">
        <f>SUM(F234:K234)</f>
        <v>4756461.38</v>
      </c>
      <c r="M234" s="8"/>
      <c r="N234" s="266"/>
    </row>
    <row r="235" spans="1:14" s="3" customFormat="1" ht="12.2" customHeight="1" x14ac:dyDescent="0.15">
      <c r="A235" s="1" t="s">
        <v>439</v>
      </c>
      <c r="B235" s="2" t="s">
        <v>350</v>
      </c>
      <c r="C235" s="2" t="s">
        <v>291</v>
      </c>
      <c r="D235" s="2" t="s">
        <v>431</v>
      </c>
      <c r="E235" s="6">
        <v>1200</v>
      </c>
      <c r="F235" s="18">
        <f>405009.74+329190.75+16057.99+47691.96+5845.33</f>
        <v>803795.7699999999</v>
      </c>
      <c r="G235" s="18">
        <f>3001+342873.84+3136.53</f>
        <v>349011.37000000005</v>
      </c>
      <c r="H235" s="18">
        <f>1539.95+179203.68+843785.79</f>
        <v>1024529.42</v>
      </c>
      <c r="I235" s="18">
        <f>536.57+3415.39+503.81+98.12+2710.3</f>
        <v>7264.1900000000005</v>
      </c>
      <c r="J235" s="18">
        <f>570.23+96.09+90.3</f>
        <v>756.62</v>
      </c>
      <c r="K235" s="18">
        <f>170.47</f>
        <v>170.47</v>
      </c>
      <c r="L235" s="19">
        <f>SUM(F235:K235)</f>
        <v>2185527.8400000003</v>
      </c>
      <c r="M235" s="8"/>
      <c r="N235" s="266"/>
    </row>
    <row r="236" spans="1:14" s="3" customFormat="1" ht="12.2" customHeight="1" x14ac:dyDescent="0.15">
      <c r="A236" s="1" t="s">
        <v>440</v>
      </c>
      <c r="B236" s="2" t="s">
        <v>350</v>
      </c>
      <c r="C236" s="2" t="s">
        <v>292</v>
      </c>
      <c r="D236" s="2" t="s">
        <v>431</v>
      </c>
      <c r="E236" s="6">
        <v>1300</v>
      </c>
      <c r="F236" s="18">
        <v>0</v>
      </c>
      <c r="G236" s="18">
        <v>0</v>
      </c>
      <c r="H236" s="18">
        <v>187383.67999999999</v>
      </c>
      <c r="I236" s="18">
        <v>0</v>
      </c>
      <c r="J236" s="18">
        <v>0</v>
      </c>
      <c r="K236" s="18">
        <v>0</v>
      </c>
      <c r="L236" s="19">
        <f>SUM(F236:K236)</f>
        <v>187383.67999999999</v>
      </c>
      <c r="M236" s="8"/>
      <c r="N236" s="266"/>
    </row>
    <row r="237" spans="1:14" s="3" customFormat="1" ht="12.2" customHeight="1" x14ac:dyDescent="0.15">
      <c r="A237" s="1" t="s">
        <v>441</v>
      </c>
      <c r="B237" s="2" t="s">
        <v>350</v>
      </c>
      <c r="C237" s="2" t="s">
        <v>293</v>
      </c>
      <c r="D237" s="2" t="s">
        <v>431</v>
      </c>
      <c r="E237" s="6">
        <v>1400</v>
      </c>
      <c r="F237" s="18">
        <f>47999.95+80433.86+128741.71+8400</f>
        <v>265575.52</v>
      </c>
      <c r="G237" s="18">
        <f>11746.67+56968.12+2150.59+281.48</f>
        <v>71146.86</v>
      </c>
      <c r="H237" s="18">
        <f>2578.71+48544+701.99+29988.93+1600</f>
        <v>83413.63</v>
      </c>
      <c r="I237" s="18">
        <f>4505.76+16600.64</f>
        <v>21106.400000000001</v>
      </c>
      <c r="J237" s="18">
        <f>9708+20829.17</f>
        <v>30537.17</v>
      </c>
      <c r="K237" s="18">
        <f>4951+7569</f>
        <v>12520</v>
      </c>
      <c r="L237" s="19">
        <f>SUM(F237:K237)</f>
        <v>484299.58</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226488.15+49081.69+88027.44+67810.97+64413.47+33986.2</f>
        <v>529807.91999999993</v>
      </c>
      <c r="G239" s="18">
        <f>4448.66+120627+34949.53+33285.41+31286.54+19256.6</f>
        <v>243853.74000000002</v>
      </c>
      <c r="H239" s="18">
        <f>14898+2080.8+1436.72+2318.33+49+1399.66+1002.32+7660.19</f>
        <v>30845.019999999997</v>
      </c>
      <c r="I239" s="18">
        <f>1189.36+220.22+4685.25+750.51+133.33+177.23</f>
        <v>7155.9</v>
      </c>
      <c r="J239" s="18">
        <f>202.33+133.15</f>
        <v>335.48</v>
      </c>
      <c r="K239" s="18">
        <f>2000+150</f>
        <v>2150</v>
      </c>
      <c r="L239" s="19">
        <f t="shared" ref="L239:L245" si="4">SUM(F239:K239)</f>
        <v>814148.05999999994</v>
      </c>
      <c r="M239" s="8"/>
      <c r="N239" s="266"/>
    </row>
    <row r="240" spans="1:14" s="3" customFormat="1" ht="12.2" customHeight="1" x14ac:dyDescent="0.15">
      <c r="A240" s="1" t="s">
        <v>443</v>
      </c>
      <c r="B240" s="2" t="s">
        <v>350</v>
      </c>
      <c r="C240" s="2" t="s">
        <v>295</v>
      </c>
      <c r="D240" s="2" t="s">
        <v>431</v>
      </c>
      <c r="E240" s="6">
        <v>2200</v>
      </c>
      <c r="F240" s="18">
        <f>2008.34+78909.64+22823.56+108000.38</f>
        <v>211741.91999999998</v>
      </c>
      <c r="G240" s="18">
        <f>5.67+44867.91+50040.93+2.31</f>
        <v>94916.82</v>
      </c>
      <c r="H240" s="18">
        <f>22870.21+505.9+407.17+17986.41+31145.5</f>
        <v>72915.19</v>
      </c>
      <c r="I240" s="18">
        <f>3799.81+3792.74+46966.49</f>
        <v>54559.039999999994</v>
      </c>
      <c r="J240" s="18">
        <f>97796.25</f>
        <v>97796.25</v>
      </c>
      <c r="K240" s="18">
        <f>323</f>
        <v>323</v>
      </c>
      <c r="L240" s="19">
        <f t="shared" si="4"/>
        <v>532252.22</v>
      </c>
      <c r="M240" s="8"/>
      <c r="N240" s="266"/>
    </row>
    <row r="241" spans="1:14" s="3" customFormat="1" ht="12.2" customHeight="1" x14ac:dyDescent="0.15">
      <c r="A241" s="1" t="s">
        <v>444</v>
      </c>
      <c r="B241" s="2" t="s">
        <v>350</v>
      </c>
      <c r="C241" s="2" t="s">
        <v>296</v>
      </c>
      <c r="D241" s="2" t="s">
        <v>431</v>
      </c>
      <c r="E241" s="6">
        <v>2300</v>
      </c>
      <c r="F241" s="18">
        <f>4876.67+200+433.33</f>
        <v>5510</v>
      </c>
      <c r="G241" s="18">
        <f>373.08+33.15</f>
        <v>406.22999999999996</v>
      </c>
      <c r="H241" s="18">
        <f>7088.6+5365.7+4046.67+248117</f>
        <v>264617.96999999997</v>
      </c>
      <c r="I241" s="18">
        <f>1963.97</f>
        <v>1963.97</v>
      </c>
      <c r="J241" s="18">
        <v>0</v>
      </c>
      <c r="K241" s="18">
        <f>35394.51+1824.83+7</f>
        <v>37226.340000000004</v>
      </c>
      <c r="L241" s="19">
        <f t="shared" si="4"/>
        <v>309724.50999999995</v>
      </c>
      <c r="M241" s="8"/>
      <c r="N241" s="266"/>
    </row>
    <row r="242" spans="1:14" s="3" customFormat="1" ht="12.2" customHeight="1" x14ac:dyDescent="0.15">
      <c r="A242" s="1" t="s">
        <v>445</v>
      </c>
      <c r="B242" s="2" t="s">
        <v>350</v>
      </c>
      <c r="C242" s="2" t="s">
        <v>297</v>
      </c>
      <c r="D242" s="2" t="s">
        <v>431</v>
      </c>
      <c r="E242" s="6">
        <v>2400</v>
      </c>
      <c r="F242" s="18">
        <f>114640.27+118703.13+93564.9</f>
        <v>326908.30000000005</v>
      </c>
      <c r="G242" s="18">
        <v>137346.48000000001</v>
      </c>
      <c r="H242" s="18">
        <f>585+14344.24+6201.55+3791.17</f>
        <v>24921.96</v>
      </c>
      <c r="I242" s="18">
        <f>916.31</f>
        <v>916.31</v>
      </c>
      <c r="J242" s="18">
        <f>789.14</f>
        <v>789.14</v>
      </c>
      <c r="K242" s="18">
        <f>1243.95+4338.07</f>
        <v>5582.0199999999995</v>
      </c>
      <c r="L242" s="19">
        <f t="shared" si="4"/>
        <v>496464.21000000008</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6"/>
    </row>
    <row r="244" spans="1:14" s="3" customFormat="1" ht="12.2" customHeight="1" x14ac:dyDescent="0.15">
      <c r="A244" s="1" t="s">
        <v>447</v>
      </c>
      <c r="B244" s="2" t="s">
        <v>350</v>
      </c>
      <c r="C244" s="2" t="s">
        <v>299</v>
      </c>
      <c r="D244" s="2" t="s">
        <v>431</v>
      </c>
      <c r="E244" s="6">
        <v>2600</v>
      </c>
      <c r="F244" s="18">
        <f>213102.22+102808.72</f>
        <v>315910.94</v>
      </c>
      <c r="G244" s="18">
        <f>118885.1+64262.64</f>
        <v>183147.74</v>
      </c>
      <c r="H244" s="18">
        <f>73.5+17104.38+10873.47+2465.8+45650.23+2290.2+41035.98+26318.43+43713.2+7229.8+53871.04+4208.03</f>
        <v>254834.06</v>
      </c>
      <c r="I244" s="18">
        <f>32937.75+62490.05+157472.45+2031.21+199.5+9054.54</f>
        <v>264185.5</v>
      </c>
      <c r="J244" s="18">
        <v>0</v>
      </c>
      <c r="K244" s="18">
        <v>0</v>
      </c>
      <c r="L244" s="19">
        <f t="shared" si="4"/>
        <v>1018078.24</v>
      </c>
      <c r="M244" s="8"/>
      <c r="N244" s="266"/>
    </row>
    <row r="245" spans="1:14" s="3" customFormat="1" ht="12.2" customHeight="1" x14ac:dyDescent="0.15">
      <c r="A245" s="1" t="s">
        <v>448</v>
      </c>
      <c r="B245" s="2" t="s">
        <v>350</v>
      </c>
      <c r="C245" s="2" t="s">
        <v>300</v>
      </c>
      <c r="D245" s="2" t="s">
        <v>431</v>
      </c>
      <c r="E245" s="6">
        <v>2700</v>
      </c>
      <c r="F245" s="18">
        <f>17269+36939.91+20634.25+12086.88+15229.79+10754.41</f>
        <v>112914.24000000002</v>
      </c>
      <c r="G245" s="18">
        <f>1692.29+9498.02+2063.71+1198.41+1605.37+5652.97-0.09</f>
        <v>21710.68</v>
      </c>
      <c r="H245" s="18">
        <f>213.74+56659.01+13837.23+8514.03</f>
        <v>79224.009999999995</v>
      </c>
      <c r="I245" s="18">
        <f>960.74+11609.11</f>
        <v>12569.85</v>
      </c>
      <c r="J245" s="18">
        <f>4168.8+9666.72</f>
        <v>13835.52</v>
      </c>
      <c r="K245" s="18">
        <f>982.39</f>
        <v>982.39</v>
      </c>
      <c r="L245" s="19">
        <f t="shared" si="4"/>
        <v>241236.69</v>
      </c>
      <c r="M245" s="8"/>
      <c r="N245" s="266"/>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5718434.8000000007</v>
      </c>
      <c r="G248" s="41">
        <f t="shared" si="5"/>
        <v>2588256.23</v>
      </c>
      <c r="H248" s="41">
        <f t="shared" si="5"/>
        <v>2056278.5099999998</v>
      </c>
      <c r="I248" s="41">
        <f t="shared" si="5"/>
        <v>446123.32999999996</v>
      </c>
      <c r="J248" s="41">
        <f t="shared" si="5"/>
        <v>153444.32</v>
      </c>
      <c r="K248" s="41">
        <f t="shared" si="5"/>
        <v>63039.22</v>
      </c>
      <c r="L248" s="41">
        <f t="shared" si="5"/>
        <v>11025576.410000002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6"/>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6"/>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6"/>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6"/>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6"/>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15208160.550000001</v>
      </c>
      <c r="G258" s="41">
        <f t="shared" si="8"/>
        <v>6977369.4199999999</v>
      </c>
      <c r="H258" s="41">
        <f t="shared" si="8"/>
        <v>3952200.9399999995</v>
      </c>
      <c r="I258" s="41">
        <f t="shared" si="8"/>
        <v>974768.32</v>
      </c>
      <c r="J258" s="41">
        <f t="shared" si="8"/>
        <v>418378.52</v>
      </c>
      <c r="K258" s="41">
        <f t="shared" si="8"/>
        <v>152566.69</v>
      </c>
      <c r="L258" s="41">
        <f t="shared" si="8"/>
        <v>27683444.439999998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200000</v>
      </c>
      <c r="L261" s="19">
        <f>SUM(F261:K261)</f>
        <v>200000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67000</v>
      </c>
      <c r="L262" s="19">
        <f>SUM(F262:K262)</f>
        <v>67000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481093.67</v>
      </c>
      <c r="L267" s="19">
        <f t="shared" si="9"/>
        <v>481093.67</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748093.66999999993</v>
      </c>
      <c r="L271" s="41">
        <f t="shared" si="9"/>
        <v>748093.66999999993</v>
      </c>
      <c r="M271" s="8"/>
      <c r="N271" s="266"/>
    </row>
    <row r="272" spans="1:14" s="34" customFormat="1" ht="12.2" customHeight="1" thickTop="1" x14ac:dyDescent="0.2">
      <c r="A272" s="43" t="s">
        <v>464</v>
      </c>
      <c r="B272" s="40">
        <v>10</v>
      </c>
      <c r="C272" s="40">
        <v>18</v>
      </c>
      <c r="D272" s="39" t="s">
        <v>431</v>
      </c>
      <c r="E272" s="40"/>
      <c r="F272" s="42">
        <f t="shared" ref="F272:L272" si="11">F258+F271</f>
        <v>15208160.550000001</v>
      </c>
      <c r="G272" s="42">
        <f t="shared" si="11"/>
        <v>6977369.4199999999</v>
      </c>
      <c r="H272" s="42">
        <f t="shared" si="11"/>
        <v>3952200.9399999995</v>
      </c>
      <c r="I272" s="42">
        <f t="shared" si="11"/>
        <v>974768.32</v>
      </c>
      <c r="J272" s="42">
        <f t="shared" si="11"/>
        <v>418378.52</v>
      </c>
      <c r="K272" s="42">
        <f t="shared" si="11"/>
        <v>900660.35999999987</v>
      </c>
      <c r="L272" s="42">
        <f t="shared" si="11"/>
        <v>28431538.109999999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42152</v>
      </c>
      <c r="G277" s="18">
        <f>72691.19-42152-1500-1212.19</f>
        <v>27827.000000000004</v>
      </c>
      <c r="H277" s="18">
        <v>0</v>
      </c>
      <c r="I277" s="18">
        <f>1075.45+360</f>
        <v>1435.45</v>
      </c>
      <c r="J277" s="18">
        <v>0</v>
      </c>
      <c r="K277" s="18">
        <f>1500+1212.19</f>
        <v>2712.19</v>
      </c>
      <c r="L277" s="19">
        <f>SUM(F277:K277)</f>
        <v>74126.64</v>
      </c>
      <c r="M277" s="8"/>
      <c r="N277" s="266"/>
    </row>
    <row r="278" spans="1:14" s="3" customFormat="1" ht="12.2" customHeight="1" x14ac:dyDescent="0.15">
      <c r="A278" s="1" t="s">
        <v>439</v>
      </c>
      <c r="B278" s="2" t="s">
        <v>357</v>
      </c>
      <c r="C278" s="2" t="s">
        <v>291</v>
      </c>
      <c r="D278" s="2" t="s">
        <v>431</v>
      </c>
      <c r="E278" s="6">
        <v>1200</v>
      </c>
      <c r="F278" s="18">
        <f>771.75+71997.6</f>
        <v>72769.350000000006</v>
      </c>
      <c r="G278" s="18">
        <f>5507.82</f>
        <v>5507.82</v>
      </c>
      <c r="H278" s="18">
        <f>870.11+12000+11382.5+8064.76+558.02</f>
        <v>32875.39</v>
      </c>
      <c r="I278" s="18">
        <f>188.45+1284.34+661.93</f>
        <v>2134.7199999999998</v>
      </c>
      <c r="J278" s="18">
        <f>410+640</f>
        <v>1050</v>
      </c>
      <c r="K278" s="18">
        <f>302+1584.43</f>
        <v>1886.43</v>
      </c>
      <c r="L278" s="19">
        <f>SUM(F278:K278)</f>
        <v>116223.71</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f>1071.67</f>
        <v>1071.67</v>
      </c>
      <c r="G280" s="18">
        <v>0</v>
      </c>
      <c r="H280" s="18">
        <v>0</v>
      </c>
      <c r="I280" s="18">
        <f>1062</f>
        <v>1062</v>
      </c>
      <c r="J280" s="18">
        <f>591.85</f>
        <v>591.85</v>
      </c>
      <c r="K280" s="18">
        <f>359.67</f>
        <v>359.67</v>
      </c>
      <c r="L280" s="19">
        <f>SUM(F280:K280)</f>
        <v>3085.19</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20470.67</f>
        <v>20470.669999999998</v>
      </c>
      <c r="G282" s="18">
        <f>1566</f>
        <v>1566</v>
      </c>
      <c r="H282" s="18">
        <v>0</v>
      </c>
      <c r="I282" s="18">
        <v>0</v>
      </c>
      <c r="J282" s="18">
        <v>0</v>
      </c>
      <c r="K282" s="18">
        <v>0</v>
      </c>
      <c r="L282" s="19">
        <f t="shared" ref="L282:L288" si="12">SUM(F282:K282)</f>
        <v>22036.67</v>
      </c>
      <c r="M282" s="8"/>
      <c r="N282" s="266"/>
    </row>
    <row r="283" spans="1:14" s="3" customFormat="1" ht="12.2" customHeight="1" x14ac:dyDescent="0.15">
      <c r="A283" s="1" t="s">
        <v>443</v>
      </c>
      <c r="B283" s="2" t="s">
        <v>357</v>
      </c>
      <c r="C283" s="2" t="s">
        <v>295</v>
      </c>
      <c r="D283" s="2" t="s">
        <v>431</v>
      </c>
      <c r="E283" s="6">
        <v>2200</v>
      </c>
      <c r="F283" s="18">
        <f>11920.03+1567.67-1</f>
        <v>13486.7</v>
      </c>
      <c r="G283" s="18">
        <f>919.28+112.2</f>
        <v>1031.48</v>
      </c>
      <c r="H283" s="18">
        <f>754.73+5333.33</f>
        <v>6088.0599999999995</v>
      </c>
      <c r="I283" s="18">
        <f>200+171.6</f>
        <v>371.6</v>
      </c>
      <c r="J283" s="18">
        <v>0</v>
      </c>
      <c r="K283" s="18">
        <f>419.04+666.67+54.12+16.23+103.62</f>
        <v>1259.6799999999998</v>
      </c>
      <c r="L283" s="19">
        <f t="shared" si="12"/>
        <v>22237.519999999997</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149950.39000000001</v>
      </c>
      <c r="G291" s="42">
        <f t="shared" si="13"/>
        <v>35932.30000000001</v>
      </c>
      <c r="H291" s="42">
        <f t="shared" si="13"/>
        <v>38963.449999999997</v>
      </c>
      <c r="I291" s="42">
        <f t="shared" si="13"/>
        <v>5003.7700000000004</v>
      </c>
      <c r="J291" s="42">
        <f t="shared" si="13"/>
        <v>1641.85</v>
      </c>
      <c r="K291" s="42">
        <f t="shared" si="13"/>
        <v>6217.9699999999993</v>
      </c>
      <c r="L291" s="41">
        <f t="shared" si="13"/>
        <v>237709.73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v>0</v>
      </c>
      <c r="H296" s="18">
        <v>0</v>
      </c>
      <c r="I296" s="18">
        <f>1075.45+360</f>
        <v>1435.45</v>
      </c>
      <c r="J296" s="18">
        <v>0</v>
      </c>
      <c r="K296" s="18">
        <v>0</v>
      </c>
      <c r="L296" s="19">
        <f>SUM(F296:K296)</f>
        <v>1435.45</v>
      </c>
      <c r="M296" s="8"/>
      <c r="N296" s="266"/>
    </row>
    <row r="297" spans="1:14" s="3" customFormat="1" ht="12.2" customHeight="1" x14ac:dyDescent="0.15">
      <c r="A297" s="1" t="s">
        <v>439</v>
      </c>
      <c r="B297" s="2" t="s">
        <v>358</v>
      </c>
      <c r="C297" s="2" t="s">
        <v>291</v>
      </c>
      <c r="D297" s="2" t="s">
        <v>431</v>
      </c>
      <c r="E297" s="6">
        <v>1200</v>
      </c>
      <c r="F297" s="18">
        <f>79152</f>
        <v>79152</v>
      </c>
      <c r="G297" s="18">
        <f>6055.13</f>
        <v>6055.13</v>
      </c>
      <c r="H297" s="18">
        <f>8064.76</f>
        <v>8064.76</v>
      </c>
      <c r="I297" s="18">
        <f>1284.34+661.93</f>
        <v>1946.27</v>
      </c>
      <c r="J297" s="18">
        <f>640</f>
        <v>640</v>
      </c>
      <c r="K297" s="18">
        <f>302+1584.43</f>
        <v>1886.43</v>
      </c>
      <c r="L297" s="19">
        <f>SUM(F297:K297)</f>
        <v>97744.59</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f>1071.67+1500</f>
        <v>2571.67</v>
      </c>
      <c r="G299" s="18">
        <v>0</v>
      </c>
      <c r="H299" s="18">
        <v>0</v>
      </c>
      <c r="I299" s="18">
        <v>0</v>
      </c>
      <c r="J299" s="18">
        <f>591.85+2009.89</f>
        <v>2601.7400000000002</v>
      </c>
      <c r="K299" s="18">
        <f>359.67+155</f>
        <v>514.67000000000007</v>
      </c>
      <c r="L299" s="19">
        <f>SUM(F299:K299)</f>
        <v>5688.08</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f>20470.67+8142+11161.8</f>
        <v>39774.47</v>
      </c>
      <c r="G301" s="18">
        <f>1566+622.86+853.88</f>
        <v>3042.7400000000002</v>
      </c>
      <c r="H301" s="18">
        <v>0</v>
      </c>
      <c r="I301" s="18">
        <v>0</v>
      </c>
      <c r="J301" s="18">
        <v>0</v>
      </c>
      <c r="K301" s="18">
        <v>0</v>
      </c>
      <c r="L301" s="19">
        <f t="shared" ref="L301:L307" si="14">SUM(F301:K301)</f>
        <v>42817.21</v>
      </c>
      <c r="M301" s="8"/>
      <c r="N301" s="266"/>
    </row>
    <row r="302" spans="1:14" s="3" customFormat="1" ht="12.2" customHeight="1" x14ac:dyDescent="0.15">
      <c r="A302" s="1" t="s">
        <v>443</v>
      </c>
      <c r="B302" s="2" t="s">
        <v>358</v>
      </c>
      <c r="C302" s="2" t="s">
        <v>295</v>
      </c>
      <c r="D302" s="2" t="s">
        <v>431</v>
      </c>
      <c r="E302" s="6">
        <v>2200</v>
      </c>
      <c r="F302" s="18">
        <f>11920.03+1567.67-1</f>
        <v>13486.7</v>
      </c>
      <c r="G302" s="18">
        <f>919.28+112.2</f>
        <v>1031.48</v>
      </c>
      <c r="H302" s="18">
        <f>754.73+5333.33</f>
        <v>6088.0599999999995</v>
      </c>
      <c r="I302" s="18">
        <f>200+171.6</f>
        <v>371.6</v>
      </c>
      <c r="J302" s="18">
        <v>0</v>
      </c>
      <c r="K302" s="18">
        <f>419.04+666.67+54.12+16.23+103.62</f>
        <v>1259.6799999999998</v>
      </c>
      <c r="L302" s="19">
        <f t="shared" si="14"/>
        <v>22237.519999999997</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134984.84</v>
      </c>
      <c r="G310" s="42">
        <f t="shared" si="15"/>
        <v>10129.35</v>
      </c>
      <c r="H310" s="42">
        <f t="shared" si="15"/>
        <v>14152.82</v>
      </c>
      <c r="I310" s="42">
        <f t="shared" si="15"/>
        <v>3753.32</v>
      </c>
      <c r="J310" s="42">
        <f t="shared" si="15"/>
        <v>3241.7400000000002</v>
      </c>
      <c r="K310" s="42">
        <f t="shared" si="15"/>
        <v>3660.78</v>
      </c>
      <c r="L310" s="41">
        <f t="shared" si="15"/>
        <v>169922.84999999998</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0</v>
      </c>
      <c r="G315" s="18">
        <v>0</v>
      </c>
      <c r="H315" s="18">
        <v>0</v>
      </c>
      <c r="I315" s="18">
        <f>1075.45+360</f>
        <v>1435.45</v>
      </c>
      <c r="J315" s="18">
        <v>0</v>
      </c>
      <c r="K315" s="18">
        <v>0</v>
      </c>
      <c r="L315" s="19">
        <f>SUM(F315:K315)</f>
        <v>1435.45</v>
      </c>
      <c r="M315" s="8"/>
      <c r="N315" s="266"/>
    </row>
    <row r="316" spans="1:14" s="3" customFormat="1" ht="12.2" customHeight="1" x14ac:dyDescent="0.15">
      <c r="A316" s="1" t="s">
        <v>439</v>
      </c>
      <c r="B316" s="2" t="s">
        <v>359</v>
      </c>
      <c r="C316" s="2" t="s">
        <v>291</v>
      </c>
      <c r="D316" s="2" t="s">
        <v>431</v>
      </c>
      <c r="E316" s="6">
        <v>1200</v>
      </c>
      <c r="F316" s="18">
        <v>0</v>
      </c>
      <c r="G316" s="18">
        <v>0</v>
      </c>
      <c r="H316" s="18">
        <f>8064.78</f>
        <v>8064.78</v>
      </c>
      <c r="I316" s="18">
        <f>1284.34+661.92</f>
        <v>1946.2599999999998</v>
      </c>
      <c r="J316" s="18">
        <f>640</f>
        <v>640</v>
      </c>
      <c r="K316" s="18">
        <f>302+1584.43</f>
        <v>1886.43</v>
      </c>
      <c r="L316" s="19">
        <f>SUM(F316:K316)</f>
        <v>12537.47</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6"/>
    </row>
    <row r="318" spans="1:14" s="3" customFormat="1" ht="12.2" customHeight="1" x14ac:dyDescent="0.15">
      <c r="A318" s="1" t="s">
        <v>441</v>
      </c>
      <c r="B318" s="2" t="s">
        <v>359</v>
      </c>
      <c r="C318" s="2" t="s">
        <v>293</v>
      </c>
      <c r="D318" s="2" t="s">
        <v>431</v>
      </c>
      <c r="E318" s="6">
        <v>1400</v>
      </c>
      <c r="F318" s="18">
        <f>1071.66</f>
        <v>1071.6600000000001</v>
      </c>
      <c r="G318" s="18">
        <v>0</v>
      </c>
      <c r="H318" s="18">
        <v>0</v>
      </c>
      <c r="I318" s="18">
        <v>0</v>
      </c>
      <c r="J318" s="18">
        <f>591.86</f>
        <v>591.86</v>
      </c>
      <c r="K318" s="18">
        <v>359.66</v>
      </c>
      <c r="L318" s="19">
        <f>SUM(F318:K318)</f>
        <v>2023.18</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20470.66</f>
        <v>20470.66</v>
      </c>
      <c r="G320" s="18">
        <f>1566</f>
        <v>1566</v>
      </c>
      <c r="H320" s="18">
        <v>0</v>
      </c>
      <c r="I320" s="18">
        <v>0</v>
      </c>
      <c r="J320" s="18">
        <v>0</v>
      </c>
      <c r="K320" s="18">
        <v>0</v>
      </c>
      <c r="L320" s="19">
        <f t="shared" ref="L320:L326" si="16">SUM(F320:K320)</f>
        <v>22036.66</v>
      </c>
      <c r="M320" s="8"/>
      <c r="N320" s="266"/>
    </row>
    <row r="321" spans="1:14" s="3" customFormat="1" ht="12.2" customHeight="1" x14ac:dyDescent="0.15">
      <c r="A321" s="1" t="s">
        <v>443</v>
      </c>
      <c r="B321" s="2" t="s">
        <v>359</v>
      </c>
      <c r="C321" s="2" t="s">
        <v>295</v>
      </c>
      <c r="D321" s="2" t="s">
        <v>431</v>
      </c>
      <c r="E321" s="6">
        <v>2200</v>
      </c>
      <c r="F321" s="18">
        <f>11920.04+1567.66-1</f>
        <v>13486.7</v>
      </c>
      <c r="G321" s="18">
        <f>919.27+112.2</f>
        <v>1031.47</v>
      </c>
      <c r="H321" s="18">
        <f>754.73+5333.34</f>
        <v>6088.07</v>
      </c>
      <c r="I321" s="18">
        <f>200+171.6</f>
        <v>371.6</v>
      </c>
      <c r="J321" s="18">
        <v>0</v>
      </c>
      <c r="K321" s="18">
        <f>419.03+666.66+54.11+16.23+103.61</f>
        <v>1259.6399999999999</v>
      </c>
      <c r="L321" s="19">
        <f t="shared" si="16"/>
        <v>22237.479999999996</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35029.020000000004</v>
      </c>
      <c r="G329" s="42">
        <f t="shared" si="17"/>
        <v>2597.4700000000003</v>
      </c>
      <c r="H329" s="42">
        <f t="shared" si="17"/>
        <v>14152.849999999999</v>
      </c>
      <c r="I329" s="42">
        <f t="shared" si="17"/>
        <v>3753.31</v>
      </c>
      <c r="J329" s="42">
        <f t="shared" si="17"/>
        <v>1231.8600000000001</v>
      </c>
      <c r="K329" s="42">
        <f t="shared" si="17"/>
        <v>3505.73</v>
      </c>
      <c r="L329" s="41">
        <f t="shared" si="17"/>
        <v>60270.239999999998</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6"/>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6"/>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6"/>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6"/>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319964.25</v>
      </c>
      <c r="G339" s="41">
        <f t="shared" si="20"/>
        <v>48659.12000000001</v>
      </c>
      <c r="H339" s="41">
        <f t="shared" si="20"/>
        <v>67269.119999999995</v>
      </c>
      <c r="I339" s="41">
        <f t="shared" si="20"/>
        <v>12510.4</v>
      </c>
      <c r="J339" s="41">
        <f t="shared" si="20"/>
        <v>6115.4500000000007</v>
      </c>
      <c r="K339" s="41">
        <f t="shared" si="20"/>
        <v>13384.48</v>
      </c>
      <c r="L339" s="41">
        <f t="shared" si="20"/>
        <v>467902.81999999995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319964.25</v>
      </c>
      <c r="G353" s="41">
        <f>G339</f>
        <v>48659.12000000001</v>
      </c>
      <c r="H353" s="41">
        <f>H339</f>
        <v>67269.119999999995</v>
      </c>
      <c r="I353" s="41">
        <f>I339</f>
        <v>12510.4</v>
      </c>
      <c r="J353" s="41">
        <f>J339</f>
        <v>6115.4500000000007</v>
      </c>
      <c r="K353" s="47">
        <f>K339+K352</f>
        <v>13384.48</v>
      </c>
      <c r="L353" s="41">
        <f>L339+L352</f>
        <v>467902.81999999995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52188.31</v>
      </c>
      <c r="G359" s="18">
        <v>29931.33</v>
      </c>
      <c r="H359" s="18">
        <v>2918.38</v>
      </c>
      <c r="I359" s="18">
        <v>52372.87</v>
      </c>
      <c r="J359" s="18">
        <f>3998.12+0.01</f>
        <v>3998.13</v>
      </c>
      <c r="K359" s="18">
        <v>157.05000000000001</v>
      </c>
      <c r="L359" s="13">
        <f>SUM(F359:K359)</f>
        <v>141566.07</v>
      </c>
      <c r="M359" s="8"/>
      <c r="N359" s="266"/>
    </row>
    <row r="360" spans="1:22" s="3" customFormat="1" ht="12.2" customHeight="1" x14ac:dyDescent="0.15">
      <c r="A360" s="1" t="s">
        <v>542</v>
      </c>
      <c r="B360" s="2" t="s">
        <v>366</v>
      </c>
      <c r="C360" s="6">
        <v>2</v>
      </c>
      <c r="D360" s="2" t="s">
        <v>431</v>
      </c>
      <c r="E360" s="6"/>
      <c r="F360" s="18">
        <v>81270.44</v>
      </c>
      <c r="G360" s="18">
        <v>46610.67</v>
      </c>
      <c r="H360" s="18">
        <v>4544.66</v>
      </c>
      <c r="I360" s="18">
        <v>81557.850000000006</v>
      </c>
      <c r="J360" s="18">
        <v>6226.09</v>
      </c>
      <c r="K360" s="18">
        <v>244.57</v>
      </c>
      <c r="L360" s="19">
        <f>SUM(F360:K360)</f>
        <v>220454.28</v>
      </c>
      <c r="M360" s="8"/>
      <c r="N360" s="266"/>
    </row>
    <row r="361" spans="1:22" s="3" customFormat="1" ht="12.2" customHeight="1" x14ac:dyDescent="0.15">
      <c r="A361" s="3" t="s">
        <v>543</v>
      </c>
      <c r="B361" s="2" t="s">
        <v>366</v>
      </c>
      <c r="C361" s="6">
        <v>3</v>
      </c>
      <c r="D361" s="2" t="s">
        <v>431</v>
      </c>
      <c r="E361" s="6"/>
      <c r="F361" s="18">
        <v>99150.15</v>
      </c>
      <c r="G361" s="18">
        <v>56865.15</v>
      </c>
      <c r="H361" s="18">
        <v>5544.5</v>
      </c>
      <c r="I361" s="18">
        <v>99500.79</v>
      </c>
      <c r="J361" s="18">
        <v>7595.85</v>
      </c>
      <c r="K361" s="18">
        <v>298.38</v>
      </c>
      <c r="L361" s="19">
        <f>SUM(F361:K361)</f>
        <v>268954.81999999995</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232608.9</v>
      </c>
      <c r="G363" s="47">
        <f t="shared" si="22"/>
        <v>133407.15</v>
      </c>
      <c r="H363" s="47">
        <f t="shared" si="22"/>
        <v>13007.54</v>
      </c>
      <c r="I363" s="47">
        <f t="shared" si="22"/>
        <v>233431.51</v>
      </c>
      <c r="J363" s="47">
        <f t="shared" si="22"/>
        <v>17820.07</v>
      </c>
      <c r="K363" s="47">
        <f t="shared" si="22"/>
        <v>700</v>
      </c>
      <c r="L363" s="47">
        <f t="shared" si="22"/>
        <v>630975.16999999993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I359-F369</f>
        <v>49229.200000000004</v>
      </c>
      <c r="G368" s="18">
        <f>I360-G369</f>
        <v>76662.36</v>
      </c>
      <c r="H368" s="18">
        <f>I361-H369</f>
        <v>93528.26999999999</v>
      </c>
      <c r="I368" s="56">
        <f>SUM(F368:H368)</f>
        <v>219419.83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3143.67</v>
      </c>
      <c r="G369" s="63">
        <v>4895.49</v>
      </c>
      <c r="H369" s="63">
        <v>5972.52</v>
      </c>
      <c r="I369" s="56">
        <f>SUM(F369:H369)</f>
        <v>14011.68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52372.87</v>
      </c>
      <c r="G370" s="47">
        <f>SUM(G368:G369)</f>
        <v>81557.850000000006</v>
      </c>
      <c r="H370" s="47">
        <f>SUM(H368:H369)</f>
        <v>99500.79</v>
      </c>
      <c r="I370" s="47">
        <f>SUM(I368:I369)</f>
        <v>233431.50999999998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6"/>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6"/>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6"/>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6"/>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6"/>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6"/>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v>0</v>
      </c>
      <c r="G390" s="18">
        <v>481093.67</v>
      </c>
      <c r="H390" s="18">
        <v>90718.14</v>
      </c>
      <c r="I390" s="18">
        <v>0</v>
      </c>
      <c r="J390" s="24" t="s">
        <v>288</v>
      </c>
      <c r="K390" s="24" t="s">
        <v>288</v>
      </c>
      <c r="L390" s="56">
        <f t="shared" si="25"/>
        <v>571811.80999999994</v>
      </c>
      <c r="M390" s="8"/>
      <c r="N390" s="266"/>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481093.67</v>
      </c>
      <c r="H394" s="139">
        <f>SUM(H388:H393)</f>
        <v>90718.14</v>
      </c>
      <c r="I394" s="65">
        <f>SUM(I388:I393)</f>
        <v>0</v>
      </c>
      <c r="J394" s="45" t="s">
        <v>288</v>
      </c>
      <c r="K394" s="45" t="s">
        <v>288</v>
      </c>
      <c r="L394" s="47">
        <f>SUM(L388:L393)</f>
        <v>571811.80999999994</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6"/>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6"/>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481093.67</v>
      </c>
      <c r="H409" s="47">
        <f>H394+H402+H408</f>
        <v>90718.14</v>
      </c>
      <c r="I409" s="47">
        <f>I394+I402+I408</f>
        <v>0</v>
      </c>
      <c r="J409" s="24" t="s">
        <v>288</v>
      </c>
      <c r="K409" s="24" t="s">
        <v>288</v>
      </c>
      <c r="L409" s="47">
        <f>L394+L402+L408</f>
        <v>571811.80999999994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6"/>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6"/>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6"/>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6"/>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6"/>
    </row>
    <row r="424" spans="1:21" s="3" customFormat="1" ht="12.2" customHeight="1" x14ac:dyDescent="0.15">
      <c r="A424" s="79" t="s">
        <v>515</v>
      </c>
      <c r="B424" s="6">
        <v>17</v>
      </c>
      <c r="C424" s="6">
        <v>10</v>
      </c>
      <c r="D424" s="2" t="s">
        <v>432</v>
      </c>
      <c r="E424" s="6"/>
      <c r="F424" s="18">
        <v>0</v>
      </c>
      <c r="G424" s="18">
        <v>0</v>
      </c>
      <c r="H424" s="18">
        <v>0</v>
      </c>
      <c r="I424" s="18">
        <v>0</v>
      </c>
      <c r="J424" s="18">
        <v>0</v>
      </c>
      <c r="K424" s="18">
        <v>378436.83</v>
      </c>
      <c r="L424" s="56">
        <f t="shared" si="29"/>
        <v>378436.83</v>
      </c>
      <c r="M424" s="8"/>
      <c r="N424" s="266"/>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6"/>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6"/>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378436.83</v>
      </c>
      <c r="L428" s="47">
        <f t="shared" si="30"/>
        <v>378436.83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4"/>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6"/>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378436.83</v>
      </c>
      <c r="L435" s="47">
        <f t="shared" si="32"/>
        <v>378436.83</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f>174269.62+75753.71+110091.71+1136766.71+559248.1+9102.74</f>
        <v>2065232.59</v>
      </c>
      <c r="G441" s="18">
        <v>0</v>
      </c>
      <c r="H441" s="18">
        <v>0</v>
      </c>
      <c r="I441" s="56">
        <f t="shared" si="33"/>
        <v>2065232.59</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2065232.59</v>
      </c>
      <c r="G447" s="13">
        <f>SUM(G440:G446)</f>
        <v>0</v>
      </c>
      <c r="H447" s="13">
        <f>SUM(H440:H446)</f>
        <v>0</v>
      </c>
      <c r="I447" s="13">
        <f>SUM(I440:I446)</f>
        <v>2065232.59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F441</f>
        <v>2065232.59</v>
      </c>
      <c r="G460" s="18">
        <v>0</v>
      </c>
      <c r="H460" s="18">
        <v>0</v>
      </c>
      <c r="I460" s="56">
        <f t="shared" si="34"/>
        <v>2065232.59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2065232.59</v>
      </c>
      <c r="G461" s="83">
        <f>SUM(G455:G460)</f>
        <v>0</v>
      </c>
      <c r="H461" s="83">
        <f>SUM(H455:H460)</f>
        <v>0</v>
      </c>
      <c r="I461" s="83">
        <f>SUM(I455:I460)</f>
        <v>2065232.59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2065232.59</v>
      </c>
      <c r="G462" s="42">
        <f>G453+G461</f>
        <v>0</v>
      </c>
      <c r="H462" s="42">
        <f>H453+H461</f>
        <v>0</v>
      </c>
      <c r="I462" s="42">
        <f>I453+I461</f>
        <v>2065232.59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464170.34</v>
      </c>
      <c r="G466" s="18">
        <v>257324.38</v>
      </c>
      <c r="H466" s="18">
        <v>0</v>
      </c>
      <c r="I466" s="18">
        <v>0</v>
      </c>
      <c r="J466" s="18">
        <v>1871857.61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29316567.569999997</v>
      </c>
      <c r="G469" s="18">
        <f>G194</f>
        <v>541165.47</v>
      </c>
      <c r="H469" s="18">
        <f>H194</f>
        <v>467902.81999999995</v>
      </c>
      <c r="I469" s="18">
        <v>0</v>
      </c>
      <c r="J469" s="18">
        <f>L409</f>
        <v>571811.80999999994</v>
      </c>
      <c r="K469" s="24" t="s">
        <v>288</v>
      </c>
      <c r="L469" s="24" t="s">
        <v>288</v>
      </c>
      <c r="N469" s="265"/>
    </row>
    <row r="470" spans="1:14" s="52" customFormat="1" ht="12.2" customHeight="1" x14ac:dyDescent="0.2">
      <c r="A470" s="93" t="s">
        <v>611</v>
      </c>
      <c r="B470" s="75">
        <v>19</v>
      </c>
      <c r="C470" s="80">
        <v>3</v>
      </c>
      <c r="D470" s="2" t="s">
        <v>432</v>
      </c>
      <c r="E470" s="80"/>
      <c r="F470" s="18"/>
      <c r="G470" s="18">
        <v>0</v>
      </c>
      <c r="H470" s="18">
        <v>0</v>
      </c>
      <c r="I470" s="18">
        <v>0</v>
      </c>
      <c r="J470" s="18"/>
      <c r="K470" s="24" t="s">
        <v>288</v>
      </c>
      <c r="L470" s="24" t="s">
        <v>288</v>
      </c>
      <c r="N470" s="265"/>
    </row>
    <row r="471" spans="1:14" s="52" customFormat="1" ht="12.2" customHeight="1" x14ac:dyDescent="0.2">
      <c r="A471" s="92" t="s">
        <v>425</v>
      </c>
      <c r="B471" s="75">
        <v>19</v>
      </c>
      <c r="C471" s="80">
        <v>4</v>
      </c>
      <c r="D471" s="2" t="s">
        <v>432</v>
      </c>
      <c r="E471" s="80"/>
      <c r="F471" s="53">
        <f>SUM(F469:F470)</f>
        <v>29316567.569999997</v>
      </c>
      <c r="G471" s="53">
        <f>SUM(G469:G470)</f>
        <v>541165.47</v>
      </c>
      <c r="H471" s="53">
        <f>SUM(H469:H470)</f>
        <v>467902.81999999995</v>
      </c>
      <c r="I471" s="53">
        <f>SUM(I469:I470)</f>
        <v>0</v>
      </c>
      <c r="J471" s="53">
        <f>SUM(J469:J470)</f>
        <v>571811.80999999994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28431538.109999999</v>
      </c>
      <c r="G473" s="18">
        <f>L363</f>
        <v>630975.16999999993</v>
      </c>
      <c r="H473" s="18">
        <f>L353</f>
        <v>467902.81999999995</v>
      </c>
      <c r="I473" s="18">
        <v>0</v>
      </c>
      <c r="J473" s="18">
        <f>L435</f>
        <v>378436.83</v>
      </c>
      <c r="K473" s="24" t="s">
        <v>288</v>
      </c>
      <c r="L473" s="24" t="s">
        <v>288</v>
      </c>
      <c r="N473" s="265"/>
    </row>
    <row r="474" spans="1:14" s="52" customFormat="1" ht="12.2" customHeight="1" x14ac:dyDescent="0.2">
      <c r="A474" s="93" t="s">
        <v>613</v>
      </c>
      <c r="B474" s="75">
        <v>19</v>
      </c>
      <c r="C474" s="80">
        <v>6</v>
      </c>
      <c r="D474" s="2" t="s">
        <v>432</v>
      </c>
      <c r="E474" s="80"/>
      <c r="F474" s="18"/>
      <c r="G474" s="18">
        <v>0</v>
      </c>
      <c r="H474" s="18">
        <v>0</v>
      </c>
      <c r="I474" s="18">
        <v>0</v>
      </c>
      <c r="J474" s="18"/>
      <c r="K474" s="24" t="s">
        <v>288</v>
      </c>
      <c r="L474" s="24" t="s">
        <v>288</v>
      </c>
      <c r="N474" s="265"/>
    </row>
    <row r="475" spans="1:14" s="52" customFormat="1" ht="12.2" customHeight="1" x14ac:dyDescent="0.2">
      <c r="A475" s="92" t="s">
        <v>426</v>
      </c>
      <c r="B475" s="75">
        <v>19</v>
      </c>
      <c r="C475" s="80">
        <v>7</v>
      </c>
      <c r="D475" s="2" t="s">
        <v>432</v>
      </c>
      <c r="E475" s="80"/>
      <c r="F475" s="53">
        <f>SUM(F473:F474)</f>
        <v>28431538.109999999</v>
      </c>
      <c r="G475" s="53">
        <f>SUM(G473:G474)</f>
        <v>630975.16999999993</v>
      </c>
      <c r="H475" s="53">
        <f>SUM(H473:H474)</f>
        <v>467902.81999999995</v>
      </c>
      <c r="I475" s="53">
        <f>SUM(I473:I474)</f>
        <v>0</v>
      </c>
      <c r="J475" s="53">
        <f>SUM(J473:J474)</f>
        <v>378436.83</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1349199.799999997</v>
      </c>
      <c r="G477" s="53">
        <f>(G466+G471)- G475</f>
        <v>167514.68000000005</v>
      </c>
      <c r="H477" s="53">
        <f>(H466+H471)- H475</f>
        <v>0</v>
      </c>
      <c r="I477" s="53">
        <f>(I466+I471)- I475</f>
        <v>0</v>
      </c>
      <c r="J477" s="53">
        <f>(J466+J471)- J475</f>
        <v>2065232.5899999999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1644</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4027000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4.4000000000000004</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1600000</v>
      </c>
      <c r="G496" s="18"/>
      <c r="H496" s="18"/>
      <c r="I496" s="18"/>
      <c r="J496" s="18"/>
      <c r="K496" s="53">
        <f>SUM(F496:J496)</f>
        <v>1600000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200000</v>
      </c>
      <c r="G498" s="18"/>
      <c r="H498" s="18"/>
      <c r="I498" s="18"/>
      <c r="J498" s="18"/>
      <c r="K498" s="53">
        <f t="shared" si="35"/>
        <v>200000</v>
      </c>
      <c r="L498" s="24" t="s">
        <v>288</v>
      </c>
      <c r="N498" s="265"/>
    </row>
    <row r="499" spans="1:14" s="52" customFormat="1" ht="12.2" customHeight="1" x14ac:dyDescent="0.2">
      <c r="A499" s="200" t="s">
        <v>622</v>
      </c>
      <c r="B499" s="201">
        <v>20</v>
      </c>
      <c r="C499" s="202">
        <v>9</v>
      </c>
      <c r="D499" s="203" t="s">
        <v>432</v>
      </c>
      <c r="E499" s="202"/>
      <c r="F499" s="204">
        <f>F496-F498</f>
        <v>1400000</v>
      </c>
      <c r="G499" s="204"/>
      <c r="H499" s="204"/>
      <c r="I499" s="204"/>
      <c r="J499" s="204"/>
      <c r="K499" s="205">
        <f t="shared" si="35"/>
        <v>1400000</v>
      </c>
      <c r="L499" s="206" t="s">
        <v>288</v>
      </c>
      <c r="N499" s="265"/>
    </row>
    <row r="500" spans="1:14" s="52" customFormat="1" ht="12.2" customHeight="1" thickBot="1" x14ac:dyDescent="0.25">
      <c r="A500" s="22" t="s">
        <v>623</v>
      </c>
      <c r="B500" s="75">
        <v>20</v>
      </c>
      <c r="C500" s="115">
        <v>10</v>
      </c>
      <c r="D500" s="2" t="s">
        <v>432</v>
      </c>
      <c r="E500" s="115"/>
      <c r="F500" s="18">
        <f>598761-67000</f>
        <v>531761</v>
      </c>
      <c r="G500" s="18"/>
      <c r="H500" s="18"/>
      <c r="I500" s="18"/>
      <c r="J500" s="18"/>
      <c r="K500" s="53">
        <f t="shared" si="35"/>
        <v>531761</v>
      </c>
      <c r="L500" s="24" t="s">
        <v>288</v>
      </c>
      <c r="N500" s="265"/>
    </row>
    <row r="501" spans="1:14" s="52" customFormat="1" ht="12.2" customHeight="1" thickTop="1" x14ac:dyDescent="0.2">
      <c r="A501" s="139" t="s">
        <v>624</v>
      </c>
      <c r="B501" s="44">
        <v>20</v>
      </c>
      <c r="C501" s="195">
        <v>11</v>
      </c>
      <c r="D501" s="39" t="s">
        <v>432</v>
      </c>
      <c r="E501" s="195"/>
      <c r="F501" s="42">
        <f>SUM(F499:F500)</f>
        <v>1931761</v>
      </c>
      <c r="G501" s="42">
        <f>SUM(G499:G500)</f>
        <v>0</v>
      </c>
      <c r="H501" s="42">
        <f>SUM(H499:H500)</f>
        <v>0</v>
      </c>
      <c r="I501" s="42">
        <f>SUM(I499:I500)</f>
        <v>0</v>
      </c>
      <c r="J501" s="42">
        <f>SUM(J499:J500)</f>
        <v>0</v>
      </c>
      <c r="K501" s="42">
        <f t="shared" si="35"/>
        <v>1931761</v>
      </c>
      <c r="L501" s="45" t="s">
        <v>288</v>
      </c>
      <c r="N501" s="265"/>
    </row>
    <row r="502" spans="1:14" s="52" customFormat="1" ht="12.2" customHeight="1" x14ac:dyDescent="0.2">
      <c r="A502" s="200" t="s">
        <v>651</v>
      </c>
      <c r="B502" s="201">
        <v>20</v>
      </c>
      <c r="C502" s="202">
        <v>12</v>
      </c>
      <c r="D502" s="203" t="s">
        <v>432</v>
      </c>
      <c r="E502" s="202"/>
      <c r="F502" s="204">
        <v>200000</v>
      </c>
      <c r="G502" s="204"/>
      <c r="H502" s="204"/>
      <c r="I502" s="204"/>
      <c r="J502" s="204"/>
      <c r="K502" s="205">
        <f t="shared" si="35"/>
        <v>200000</v>
      </c>
      <c r="L502" s="206" t="s">
        <v>288</v>
      </c>
      <c r="N502" s="265"/>
    </row>
    <row r="503" spans="1:14" s="52" customFormat="1" ht="12.2" customHeight="1" thickBot="1" x14ac:dyDescent="0.25">
      <c r="A503" s="22" t="s">
        <v>625</v>
      </c>
      <c r="B503" s="75">
        <v>20</v>
      </c>
      <c r="C503" s="115">
        <v>13</v>
      </c>
      <c r="D503" s="2" t="s">
        <v>432</v>
      </c>
      <c r="E503" s="115"/>
      <c r="F503" s="18">
        <v>58200</v>
      </c>
      <c r="G503" s="18"/>
      <c r="H503" s="18"/>
      <c r="I503" s="18"/>
      <c r="J503" s="18"/>
      <c r="K503" s="53">
        <f t="shared" si="35"/>
        <v>58200</v>
      </c>
      <c r="L503" s="24" t="s">
        <v>288</v>
      </c>
      <c r="N503" s="265"/>
    </row>
    <row r="504" spans="1:14" s="52" customFormat="1" ht="12.2" customHeight="1" thickTop="1" x14ac:dyDescent="0.2">
      <c r="A504" s="139" t="s">
        <v>626</v>
      </c>
      <c r="B504" s="44">
        <v>20</v>
      </c>
      <c r="C504" s="195">
        <v>14</v>
      </c>
      <c r="D504" s="39" t="s">
        <v>432</v>
      </c>
      <c r="E504" s="195"/>
      <c r="F504" s="42">
        <f>SUM(F502:F503)</f>
        <v>258200</v>
      </c>
      <c r="G504" s="42">
        <f>SUM(G502:G503)</f>
        <v>0</v>
      </c>
      <c r="H504" s="42">
        <f>SUM(H502:H503)</f>
        <v>0</v>
      </c>
      <c r="I504" s="42">
        <f>SUM(I502:I503)</f>
        <v>0</v>
      </c>
      <c r="J504" s="42">
        <f>SUM(J502:J503)</f>
        <v>0</v>
      </c>
      <c r="K504" s="42">
        <f t="shared" si="35"/>
        <v>258200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F199+F278-F563-F568</f>
        <v>972793.32</v>
      </c>
      <c r="G522" s="18">
        <f t="shared" ref="G522:K522" si="36">G199+G278-G563-G568</f>
        <v>392768.64</v>
      </c>
      <c r="H522" s="18">
        <f t="shared" si="36"/>
        <v>330449.36</v>
      </c>
      <c r="I522" s="18">
        <f t="shared" si="36"/>
        <v>3766.579999999999</v>
      </c>
      <c r="J522" s="18">
        <f t="shared" si="36"/>
        <v>1336.0299999999997</v>
      </c>
      <c r="K522" s="18">
        <f t="shared" si="36"/>
        <v>2029.5700000000002</v>
      </c>
      <c r="L522" s="88">
        <f>SUM(F522:K522)</f>
        <v>1703143.5</v>
      </c>
      <c r="N522" s="265"/>
    </row>
    <row r="523" spans="1:14" s="52" customFormat="1" ht="12.2" customHeight="1" x14ac:dyDescent="0.2">
      <c r="A523" s="22" t="s">
        <v>634</v>
      </c>
      <c r="B523" s="105">
        <v>21</v>
      </c>
      <c r="C523" s="115">
        <v>2</v>
      </c>
      <c r="D523" s="2" t="s">
        <v>432</v>
      </c>
      <c r="E523" s="115"/>
      <c r="F523" s="18">
        <f>F217+F297-F564-F569</f>
        <v>1012270.0099999998</v>
      </c>
      <c r="G523" s="18">
        <f t="shared" ref="G523:K523" si="37">G217+G297-G564-G569</f>
        <v>408414.02999999997</v>
      </c>
      <c r="H523" s="18">
        <f t="shared" si="37"/>
        <v>316251.87</v>
      </c>
      <c r="I523" s="18">
        <f t="shared" si="37"/>
        <v>5782.68</v>
      </c>
      <c r="J523" s="18">
        <f t="shared" si="37"/>
        <v>6357.72</v>
      </c>
      <c r="K523" s="18">
        <f t="shared" si="37"/>
        <v>2022.81</v>
      </c>
      <c r="L523" s="88">
        <f>SUM(F523:K523)</f>
        <v>1751099.1199999996</v>
      </c>
      <c r="N523" s="265"/>
    </row>
    <row r="524" spans="1:14" s="52" customFormat="1" ht="12.2" customHeight="1" thickBot="1" x14ac:dyDescent="0.25">
      <c r="A524" s="22" t="s">
        <v>635</v>
      </c>
      <c r="B524" s="105">
        <v>21</v>
      </c>
      <c r="C524" s="115">
        <v>3</v>
      </c>
      <c r="D524" s="2" t="s">
        <v>432</v>
      </c>
      <c r="E524" s="115"/>
      <c r="F524" s="18">
        <f>F235+F316-F565-F570</f>
        <v>797950.42999999993</v>
      </c>
      <c r="G524" s="18">
        <f t="shared" ref="G524:K524" si="38">G235+G316-G565-G570</f>
        <v>345874.85000000003</v>
      </c>
      <c r="H524" s="18">
        <f t="shared" si="38"/>
        <v>1032594.2000000001</v>
      </c>
      <c r="I524" s="18">
        <f t="shared" si="38"/>
        <v>9210.4500000000007</v>
      </c>
      <c r="J524" s="18">
        <f t="shared" si="38"/>
        <v>1396.62</v>
      </c>
      <c r="K524" s="18">
        <f t="shared" si="38"/>
        <v>2056.9</v>
      </c>
      <c r="L524" s="88">
        <f>SUM(F524:K524)</f>
        <v>2189083.4500000002</v>
      </c>
      <c r="N524" s="265"/>
    </row>
    <row r="525" spans="1:14" s="52" customFormat="1" ht="12.2" customHeight="1" thickTop="1" x14ac:dyDescent="0.2">
      <c r="A525" s="139" t="s">
        <v>63</v>
      </c>
      <c r="B525" s="107">
        <v>21</v>
      </c>
      <c r="C525" s="195">
        <v>4</v>
      </c>
      <c r="D525" s="196" t="s">
        <v>432</v>
      </c>
      <c r="E525" s="195"/>
      <c r="F525" s="108">
        <f>SUM(F522:F524)</f>
        <v>2783013.76</v>
      </c>
      <c r="G525" s="108">
        <f t="shared" ref="G525:L525" si="39">SUM(G522:G524)</f>
        <v>1147057.52</v>
      </c>
      <c r="H525" s="108">
        <f t="shared" si="39"/>
        <v>1679295.4300000002</v>
      </c>
      <c r="I525" s="108">
        <f t="shared" si="39"/>
        <v>18759.71</v>
      </c>
      <c r="J525" s="108">
        <f t="shared" si="39"/>
        <v>9090.369999999999</v>
      </c>
      <c r="K525" s="108">
        <f t="shared" si="39"/>
        <v>6109.2800000000007</v>
      </c>
      <c r="L525" s="89">
        <f t="shared" si="39"/>
        <v>5643326.0700000003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20470.67+67810.97+224108.34+78533.1+135944.81</f>
        <v>526867.8899999999</v>
      </c>
      <c r="G527" s="18">
        <f>4448.66+1566.01+33285.41+146997.24+77026.41</f>
        <v>263323.73</v>
      </c>
      <c r="H527" s="18">
        <f>1231.56+2502.79+1585.71+29909.83+730.93</f>
        <v>35960.82</v>
      </c>
      <c r="I527" s="18">
        <f>543.85+708.93</f>
        <v>1252.78</v>
      </c>
      <c r="J527" s="18">
        <f>825.32+532.61+636.93</f>
        <v>1994.8600000000001</v>
      </c>
      <c r="K527" s="18">
        <v>0</v>
      </c>
      <c r="L527" s="88">
        <f>SUM(F527:K527)</f>
        <v>829400.07999999984</v>
      </c>
      <c r="M527" s="8"/>
      <c r="N527" s="266"/>
    </row>
    <row r="528" spans="1:14" s="3" customFormat="1" ht="12.2" customHeight="1" x14ac:dyDescent="0.15">
      <c r="A528" s="22" t="s">
        <v>634</v>
      </c>
      <c r="B528" s="105">
        <v>21</v>
      </c>
      <c r="C528" s="115">
        <v>6</v>
      </c>
      <c r="D528" s="2" t="s">
        <v>432</v>
      </c>
      <c r="E528" s="115"/>
      <c r="F528" s="18">
        <f>20470.67+67810.97+8142+37351.39+27062.08+33986.2</f>
        <v>194823.31</v>
      </c>
      <c r="G528" s="18">
        <f>4448.66+1566.01+33285.41+622.86-0.03+31286.54+19256.6</f>
        <v>90466.050000000017</v>
      </c>
      <c r="H528" s="18">
        <f>1231.56+613.58+388.75+7477.46+182.73</f>
        <v>9894.08</v>
      </c>
      <c r="I528" s="18">
        <f>133.33+177.23</f>
        <v>310.56</v>
      </c>
      <c r="J528" s="18">
        <f>202.33+133.15</f>
        <v>335.48</v>
      </c>
      <c r="K528" s="18">
        <v>0</v>
      </c>
      <c r="L528" s="88">
        <f>SUM(F528:K528)</f>
        <v>295829.48</v>
      </c>
      <c r="M528" s="8"/>
      <c r="N528" s="266"/>
    </row>
    <row r="529" spans="1:14" s="3" customFormat="1" ht="12.2" customHeight="1" thickBot="1" x14ac:dyDescent="0.2">
      <c r="A529" s="22" t="s">
        <v>635</v>
      </c>
      <c r="B529" s="118">
        <v>21</v>
      </c>
      <c r="C529" s="118">
        <v>7</v>
      </c>
      <c r="D529" s="2" t="s">
        <v>432</v>
      </c>
      <c r="E529" s="118"/>
      <c r="F529" s="18">
        <f>20470.67+67810.97+37351.39+27062.08+33986.2</f>
        <v>186681.31</v>
      </c>
      <c r="G529" s="18">
        <f>4448.66+1566.01+33285.41+31286.54-0.01+19256.6+0.01</f>
        <v>89843.219999999987</v>
      </c>
      <c r="H529" s="18">
        <f>1231.56+613.58+388.75+7477.46+182.73</f>
        <v>9894.08</v>
      </c>
      <c r="I529" s="18">
        <f>133.33+177.23</f>
        <v>310.56</v>
      </c>
      <c r="J529" s="18">
        <f>202.33+133.15</f>
        <v>335.48</v>
      </c>
      <c r="K529" s="18">
        <v>0</v>
      </c>
      <c r="L529" s="88">
        <f>SUM(F529:K529)</f>
        <v>287064.64999999997</v>
      </c>
      <c r="M529" s="8"/>
      <c r="N529" s="266"/>
    </row>
    <row r="530" spans="1:14" s="3" customFormat="1" ht="12.2" customHeight="1" thickTop="1" x14ac:dyDescent="0.15">
      <c r="A530" s="139" t="s">
        <v>65</v>
      </c>
      <c r="B530" s="107">
        <v>21</v>
      </c>
      <c r="C530" s="107">
        <v>8</v>
      </c>
      <c r="D530" s="158" t="s">
        <v>432</v>
      </c>
      <c r="E530" s="107"/>
      <c r="F530" s="89">
        <f>SUM(F527:F529)</f>
        <v>908372.51</v>
      </c>
      <c r="G530" s="89">
        <f t="shared" ref="G530:L530" si="40">SUM(G527:G529)</f>
        <v>443633</v>
      </c>
      <c r="H530" s="89">
        <f t="shared" si="40"/>
        <v>55748.98</v>
      </c>
      <c r="I530" s="89">
        <f t="shared" si="40"/>
        <v>1873.8999999999999</v>
      </c>
      <c r="J530" s="89">
        <f t="shared" si="40"/>
        <v>2665.82</v>
      </c>
      <c r="K530" s="89">
        <f t="shared" si="40"/>
        <v>0</v>
      </c>
      <c r="L530" s="89">
        <f t="shared" si="40"/>
        <v>1412294.2099999997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46145.89</v>
      </c>
      <c r="G532" s="18">
        <v>22710.06</v>
      </c>
      <c r="H532" s="18">
        <v>0</v>
      </c>
      <c r="I532" s="18">
        <v>0</v>
      </c>
      <c r="J532" s="18">
        <v>0</v>
      </c>
      <c r="K532" s="18">
        <v>0</v>
      </c>
      <c r="L532" s="88">
        <f>SUM(F532:K532)</f>
        <v>68855.95</v>
      </c>
      <c r="M532" s="8"/>
      <c r="N532" s="266"/>
    </row>
    <row r="533" spans="1:14" s="3" customFormat="1" ht="12.2" customHeight="1" x14ac:dyDescent="0.15">
      <c r="A533" s="22" t="s">
        <v>634</v>
      </c>
      <c r="B533" s="105">
        <v>21</v>
      </c>
      <c r="C533" s="105">
        <v>10</v>
      </c>
      <c r="D533" s="2" t="s">
        <v>432</v>
      </c>
      <c r="E533" s="105"/>
      <c r="F533" s="18">
        <v>46145.89</v>
      </c>
      <c r="G533" s="18">
        <v>22710.06</v>
      </c>
      <c r="H533" s="18">
        <v>0</v>
      </c>
      <c r="I533" s="18">
        <v>0</v>
      </c>
      <c r="J533" s="18">
        <v>0</v>
      </c>
      <c r="K533" s="18">
        <v>0</v>
      </c>
      <c r="L533" s="88">
        <f>SUM(F533:K533)</f>
        <v>68855.95</v>
      </c>
      <c r="M533" s="8"/>
      <c r="N533" s="266"/>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6"/>
    </row>
    <row r="535" spans="1:14" s="3" customFormat="1" ht="12.2" customHeight="1" thickTop="1" x14ac:dyDescent="0.15">
      <c r="A535" s="139" t="s">
        <v>67</v>
      </c>
      <c r="B535" s="107">
        <v>21</v>
      </c>
      <c r="C535" s="107">
        <v>12</v>
      </c>
      <c r="D535" s="158" t="s">
        <v>432</v>
      </c>
      <c r="E535" s="107"/>
      <c r="F535" s="89">
        <f>SUM(F532:F534)</f>
        <v>92291.78</v>
      </c>
      <c r="G535" s="89">
        <f t="shared" ref="G535:L535" si="41">SUM(G532:G534)</f>
        <v>45420.12</v>
      </c>
      <c r="H535" s="89">
        <f t="shared" si="41"/>
        <v>0</v>
      </c>
      <c r="I535" s="89">
        <f t="shared" si="41"/>
        <v>0</v>
      </c>
      <c r="J535" s="89">
        <f t="shared" si="41"/>
        <v>0</v>
      </c>
      <c r="K535" s="89">
        <f t="shared" si="41"/>
        <v>0</v>
      </c>
      <c r="L535" s="89">
        <f t="shared" si="41"/>
        <v>137711.9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1058.33</v>
      </c>
      <c r="I537" s="18">
        <v>0</v>
      </c>
      <c r="J537" s="18">
        <v>0</v>
      </c>
      <c r="K537" s="18">
        <v>0</v>
      </c>
      <c r="L537" s="88">
        <f>SUM(F537:K537)</f>
        <v>1058.33</v>
      </c>
      <c r="M537" s="8"/>
      <c r="N537" s="266"/>
    </row>
    <row r="538" spans="1:14" s="3" customFormat="1" ht="12.2" customHeight="1" x14ac:dyDescent="0.15">
      <c r="A538" s="22" t="s">
        <v>634</v>
      </c>
      <c r="B538" s="105">
        <v>21</v>
      </c>
      <c r="C538" s="105">
        <v>14</v>
      </c>
      <c r="D538" s="2" t="s">
        <v>432</v>
      </c>
      <c r="E538" s="105"/>
      <c r="F538" s="18">
        <v>0</v>
      </c>
      <c r="G538" s="18">
        <v>0</v>
      </c>
      <c r="H538" s="18">
        <v>1058.33</v>
      </c>
      <c r="I538" s="18">
        <v>0</v>
      </c>
      <c r="J538" s="18">
        <v>0</v>
      </c>
      <c r="K538" s="18">
        <v>0</v>
      </c>
      <c r="L538" s="88">
        <f>SUM(F538:K538)</f>
        <v>1058.33</v>
      </c>
      <c r="M538" s="8"/>
      <c r="N538" s="266"/>
    </row>
    <row r="539" spans="1:14" s="3" customFormat="1" ht="12.2" customHeight="1" thickBot="1" x14ac:dyDescent="0.2">
      <c r="A539" s="22" t="s">
        <v>635</v>
      </c>
      <c r="B539" s="105">
        <v>21</v>
      </c>
      <c r="C539" s="105">
        <v>15</v>
      </c>
      <c r="D539" s="2" t="s">
        <v>432</v>
      </c>
      <c r="E539" s="105"/>
      <c r="F539" s="18">
        <v>0</v>
      </c>
      <c r="G539" s="18">
        <v>0</v>
      </c>
      <c r="H539" s="18">
        <v>1058.3399999999999</v>
      </c>
      <c r="I539" s="18">
        <v>0</v>
      </c>
      <c r="J539" s="18">
        <v>0</v>
      </c>
      <c r="K539" s="18">
        <v>0</v>
      </c>
      <c r="L539" s="88">
        <f>SUM(F539:K539)</f>
        <v>1058.3399999999999</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2">SUM(G537:G539)</f>
        <v>0</v>
      </c>
      <c r="H540" s="89">
        <f t="shared" si="42"/>
        <v>3175</v>
      </c>
      <c r="I540" s="89">
        <f t="shared" si="42"/>
        <v>0</v>
      </c>
      <c r="J540" s="89">
        <f t="shared" si="42"/>
        <v>0</v>
      </c>
      <c r="K540" s="89">
        <f t="shared" si="42"/>
        <v>0</v>
      </c>
      <c r="L540" s="89">
        <f t="shared" si="42"/>
        <v>3175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20634.25</v>
      </c>
      <c r="G542" s="18">
        <v>2063.71</v>
      </c>
      <c r="H542" s="18">
        <v>56659.01</v>
      </c>
      <c r="I542" s="18">
        <v>0</v>
      </c>
      <c r="J542" s="18">
        <v>4168.8</v>
      </c>
      <c r="K542" s="18">
        <v>0</v>
      </c>
      <c r="L542" s="88">
        <f>SUM(F542:K542)</f>
        <v>83525.77</v>
      </c>
      <c r="M542" s="8"/>
      <c r="N542" s="266"/>
    </row>
    <row r="543" spans="1:14" s="3" customFormat="1" ht="12.2" customHeight="1" x14ac:dyDescent="0.15">
      <c r="A543" s="22" t="s">
        <v>634</v>
      </c>
      <c r="B543" s="105">
        <v>21</v>
      </c>
      <c r="C543" s="105">
        <v>18</v>
      </c>
      <c r="D543" s="2" t="s">
        <v>432</v>
      </c>
      <c r="E543" s="105"/>
      <c r="F543" s="18">
        <v>20634.25</v>
      </c>
      <c r="G543" s="18">
        <v>2063.71</v>
      </c>
      <c r="H543" s="18">
        <v>56659.01</v>
      </c>
      <c r="I543" s="18">
        <v>0</v>
      </c>
      <c r="J543" s="18">
        <v>4168.8</v>
      </c>
      <c r="K543" s="18">
        <v>0</v>
      </c>
      <c r="L543" s="88">
        <f>SUM(F543:K543)</f>
        <v>83525.77</v>
      </c>
      <c r="M543" s="8"/>
      <c r="N543" s="266"/>
    </row>
    <row r="544" spans="1:14" s="3" customFormat="1" ht="12.2" customHeight="1" thickBot="1" x14ac:dyDescent="0.2">
      <c r="A544" s="22" t="s">
        <v>635</v>
      </c>
      <c r="B544" s="105">
        <v>21</v>
      </c>
      <c r="C544" s="105">
        <v>19</v>
      </c>
      <c r="D544" s="2" t="s">
        <v>432</v>
      </c>
      <c r="E544" s="105"/>
      <c r="F544" s="18">
        <v>20634.240000000002</v>
      </c>
      <c r="G544" s="18">
        <v>2063.71</v>
      </c>
      <c r="H544" s="18">
        <v>56659</v>
      </c>
      <c r="I544" s="18">
        <v>0</v>
      </c>
      <c r="J544" s="18">
        <v>4168.8</v>
      </c>
      <c r="K544" s="18">
        <v>0</v>
      </c>
      <c r="L544" s="88">
        <f>SUM(F544:K544)</f>
        <v>83525.75</v>
      </c>
      <c r="M544" s="8"/>
      <c r="N544" s="266"/>
    </row>
    <row r="545" spans="1:14" s="3" customFormat="1" ht="12.2" customHeight="1" thickTop="1" thickBot="1" x14ac:dyDescent="0.2">
      <c r="A545" s="130" t="s">
        <v>71</v>
      </c>
      <c r="B545" s="191">
        <v>21</v>
      </c>
      <c r="C545" s="191">
        <v>20</v>
      </c>
      <c r="D545" s="192" t="s">
        <v>432</v>
      </c>
      <c r="E545" s="191"/>
      <c r="F545" s="193">
        <f>SUM(F542:F544)</f>
        <v>61902.740000000005</v>
      </c>
      <c r="G545" s="193">
        <f t="shared" ref="G545:L545" si="43">SUM(G542:G544)</f>
        <v>6191.13</v>
      </c>
      <c r="H545" s="193">
        <f t="shared" si="43"/>
        <v>169977.02000000002</v>
      </c>
      <c r="I545" s="193">
        <f t="shared" si="43"/>
        <v>0</v>
      </c>
      <c r="J545" s="193">
        <f t="shared" si="43"/>
        <v>12506.400000000001</v>
      </c>
      <c r="K545" s="193">
        <f t="shared" si="43"/>
        <v>0</v>
      </c>
      <c r="L545" s="193">
        <f t="shared" si="43"/>
        <v>250577.29</v>
      </c>
      <c r="M545" s="8"/>
      <c r="N545" s="266"/>
    </row>
    <row r="546" spans="1:14" s="3" customFormat="1" ht="12.2" customHeight="1" thickTop="1" x14ac:dyDescent="0.15">
      <c r="A546" s="98" t="s">
        <v>72</v>
      </c>
      <c r="B546" s="107">
        <v>21</v>
      </c>
      <c r="C546" s="107">
        <v>21</v>
      </c>
      <c r="D546" s="158" t="s">
        <v>432</v>
      </c>
      <c r="E546" s="107"/>
      <c r="F546" s="89">
        <f>F525+F530+F535+F540+F545</f>
        <v>3845580.7899999996</v>
      </c>
      <c r="G546" s="89">
        <f t="shared" ref="G546:L546" si="44">G525+G530+G535+G540+G545</f>
        <v>1642301.77</v>
      </c>
      <c r="H546" s="89">
        <f t="shared" si="44"/>
        <v>1908196.4300000002</v>
      </c>
      <c r="I546" s="89">
        <f t="shared" si="44"/>
        <v>20633.61</v>
      </c>
      <c r="J546" s="89">
        <f t="shared" si="44"/>
        <v>24262.59</v>
      </c>
      <c r="K546" s="89">
        <f t="shared" si="44"/>
        <v>6109.2800000000007</v>
      </c>
      <c r="L546" s="89">
        <f t="shared" si="44"/>
        <v>7447084.4700000007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1703143.5</v>
      </c>
      <c r="G550" s="87">
        <f>L527</f>
        <v>829400.07999999984</v>
      </c>
      <c r="H550" s="87">
        <f>L532</f>
        <v>68855.95</v>
      </c>
      <c r="I550" s="87">
        <f>L537</f>
        <v>1058.33</v>
      </c>
      <c r="J550" s="87">
        <f>L542</f>
        <v>83525.77</v>
      </c>
      <c r="K550" s="87">
        <f>SUM(F550:J550)</f>
        <v>2685983.6300000004</v>
      </c>
      <c r="L550" s="24" t="s">
        <v>288</v>
      </c>
      <c r="M550" s="8"/>
      <c r="N550" s="266"/>
    </row>
    <row r="551" spans="1:14" s="3" customFormat="1" ht="12.2" customHeight="1" x14ac:dyDescent="0.15">
      <c r="A551" s="22" t="s">
        <v>634</v>
      </c>
      <c r="B551" s="75">
        <v>21</v>
      </c>
      <c r="C551" s="75">
        <v>23</v>
      </c>
      <c r="D551" s="2" t="s">
        <v>432</v>
      </c>
      <c r="E551" s="75"/>
      <c r="F551" s="87">
        <f>L523</f>
        <v>1751099.1199999996</v>
      </c>
      <c r="G551" s="87">
        <f>L528</f>
        <v>295829.48</v>
      </c>
      <c r="H551" s="87">
        <f>L533</f>
        <v>68855.95</v>
      </c>
      <c r="I551" s="87">
        <f>L538</f>
        <v>1058.33</v>
      </c>
      <c r="J551" s="87">
        <f>L543</f>
        <v>83525.77</v>
      </c>
      <c r="K551" s="87">
        <f>SUM(F551:J551)</f>
        <v>2200368.65</v>
      </c>
      <c r="L551" s="24" t="s">
        <v>288</v>
      </c>
      <c r="M551" s="8"/>
      <c r="N551" s="266"/>
    </row>
    <row r="552" spans="1:14" s="3" customFormat="1" ht="12.2" customHeight="1" thickBot="1" x14ac:dyDescent="0.2">
      <c r="A552" s="22" t="s">
        <v>635</v>
      </c>
      <c r="B552" s="75">
        <v>21</v>
      </c>
      <c r="C552" s="75">
        <v>24</v>
      </c>
      <c r="D552" s="2" t="s">
        <v>432</v>
      </c>
      <c r="E552" s="75"/>
      <c r="F552" s="87">
        <f>L524</f>
        <v>2189083.4500000002</v>
      </c>
      <c r="G552" s="87">
        <f>L529</f>
        <v>287064.64999999997</v>
      </c>
      <c r="H552" s="87">
        <f>L534</f>
        <v>0</v>
      </c>
      <c r="I552" s="87">
        <f>L539</f>
        <v>1058.3399999999999</v>
      </c>
      <c r="J552" s="87">
        <f>L544</f>
        <v>83525.75</v>
      </c>
      <c r="K552" s="87">
        <f>SUM(F552:J552)</f>
        <v>2560732.19</v>
      </c>
      <c r="L552" s="24" t="s">
        <v>288</v>
      </c>
      <c r="M552" s="8"/>
      <c r="N552" s="266"/>
    </row>
    <row r="553" spans="1:14" s="3" customFormat="1" ht="12.2" customHeight="1" thickTop="1" x14ac:dyDescent="0.15">
      <c r="A553" s="172" t="s">
        <v>340</v>
      </c>
      <c r="B553" s="44">
        <v>21</v>
      </c>
      <c r="C553" s="44">
        <v>25</v>
      </c>
      <c r="D553" s="39" t="s">
        <v>432</v>
      </c>
      <c r="E553" s="44"/>
      <c r="F553" s="89">
        <f t="shared" ref="F553:K553" si="45">SUM(F550:F552)</f>
        <v>5643326.0700000003</v>
      </c>
      <c r="G553" s="89">
        <f t="shared" si="45"/>
        <v>1412294.2099999997</v>
      </c>
      <c r="H553" s="89">
        <f t="shared" si="45"/>
        <v>137711.9</v>
      </c>
      <c r="I553" s="89">
        <f t="shared" si="45"/>
        <v>3175</v>
      </c>
      <c r="J553" s="89">
        <f t="shared" si="45"/>
        <v>250577.29</v>
      </c>
      <c r="K553" s="89">
        <f t="shared" si="45"/>
        <v>7447084.4700000007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6"/>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6"/>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6">SUM(F558:F560)</f>
        <v>0</v>
      </c>
      <c r="G561" s="108">
        <f t="shared" si="46"/>
        <v>0</v>
      </c>
      <c r="H561" s="108">
        <f t="shared" si="46"/>
        <v>0</v>
      </c>
      <c r="I561" s="108">
        <f t="shared" si="46"/>
        <v>0</v>
      </c>
      <c r="J561" s="108">
        <f t="shared" si="46"/>
        <v>0</v>
      </c>
      <c r="K561" s="108">
        <f t="shared" si="46"/>
        <v>0</v>
      </c>
      <c r="L561" s="89">
        <f t="shared" si="46"/>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5845.33</v>
      </c>
      <c r="G563" s="18">
        <v>3136.53</v>
      </c>
      <c r="H563" s="18">
        <v>0</v>
      </c>
      <c r="I563" s="18">
        <v>0</v>
      </c>
      <c r="J563" s="18">
        <v>0</v>
      </c>
      <c r="K563" s="18">
        <v>0</v>
      </c>
      <c r="L563" s="88">
        <f>SUM(F563:K563)</f>
        <v>8981.86</v>
      </c>
      <c r="M563" s="8"/>
      <c r="N563" s="266"/>
    </row>
    <row r="564" spans="1:14" s="3" customFormat="1" ht="12.2" customHeight="1" x14ac:dyDescent="0.15">
      <c r="A564" s="22" t="s">
        <v>634</v>
      </c>
      <c r="B564" s="105">
        <v>22</v>
      </c>
      <c r="C564" s="115">
        <v>6</v>
      </c>
      <c r="D564" s="2" t="s">
        <v>432</v>
      </c>
      <c r="E564" s="115"/>
      <c r="F564" s="18">
        <v>5845.33</v>
      </c>
      <c r="G564" s="18">
        <v>3136.53</v>
      </c>
      <c r="H564" s="18">
        <v>0</v>
      </c>
      <c r="I564" s="18">
        <v>0</v>
      </c>
      <c r="J564" s="18">
        <v>0</v>
      </c>
      <c r="K564" s="18">
        <v>0</v>
      </c>
      <c r="L564" s="88">
        <f>SUM(F564:K564)</f>
        <v>8981.86</v>
      </c>
      <c r="M564" s="8"/>
      <c r="N564" s="266"/>
    </row>
    <row r="565" spans="1:14" s="3" customFormat="1" ht="12.2" customHeight="1" thickBot="1" x14ac:dyDescent="0.2">
      <c r="A565" s="22" t="s">
        <v>635</v>
      </c>
      <c r="B565" s="105">
        <v>22</v>
      </c>
      <c r="C565" s="118">
        <v>7</v>
      </c>
      <c r="D565" s="2" t="s">
        <v>432</v>
      </c>
      <c r="E565" s="118"/>
      <c r="F565" s="18">
        <v>5845.34</v>
      </c>
      <c r="G565" s="18">
        <v>3136.52</v>
      </c>
      <c r="H565" s="18">
        <v>0</v>
      </c>
      <c r="I565" s="18">
        <v>0</v>
      </c>
      <c r="J565" s="18">
        <v>0</v>
      </c>
      <c r="K565" s="18">
        <v>0</v>
      </c>
      <c r="L565" s="88">
        <f>SUM(F565:K565)</f>
        <v>8981.86</v>
      </c>
      <c r="M565" s="8"/>
      <c r="N565" s="266"/>
    </row>
    <row r="566" spans="1:14" s="3" customFormat="1" ht="12.2" customHeight="1" thickTop="1" x14ac:dyDescent="0.15">
      <c r="A566" s="139" t="s">
        <v>65</v>
      </c>
      <c r="B566" s="107">
        <v>22</v>
      </c>
      <c r="C566" s="107">
        <v>8</v>
      </c>
      <c r="D566" s="196" t="s">
        <v>432</v>
      </c>
      <c r="E566" s="107"/>
      <c r="F566" s="89">
        <f t="shared" ref="F566:L566" si="47">SUM(F563:F565)</f>
        <v>17536</v>
      </c>
      <c r="G566" s="89">
        <f t="shared" si="47"/>
        <v>9409.58</v>
      </c>
      <c r="H566" s="89">
        <f t="shared" si="47"/>
        <v>0</v>
      </c>
      <c r="I566" s="89">
        <f t="shared" si="47"/>
        <v>0</v>
      </c>
      <c r="J566" s="89">
        <f t="shared" si="47"/>
        <v>0</v>
      </c>
      <c r="K566" s="89">
        <f t="shared" si="47"/>
        <v>0</v>
      </c>
      <c r="L566" s="89">
        <f t="shared" si="47"/>
        <v>26945.58</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f>47176.08</f>
        <v>47176.08</v>
      </c>
      <c r="G568" s="18">
        <v>33111.17</v>
      </c>
      <c r="H568" s="18">
        <v>0</v>
      </c>
      <c r="I568" s="18">
        <f>1600.14</f>
        <v>1600.14</v>
      </c>
      <c r="J568" s="18">
        <v>1512.38</v>
      </c>
      <c r="K568" s="18">
        <v>0</v>
      </c>
      <c r="L568" s="88">
        <f>SUM(F568:K568)</f>
        <v>83399.77</v>
      </c>
      <c r="M568" s="8"/>
      <c r="N568" s="266"/>
    </row>
    <row r="569" spans="1:14" s="3" customFormat="1" ht="12.2" customHeight="1" x14ac:dyDescent="0.15">
      <c r="A569" s="22" t="s">
        <v>634</v>
      </c>
      <c r="B569" s="105">
        <v>22</v>
      </c>
      <c r="C569" s="105">
        <v>10</v>
      </c>
      <c r="D569" s="2" t="s">
        <v>432</v>
      </c>
      <c r="E569" s="105"/>
      <c r="F569" s="18">
        <v>78221.02</v>
      </c>
      <c r="G569" s="18">
        <v>54900.49</v>
      </c>
      <c r="H569" s="18">
        <v>0</v>
      </c>
      <c r="I569" s="18">
        <v>14.61</v>
      </c>
      <c r="J569" s="18">
        <v>0</v>
      </c>
      <c r="K569" s="18">
        <v>0</v>
      </c>
      <c r="L569" s="88">
        <f>SUM(F569:K569)</f>
        <v>133136.12</v>
      </c>
      <c r="M569" s="8"/>
      <c r="N569" s="266"/>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125397.1</v>
      </c>
      <c r="G571" s="193">
        <f t="shared" ref="G571:L571" si="48">SUM(G568:G570)</f>
        <v>88011.66</v>
      </c>
      <c r="H571" s="193">
        <f t="shared" si="48"/>
        <v>0</v>
      </c>
      <c r="I571" s="193">
        <f t="shared" si="48"/>
        <v>1614.75</v>
      </c>
      <c r="J571" s="193">
        <f t="shared" si="48"/>
        <v>1512.38</v>
      </c>
      <c r="K571" s="193">
        <f t="shared" si="48"/>
        <v>0</v>
      </c>
      <c r="L571" s="193">
        <f t="shared" si="48"/>
        <v>216535.89</v>
      </c>
      <c r="M571" s="8"/>
      <c r="N571" s="266"/>
    </row>
    <row r="572" spans="1:14" s="3" customFormat="1" ht="12.2" customHeight="1" thickTop="1" x14ac:dyDescent="0.15">
      <c r="A572" s="98" t="s">
        <v>88</v>
      </c>
      <c r="B572" s="107">
        <v>22</v>
      </c>
      <c r="C572" s="107">
        <v>13</v>
      </c>
      <c r="D572" s="158" t="s">
        <v>432</v>
      </c>
      <c r="E572" s="107"/>
      <c r="F572" s="89">
        <f>F561+F566+F571</f>
        <v>142933.1</v>
      </c>
      <c r="G572" s="89">
        <f t="shared" ref="G572:L572" si="49">G561+G566+G571</f>
        <v>97421.24</v>
      </c>
      <c r="H572" s="89">
        <f t="shared" si="49"/>
        <v>0</v>
      </c>
      <c r="I572" s="89">
        <f t="shared" si="49"/>
        <v>1614.75</v>
      </c>
      <c r="J572" s="89">
        <f t="shared" si="49"/>
        <v>1512.38</v>
      </c>
      <c r="K572" s="89">
        <f t="shared" si="49"/>
        <v>0</v>
      </c>
      <c r="L572" s="89">
        <f t="shared" si="49"/>
        <v>243481.47000000003</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0</v>
      </c>
      <c r="G577" s="18">
        <v>0</v>
      </c>
      <c r="H577" s="18">
        <v>0</v>
      </c>
      <c r="I577" s="87">
        <f t="shared" ref="I577:I588" si="50">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0</v>
      </c>
      <c r="I578" s="87">
        <f t="shared" si="50"/>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v>0</v>
      </c>
      <c r="G579" s="18">
        <v>0</v>
      </c>
      <c r="H579" s="18">
        <v>0</v>
      </c>
      <c r="I579" s="87">
        <f t="shared" si="50"/>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0</v>
      </c>
      <c r="G580" s="18">
        <v>0</v>
      </c>
      <c r="H580" s="18">
        <v>22408.38</v>
      </c>
      <c r="I580" s="87">
        <f t="shared" si="50"/>
        <v>22408.38</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0</v>
      </c>
      <c r="G581" s="18">
        <v>0</v>
      </c>
      <c r="H581" s="18">
        <v>0</v>
      </c>
      <c r="I581" s="87">
        <f t="shared" si="50"/>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0</v>
      </c>
      <c r="I582" s="87">
        <f t="shared" si="50"/>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145805.59</v>
      </c>
      <c r="G583" s="18">
        <v>163589.34</v>
      </c>
      <c r="H583" s="18">
        <f>843785.79-22408.38</f>
        <v>821377.41</v>
      </c>
      <c r="I583" s="87">
        <f t="shared" si="50"/>
        <v>1130772.3400000001</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0</v>
      </c>
      <c r="G584" s="18">
        <v>0</v>
      </c>
      <c r="H584" s="18">
        <v>0</v>
      </c>
      <c r="I584" s="87">
        <f t="shared" si="50"/>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v>0</v>
      </c>
      <c r="G585" s="18">
        <v>0</v>
      </c>
      <c r="H585" s="18">
        <v>187383.67999999999</v>
      </c>
      <c r="I585" s="87">
        <f t="shared" si="50"/>
        <v>187383.67999999999</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v>0</v>
      </c>
      <c r="G586" s="18">
        <v>0</v>
      </c>
      <c r="H586" s="18">
        <v>0</v>
      </c>
      <c r="I586" s="87">
        <f t="shared" si="50"/>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v>0</v>
      </c>
      <c r="I587" s="87">
        <f t="shared" si="50"/>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v>0</v>
      </c>
      <c r="G588" s="18">
        <v>0</v>
      </c>
      <c r="H588" s="18">
        <v>0</v>
      </c>
      <c r="I588" s="87">
        <f t="shared" si="50"/>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157933.09</v>
      </c>
      <c r="I592" s="18">
        <v>157933.1</v>
      </c>
      <c r="J592" s="18">
        <v>48594.75</v>
      </c>
      <c r="K592" s="104">
        <f t="shared" ref="K592:K598" si="51">SUM(H592:J592)</f>
        <v>364460.94</v>
      </c>
      <c r="L592" s="24" t="s">
        <v>288</v>
      </c>
      <c r="M592" s="8"/>
      <c r="N592" s="266"/>
    </row>
    <row r="593" spans="1:14" s="3" customFormat="1" ht="12.2" customHeight="1" x14ac:dyDescent="0.15">
      <c r="A593" s="3" t="s">
        <v>638</v>
      </c>
      <c r="B593" s="75">
        <v>23</v>
      </c>
      <c r="C593" s="75">
        <v>2</v>
      </c>
      <c r="D593" s="2" t="s">
        <v>432</v>
      </c>
      <c r="E593" s="75"/>
      <c r="F593" s="102">
        <v>2722</v>
      </c>
      <c r="G593" s="103" t="s">
        <v>97</v>
      </c>
      <c r="H593" s="18">
        <f>L542</f>
        <v>83525.77</v>
      </c>
      <c r="I593" s="18">
        <f>L543</f>
        <v>83525.77</v>
      </c>
      <c r="J593" s="18">
        <f>L544</f>
        <v>83525.75</v>
      </c>
      <c r="K593" s="104">
        <f t="shared" si="51"/>
        <v>250577.29</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f>17269+1692.29</f>
        <v>18961.29</v>
      </c>
      <c r="K594" s="104">
        <f t="shared" si="51"/>
        <v>18961.29</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5827.55</v>
      </c>
      <c r="J595" s="18">
        <f>16835.16+13837.23</f>
        <v>30672.39</v>
      </c>
      <c r="K595" s="104">
        <f t="shared" si="51"/>
        <v>36499.94</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984.1</v>
      </c>
      <c r="I596" s="18">
        <v>6396.62</v>
      </c>
      <c r="J596" s="18">
        <v>13285.28</v>
      </c>
      <c r="K596" s="104">
        <f t="shared" si="51"/>
        <v>20666</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51"/>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150141</v>
      </c>
      <c r="I598" s="18">
        <v>150141</v>
      </c>
      <c r="J598" s="18">
        <v>46197.23</v>
      </c>
      <c r="K598" s="104">
        <f t="shared" si="51"/>
        <v>346479.23</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392583.95999999996</v>
      </c>
      <c r="I599" s="108">
        <f>SUM(I592:I598)</f>
        <v>403824.04</v>
      </c>
      <c r="J599" s="108">
        <f>SUM(J592:J598)</f>
        <v>241236.69</v>
      </c>
      <c r="K599" s="108">
        <f>SUM(K592:K598)</f>
        <v>1037644.69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J212+J291</f>
        <v>129995.81000000001</v>
      </c>
      <c r="I605" s="18">
        <f>J230+J310</f>
        <v>139821.97999999998</v>
      </c>
      <c r="J605" s="18">
        <f>J248+J329</f>
        <v>154676.18</v>
      </c>
      <c r="K605" s="104">
        <f>SUM(H605:J605)</f>
        <v>424493.97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129995.81000000001</v>
      </c>
      <c r="I606" s="108">
        <f>SUM(I603:I605)</f>
        <v>139821.97999999998</v>
      </c>
      <c r="J606" s="108">
        <f>SUM(J603:J605)</f>
        <v>154676.18</v>
      </c>
      <c r="K606" s="108">
        <f>SUM(K603:K605)</f>
        <v>424493.97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6"/>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6"/>
    </row>
    <row r="614" spans="1:14" s="3" customFormat="1" ht="12.2" customHeight="1" thickBot="1" x14ac:dyDescent="0.2">
      <c r="A614" s="22" t="s">
        <v>645</v>
      </c>
      <c r="B614" s="75">
        <v>23</v>
      </c>
      <c r="C614" s="75">
        <v>15</v>
      </c>
      <c r="D614" s="2" t="s">
        <v>432</v>
      </c>
      <c r="E614" s="75"/>
      <c r="F614" s="18">
        <v>8400</v>
      </c>
      <c r="G614" s="18">
        <v>2150.59</v>
      </c>
      <c r="H614" s="18">
        <v>0</v>
      </c>
      <c r="I614" s="18">
        <v>0</v>
      </c>
      <c r="J614" s="18">
        <v>0</v>
      </c>
      <c r="K614" s="18">
        <v>0</v>
      </c>
      <c r="L614" s="88">
        <f>SUM(F614:K614)</f>
        <v>10550.59</v>
      </c>
      <c r="M614" s="8"/>
      <c r="N614" s="266"/>
    </row>
    <row r="615" spans="1:14" s="3" customFormat="1" ht="12.2" customHeight="1" thickTop="1" x14ac:dyDescent="0.15">
      <c r="A615" s="98" t="s">
        <v>340</v>
      </c>
      <c r="B615" s="107">
        <v>23</v>
      </c>
      <c r="C615" s="107">
        <v>16</v>
      </c>
      <c r="D615" s="39" t="s">
        <v>432</v>
      </c>
      <c r="E615" s="107"/>
      <c r="F615" s="108">
        <f t="shared" ref="F615:L615" si="52">SUM(F612:F614)</f>
        <v>8400</v>
      </c>
      <c r="G615" s="108">
        <f t="shared" si="52"/>
        <v>2150.59</v>
      </c>
      <c r="H615" s="108">
        <f t="shared" si="52"/>
        <v>0</v>
      </c>
      <c r="I615" s="108">
        <f t="shared" si="52"/>
        <v>0</v>
      </c>
      <c r="J615" s="108">
        <f t="shared" si="52"/>
        <v>0</v>
      </c>
      <c r="K615" s="108">
        <f t="shared" si="52"/>
        <v>0</v>
      </c>
      <c r="L615" s="89">
        <f t="shared" si="52"/>
        <v>10550.59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6724460.4000000004</v>
      </c>
      <c r="H618" s="109">
        <f>SUM(F52)</f>
        <v>6724460.3999999966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2864230.15</v>
      </c>
      <c r="H619" s="109">
        <f>SUM(G52)</f>
        <v>2864230.15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1848469.3499999999</v>
      </c>
      <c r="H620" s="109">
        <f>SUM(H52)</f>
        <v>1848469.35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2065232.59</v>
      </c>
      <c r="H622" s="109">
        <f>SUM(J52)</f>
        <v>2065232.59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1349199.799999997</v>
      </c>
      <c r="H623" s="109">
        <f>F477</f>
        <v>1349199.799999997</v>
      </c>
      <c r="I623" s="121" t="s">
        <v>101</v>
      </c>
      <c r="J623" s="109">
        <f t="shared" ref="J623:J656" si="53">G623-H623</f>
        <v>0</v>
      </c>
      <c r="K623" s="109"/>
      <c r="L623" s="109"/>
      <c r="M623" s="8"/>
    </row>
    <row r="624" spans="1:14" s="3" customFormat="1" ht="12.2" customHeight="1" x14ac:dyDescent="0.15">
      <c r="A624" s="97"/>
      <c r="B624" s="105"/>
      <c r="C624" s="119"/>
      <c r="D624" s="119"/>
      <c r="E624" s="119"/>
      <c r="F624" s="119" t="s">
        <v>866</v>
      </c>
      <c r="G624" s="109">
        <f>G51</f>
        <v>167514.6799999997</v>
      </c>
      <c r="H624" s="109">
        <f>G477</f>
        <v>167514.68000000005</v>
      </c>
      <c r="I624" s="121" t="s">
        <v>102</v>
      </c>
      <c r="J624" s="109">
        <f t="shared" si="53"/>
        <v>-3.4924596548080444E-10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3"/>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3"/>
        <v>0</v>
      </c>
      <c r="K626" s="109"/>
      <c r="L626" s="109"/>
      <c r="M626" s="8"/>
    </row>
    <row r="627" spans="1:13" s="3" customFormat="1" ht="12.2" customHeight="1" x14ac:dyDescent="0.15">
      <c r="A627" s="22"/>
      <c r="B627" s="105"/>
      <c r="C627" s="105"/>
      <c r="D627" s="105"/>
      <c r="E627" s="105"/>
      <c r="F627" s="120" t="s">
        <v>869</v>
      </c>
      <c r="G627" s="109">
        <f>J51</f>
        <v>2065232.59</v>
      </c>
      <c r="H627" s="109">
        <f>J477</f>
        <v>2065232.5899999999</v>
      </c>
      <c r="I627" s="140" t="s">
        <v>105</v>
      </c>
      <c r="J627" s="109">
        <f t="shared" si="53"/>
        <v>0</v>
      </c>
      <c r="K627" s="85"/>
      <c r="L627" s="88"/>
      <c r="M627" s="8"/>
    </row>
    <row r="628" spans="1:13" s="3" customFormat="1" ht="12.2" customHeight="1" x14ac:dyDescent="0.15">
      <c r="A628" s="22"/>
      <c r="B628" s="105"/>
      <c r="C628" s="105"/>
      <c r="D628" s="105"/>
      <c r="E628" s="105"/>
      <c r="F628" s="120" t="s">
        <v>658</v>
      </c>
      <c r="G628" s="109">
        <f>F194</f>
        <v>29316567.569999997</v>
      </c>
      <c r="H628" s="104">
        <f>SUM(F469)</f>
        <v>29316567.569999997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541165.47</v>
      </c>
      <c r="H629" s="104">
        <f>SUM(G469)</f>
        <v>541165.47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467902.81999999995</v>
      </c>
      <c r="H630" s="104">
        <f>SUM(H469)</f>
        <v>467902.81999999995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571811.80999999994</v>
      </c>
      <c r="H632" s="104">
        <f>SUM(J469)</f>
        <v>571811.80999999994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28431538.109999999</v>
      </c>
      <c r="H633" s="104">
        <f>SUM(F473)</f>
        <v>28431538.109999999</v>
      </c>
      <c r="I633" s="140" t="s">
        <v>111</v>
      </c>
      <c r="J633" s="109">
        <f t="shared" si="53"/>
        <v>0</v>
      </c>
      <c r="K633" s="85"/>
      <c r="L633" s="88"/>
      <c r="M633" s="8"/>
    </row>
    <row r="634" spans="1:13" s="3" customFormat="1" ht="12.2" customHeight="1" x14ac:dyDescent="0.15">
      <c r="A634" s="22"/>
      <c r="B634" s="105"/>
      <c r="C634" s="105"/>
      <c r="D634" s="105"/>
      <c r="E634" s="105"/>
      <c r="F634" s="120" t="s">
        <v>395</v>
      </c>
      <c r="G634" s="109">
        <f>SUM(L353)</f>
        <v>467902.81999999995</v>
      </c>
      <c r="H634" s="104">
        <f>SUM(H473)</f>
        <v>467902.81999999995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233431.51</v>
      </c>
      <c r="H635" s="104">
        <f>I370</f>
        <v>233431.50999999998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630975.16999999993</v>
      </c>
      <c r="H636" s="104">
        <f>SUM(G473)</f>
        <v>630975.16999999993</v>
      </c>
      <c r="I636" s="140" t="s">
        <v>114</v>
      </c>
      <c r="J636" s="109">
        <f t="shared" si="53"/>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3"/>
        <v>0</v>
      </c>
      <c r="K637" s="85"/>
      <c r="L637" s="88"/>
      <c r="M637" s="8"/>
    </row>
    <row r="638" spans="1:13" s="3" customFormat="1" ht="12.2" customHeight="1" x14ac:dyDescent="0.15">
      <c r="A638" s="161"/>
      <c r="B638" s="162"/>
      <c r="C638" s="162"/>
      <c r="D638" s="162"/>
      <c r="E638" s="162"/>
      <c r="F638" s="163" t="s">
        <v>477</v>
      </c>
      <c r="G638" s="151">
        <f>SUM(L409)</f>
        <v>571811.80999999994</v>
      </c>
      <c r="H638" s="164">
        <f>SUM(J469)</f>
        <v>571811.80999999994</v>
      </c>
      <c r="I638" s="165" t="s">
        <v>110</v>
      </c>
      <c r="J638" s="151">
        <f t="shared" si="53"/>
        <v>0</v>
      </c>
      <c r="K638" s="166"/>
      <c r="L638" s="167"/>
      <c r="M638" s="8"/>
    </row>
    <row r="639" spans="1:13" s="3" customFormat="1" ht="12.2" customHeight="1" x14ac:dyDescent="0.15">
      <c r="A639" s="161"/>
      <c r="B639" s="162"/>
      <c r="C639" s="162"/>
      <c r="D639" s="162"/>
      <c r="E639" s="162"/>
      <c r="F639" s="163" t="s">
        <v>478</v>
      </c>
      <c r="G639" s="151">
        <f>SUM(L435)</f>
        <v>378436.83</v>
      </c>
      <c r="H639" s="164">
        <f>SUM(J473)</f>
        <v>378436.83</v>
      </c>
      <c r="I639" s="165" t="s">
        <v>117</v>
      </c>
      <c r="J639" s="151">
        <f t="shared" si="53"/>
        <v>0</v>
      </c>
      <c r="K639" s="166"/>
      <c r="L639" s="167"/>
      <c r="M639" s="8"/>
    </row>
    <row r="640" spans="1:13" s="3" customFormat="1" ht="12.2" customHeight="1" x14ac:dyDescent="0.15">
      <c r="A640" s="22"/>
      <c r="B640" s="105"/>
      <c r="C640" s="105"/>
      <c r="D640" s="105"/>
      <c r="E640" s="105"/>
      <c r="F640" s="120" t="s">
        <v>118</v>
      </c>
      <c r="G640" s="109">
        <f>SUM(F447)</f>
        <v>2065232.59</v>
      </c>
      <c r="H640" s="104">
        <f>SUM(F462)</f>
        <v>2065232.59</v>
      </c>
      <c r="I640" s="140" t="s">
        <v>841</v>
      </c>
      <c r="J640" s="109">
        <f t="shared" si="53"/>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3"/>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3"/>
        <v>0</v>
      </c>
      <c r="K642" s="85"/>
      <c r="L642" s="88"/>
      <c r="M642" s="8"/>
    </row>
    <row r="643" spans="1:13" s="3" customFormat="1" ht="12.2" customHeight="1" x14ac:dyDescent="0.15">
      <c r="A643" s="22"/>
      <c r="B643" s="105"/>
      <c r="C643" s="105"/>
      <c r="D643" s="105"/>
      <c r="E643" s="105"/>
      <c r="F643" s="120" t="s">
        <v>121</v>
      </c>
      <c r="G643" s="109">
        <f>SUM(I447)</f>
        <v>2065232.59</v>
      </c>
      <c r="H643" s="104">
        <f>SUM(I462)</f>
        <v>2065232.59</v>
      </c>
      <c r="I643" s="140" t="s">
        <v>844</v>
      </c>
      <c r="J643" s="109">
        <f t="shared" si="53"/>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3"/>
        <v>0</v>
      </c>
      <c r="K644" s="85"/>
      <c r="L644" s="88"/>
      <c r="M644" s="8"/>
    </row>
    <row r="645" spans="1:13" s="3" customFormat="1" ht="12.2" customHeight="1" x14ac:dyDescent="0.15">
      <c r="A645" s="22"/>
      <c r="B645" s="105"/>
      <c r="C645" s="105"/>
      <c r="D645" s="105"/>
      <c r="E645" s="105"/>
      <c r="F645" s="120" t="s">
        <v>663</v>
      </c>
      <c r="G645" s="109">
        <f>J96</f>
        <v>90718.14</v>
      </c>
      <c r="H645" s="104">
        <f>H409</f>
        <v>90718.14</v>
      </c>
      <c r="I645" s="140" t="s">
        <v>480</v>
      </c>
      <c r="J645" s="109">
        <f t="shared" si="53"/>
        <v>0</v>
      </c>
      <c r="K645" s="85"/>
      <c r="L645" s="88"/>
      <c r="M645" s="8"/>
    </row>
    <row r="646" spans="1:13" s="3" customFormat="1" ht="12.2" customHeight="1" x14ac:dyDescent="0.15">
      <c r="A646" s="22"/>
      <c r="B646" s="105"/>
      <c r="C646" s="105"/>
      <c r="D646" s="105"/>
      <c r="E646" s="105"/>
      <c r="F646" s="120" t="s">
        <v>664</v>
      </c>
      <c r="G646" s="109">
        <f>J184</f>
        <v>481093.67</v>
      </c>
      <c r="H646" s="104">
        <f>G409</f>
        <v>481093.67</v>
      </c>
      <c r="I646" s="140" t="s">
        <v>481</v>
      </c>
      <c r="J646" s="109">
        <f t="shared" si="53"/>
        <v>0</v>
      </c>
      <c r="K646" s="85"/>
      <c r="L646" s="88"/>
      <c r="M646" s="8"/>
    </row>
    <row r="647" spans="1:13" s="3" customFormat="1" ht="12.2" customHeight="1" x14ac:dyDescent="0.15">
      <c r="A647" s="22"/>
      <c r="B647" s="105"/>
      <c r="C647" s="105"/>
      <c r="D647" s="105"/>
      <c r="E647" s="105"/>
      <c r="F647" s="120" t="s">
        <v>662</v>
      </c>
      <c r="G647" s="109">
        <f>J194</f>
        <v>571811.80999999994</v>
      </c>
      <c r="H647" s="104">
        <f>L409</f>
        <v>571811.80999999994</v>
      </c>
      <c r="I647" s="140" t="s">
        <v>477</v>
      </c>
      <c r="J647" s="109">
        <f t="shared" si="53"/>
        <v>0</v>
      </c>
      <c r="K647" s="85"/>
      <c r="L647" s="88"/>
      <c r="M647" s="8"/>
    </row>
    <row r="648" spans="1:13" s="3" customFormat="1" ht="12.2" customHeight="1" x14ac:dyDescent="0.15">
      <c r="A648" s="22"/>
      <c r="B648" s="105"/>
      <c r="C648" s="105"/>
      <c r="D648" s="105"/>
      <c r="E648" s="105"/>
      <c r="F648" s="120" t="s">
        <v>51</v>
      </c>
      <c r="G648" s="109">
        <f>K599</f>
        <v>1037644.69</v>
      </c>
      <c r="H648" s="104">
        <f>L209+L227+L245</f>
        <v>1037644.69</v>
      </c>
      <c r="I648" s="140" t="s">
        <v>396</v>
      </c>
      <c r="J648" s="109">
        <f t="shared" si="53"/>
        <v>0</v>
      </c>
      <c r="K648" s="85"/>
      <c r="L648" s="88"/>
      <c r="M648" s="8"/>
    </row>
    <row r="649" spans="1:13" s="3" customFormat="1" ht="12.2" customHeight="1" x14ac:dyDescent="0.15">
      <c r="A649" s="22"/>
      <c r="B649" s="105"/>
      <c r="C649" s="105"/>
      <c r="D649" s="105"/>
      <c r="E649" s="105"/>
      <c r="F649" s="120" t="s">
        <v>52</v>
      </c>
      <c r="G649" s="109">
        <f>K606</f>
        <v>424493.97</v>
      </c>
      <c r="H649" s="104">
        <f>(J258+J339)-(J256+J337)</f>
        <v>424493.97000000003</v>
      </c>
      <c r="I649" s="140" t="s">
        <v>699</v>
      </c>
      <c r="J649" s="109">
        <f t="shared" si="53"/>
        <v>0</v>
      </c>
      <c r="K649" s="85"/>
      <c r="L649" s="88"/>
      <c r="M649" s="8"/>
    </row>
    <row r="650" spans="1:13" s="3" customFormat="1" ht="12.2" customHeight="1" x14ac:dyDescent="0.15">
      <c r="A650" s="22"/>
      <c r="B650" s="105"/>
      <c r="C650" s="105"/>
      <c r="D650" s="105"/>
      <c r="E650" s="105"/>
      <c r="F650" s="120" t="s">
        <v>387</v>
      </c>
      <c r="G650" s="109">
        <f>L209</f>
        <v>392583.96</v>
      </c>
      <c r="H650" s="104">
        <f>H599</f>
        <v>392583.95999999996</v>
      </c>
      <c r="I650" s="140" t="s">
        <v>388</v>
      </c>
      <c r="J650" s="109">
        <f t="shared" si="53"/>
        <v>0</v>
      </c>
      <c r="K650" s="85"/>
      <c r="L650" s="88"/>
      <c r="M650" s="8"/>
    </row>
    <row r="651" spans="1:13" s="3" customFormat="1" ht="12.2" customHeight="1" x14ac:dyDescent="0.15">
      <c r="A651" s="22"/>
      <c r="B651" s="105"/>
      <c r="C651" s="105"/>
      <c r="D651" s="105"/>
      <c r="E651" s="105"/>
      <c r="F651" s="120" t="s">
        <v>392</v>
      </c>
      <c r="G651" s="109">
        <f>L227</f>
        <v>403824.04000000004</v>
      </c>
      <c r="H651" s="104">
        <f>I599</f>
        <v>403824.04</v>
      </c>
      <c r="I651" s="140" t="s">
        <v>389</v>
      </c>
      <c r="J651" s="109">
        <f t="shared" si="53"/>
        <v>0</v>
      </c>
      <c r="K651" s="85"/>
      <c r="L651" s="88"/>
      <c r="M651" s="8"/>
    </row>
    <row r="652" spans="1:13" s="3" customFormat="1" ht="12.2" customHeight="1" x14ac:dyDescent="0.15">
      <c r="A652" s="22"/>
      <c r="B652" s="105"/>
      <c r="C652" s="105"/>
      <c r="D652" s="105"/>
      <c r="E652" s="105"/>
      <c r="F652" s="120" t="s">
        <v>393</v>
      </c>
      <c r="G652" s="109">
        <f>L245</f>
        <v>241236.69</v>
      </c>
      <c r="H652" s="104">
        <f>J599</f>
        <v>241236.69</v>
      </c>
      <c r="I652" s="140" t="s">
        <v>390</v>
      </c>
      <c r="J652" s="109">
        <f t="shared" si="53"/>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3"/>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3"/>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3"/>
        <v>0</v>
      </c>
      <c r="K655" s="85"/>
      <c r="L655" s="88"/>
      <c r="M655" s="8"/>
    </row>
    <row r="656" spans="1:13" s="3" customFormat="1" ht="12.2" customHeight="1" x14ac:dyDescent="0.15">
      <c r="A656" s="22"/>
      <c r="B656" s="105"/>
      <c r="C656" s="105"/>
      <c r="D656" s="105"/>
      <c r="E656" s="105"/>
      <c r="F656" s="120" t="s">
        <v>668</v>
      </c>
      <c r="G656" s="109">
        <f>J180+J182</f>
        <v>481093.67</v>
      </c>
      <c r="H656" s="104">
        <f>K267+K348</f>
        <v>481093.67</v>
      </c>
      <c r="I656" s="140" t="s">
        <v>400</v>
      </c>
      <c r="J656" s="109">
        <f t="shared" si="53"/>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8736202.2299999986</v>
      </c>
      <c r="G661" s="19">
        <f>(L230+L310+L360)</f>
        <v>8691318.7299999986</v>
      </c>
      <c r="H661" s="19">
        <f>(L248+L329+L361)</f>
        <v>11354801.470000003</v>
      </c>
      <c r="I661" s="19">
        <f>SUM(F661:H661)</f>
        <v>28782322.43</v>
      </c>
      <c r="J661" s="13"/>
      <c r="K661" s="13"/>
      <c r="L661" s="13"/>
      <c r="M661" s="9"/>
    </row>
    <row r="662" spans="1:13" s="3" customFormat="1" ht="12.2" customHeight="1" x14ac:dyDescent="0.2">
      <c r="A662" s="1" t="s">
        <v>127</v>
      </c>
      <c r="F662" s="19">
        <f>(L359/IF(SUM(L359:L361)=0,1,SUM(L359:L361))*(SUM(G97:G110)))</f>
        <v>101394.42811340661</v>
      </c>
      <c r="G662" s="19">
        <f>(L360/IF(SUM(L359:L361)=0,1,SUM(L359:L361))*(SUM(G97:G110)))</f>
        <v>157896.84382530933</v>
      </c>
      <c r="H662" s="19">
        <f>(L361/IF(SUM(L359:L361)=0,1,SUM(L359:L361))*(SUM(G97:G110)))</f>
        <v>192634.57806128409</v>
      </c>
      <c r="I662" s="19">
        <f>SUM(F662:H662)</f>
        <v>451925.85000000003</v>
      </c>
      <c r="J662"/>
      <c r="K662" s="13"/>
      <c r="L662" s="13"/>
      <c r="M662" s="8"/>
    </row>
    <row r="663" spans="1:13" s="3" customFormat="1" ht="12.2" customHeight="1" x14ac:dyDescent="0.2">
      <c r="A663" s="1" t="s">
        <v>128</v>
      </c>
      <c r="F663" s="19">
        <f>(L209+L288)-(J209+J288)</f>
        <v>356998.32</v>
      </c>
      <c r="G663" s="19">
        <f>(L227+L307)-(J227+J307)</f>
        <v>368238.4</v>
      </c>
      <c r="H663" s="19">
        <f>(L245+L326)-(J245+J326)</f>
        <v>227401.17</v>
      </c>
      <c r="I663" s="19">
        <f>SUM(F663:H663)</f>
        <v>952637.89</v>
      </c>
      <c r="J663"/>
      <c r="K663" s="13"/>
      <c r="L663" s="13"/>
      <c r="M663" s="9"/>
    </row>
    <row r="664" spans="1:13" s="3" customFormat="1" ht="12.2" customHeight="1" x14ac:dyDescent="0.15">
      <c r="A664" s="198" t="s">
        <v>129</v>
      </c>
      <c r="B664" s="169"/>
      <c r="C664" s="169"/>
      <c r="D664" s="169"/>
      <c r="E664" s="169"/>
      <c r="F664" s="199">
        <f>SUM(F576:F588)+SUM(H603:H605)+SUM(L612)</f>
        <v>275801.40000000002</v>
      </c>
      <c r="G664" s="199">
        <f>SUM(G576:G588)+SUM(I603:I605)+L613</f>
        <v>303411.31999999995</v>
      </c>
      <c r="H664" s="199">
        <f>SUM(H576:H588)+SUM(J603:J605)+L614</f>
        <v>1196396.24</v>
      </c>
      <c r="I664" s="19">
        <f>SUM(F664:H664)</f>
        <v>1775608.96</v>
      </c>
      <c r="J664" s="13"/>
      <c r="K664" s="13"/>
      <c r="L664" s="13"/>
      <c r="M664" s="9"/>
    </row>
    <row r="665" spans="1:13" s="3" customFormat="1" ht="12.2" customHeight="1" x14ac:dyDescent="0.15">
      <c r="A665" s="1" t="s">
        <v>130</v>
      </c>
      <c r="F665" s="19">
        <f>F661-SUM(F662:F664)</f>
        <v>8002008.0818865923</v>
      </c>
      <c r="G665" s="19">
        <f>G661-SUM(G662:G664)</f>
        <v>7861772.1661746893</v>
      </c>
      <c r="H665" s="19">
        <f>H661-SUM(H662:H664)</f>
        <v>9738369.4819387179</v>
      </c>
      <c r="I665" s="19">
        <f>I661-SUM(I662:I664)</f>
        <v>25602149.73</v>
      </c>
      <c r="J665" s="13"/>
      <c r="K665" s="13"/>
      <c r="L665" s="13"/>
      <c r="M665" s="8"/>
    </row>
    <row r="666" spans="1:13" s="3" customFormat="1" ht="12.2" customHeight="1" x14ac:dyDescent="0.2">
      <c r="A666" s="1" t="s">
        <v>131</v>
      </c>
      <c r="F666" s="246">
        <f>11.18+106.7+410.81</f>
        <v>528.69000000000005</v>
      </c>
      <c r="G666" s="247">
        <v>503.72</v>
      </c>
      <c r="H666" s="247">
        <v>629.64</v>
      </c>
      <c r="I666" s="19">
        <f>SUM(F666:H666)</f>
        <v>1662.0500000000002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15135.54</v>
      </c>
      <c r="G668" s="19">
        <f>ROUND(G665/G666,2)</f>
        <v>15607.43</v>
      </c>
      <c r="H668" s="19">
        <f>ROUND(H665/H666,2)</f>
        <v>15466.57</v>
      </c>
      <c r="I668" s="19">
        <f>ROUND(I665/I666,2)</f>
        <v>15403.96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-19.78</v>
      </c>
      <c r="I671" s="19">
        <f>SUM(F671:H671)</f>
        <v>-19.78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15135.54</v>
      </c>
      <c r="G673" s="19">
        <f>ROUND((G665+G670)/(G666+G671),2)</f>
        <v>15607.43</v>
      </c>
      <c r="H673" s="19">
        <f>ROUND((H665+H670)/(H666+H671),2)</f>
        <v>15968.2</v>
      </c>
      <c r="I673" s="19">
        <f>ROUND((I665+I670)/(I666+I671),2)</f>
        <v>15589.49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2"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BOW SCHOOL DISTRICT</v>
      </c>
      <c r="C5" s="344"/>
      <c r="D5" s="344"/>
      <c r="E5" s="344"/>
      <c r="F5" s="344"/>
    </row>
    <row r="8" spans="1:9" ht="18" x14ac:dyDescent="0.25">
      <c r="A8" s="323" t="s">
        <v>1591</v>
      </c>
      <c r="F8" s="330" t="s">
        <v>1609</v>
      </c>
    </row>
    <row r="9" spans="1:9" ht="15" x14ac:dyDescent="0.2">
      <c r="A9" s="321" t="s">
        <v>1592</v>
      </c>
      <c r="B9" s="324">
        <f>'DOE25'!G97</f>
        <v>451925.85000000003</v>
      </c>
      <c r="F9" s="321" t="s">
        <v>1605</v>
      </c>
    </row>
    <row r="10" spans="1:9" ht="15" x14ac:dyDescent="0.2">
      <c r="A10" s="321" t="s">
        <v>1593</v>
      </c>
      <c r="B10" s="324">
        <f>'DOE25'!G112-'DOE25'!G97</f>
        <v>0</v>
      </c>
      <c r="F10" s="321" t="s">
        <v>1606</v>
      </c>
    </row>
    <row r="11" spans="1:9" ht="15" x14ac:dyDescent="0.2">
      <c r="A11" s="321" t="s">
        <v>1594</v>
      </c>
      <c r="B11" s="324">
        <f>'DOE25'!G140</f>
        <v>27810.3</v>
      </c>
      <c r="F11" s="321" t="s">
        <v>1607</v>
      </c>
    </row>
    <row r="12" spans="1:9" ht="15" x14ac:dyDescent="0.2">
      <c r="A12" s="321" t="s">
        <v>1595</v>
      </c>
      <c r="B12" s="324">
        <f>'DOE25'!G170</f>
        <v>61429.32</v>
      </c>
      <c r="F12" s="321" t="s">
        <v>1608</v>
      </c>
    </row>
    <row r="13" spans="1:9" ht="15" x14ac:dyDescent="0.2">
      <c r="A13" s="321" t="s">
        <v>1596</v>
      </c>
      <c r="B13" s="324">
        <f>'DOE25'!G193-'DOE25'!G180</f>
        <v>0</v>
      </c>
      <c r="F13" s="321" t="s">
        <v>1618</v>
      </c>
    </row>
    <row r="14" spans="1:9" ht="18" x14ac:dyDescent="0.25">
      <c r="A14" s="323" t="s">
        <v>732</v>
      </c>
      <c r="B14" s="325">
        <f>SUM(B9:B13)</f>
        <v>541165.47</v>
      </c>
    </row>
    <row r="16" spans="1:9" ht="18" x14ac:dyDescent="0.25">
      <c r="A16" s="323" t="s">
        <v>786</v>
      </c>
      <c r="F16" s="330" t="s">
        <v>1610</v>
      </c>
    </row>
    <row r="17" spans="1:6" ht="15" x14ac:dyDescent="0.2">
      <c r="A17" s="321" t="s">
        <v>1597</v>
      </c>
      <c r="B17" s="324">
        <f>'DOE25'!L363-'DOE25'!L362</f>
        <v>630975.16999999993</v>
      </c>
      <c r="F17" s="321" t="s">
        <v>1611</v>
      </c>
    </row>
    <row r="18" spans="1:6" ht="15" x14ac:dyDescent="0.2">
      <c r="A18" s="321" t="s">
        <v>1598</v>
      </c>
      <c r="B18" s="338">
        <v>0</v>
      </c>
      <c r="F18" s="330" t="s">
        <v>1637</v>
      </c>
    </row>
    <row r="19" spans="1:6" ht="18" x14ac:dyDescent="0.25">
      <c r="A19" s="323" t="s">
        <v>725</v>
      </c>
      <c r="B19" s="325">
        <f>SUM(B17:B18)</f>
        <v>630975.16999999993</v>
      </c>
    </row>
    <row r="21" spans="1:6" ht="18.75" thickBot="1" x14ac:dyDescent="0.3">
      <c r="A21" s="323" t="s">
        <v>1599</v>
      </c>
    </row>
    <row r="22" spans="1:6" ht="18.75" thickTop="1" x14ac:dyDescent="0.25">
      <c r="A22" s="323" t="s">
        <v>1600</v>
      </c>
      <c r="B22" s="329">
        <f>B14-B19</f>
        <v>-89809.699999999953</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257324.38</v>
      </c>
      <c r="F31" s="321" t="s">
        <v>1615</v>
      </c>
    </row>
    <row r="33" spans="1:6" ht="15" x14ac:dyDescent="0.2">
      <c r="A33" s="321" t="s">
        <v>1641</v>
      </c>
      <c r="B33" s="324">
        <f>'DOE25'!G477</f>
        <v>167514.68000000005</v>
      </c>
      <c r="F33" s="321" t="s">
        <v>1616</v>
      </c>
    </row>
    <row r="36" spans="1:6" ht="15" x14ac:dyDescent="0.2">
      <c r="A36" s="321" t="s">
        <v>1602</v>
      </c>
      <c r="B36" s="339">
        <v>20491.3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6"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0" sqref="C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BOW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7990733.620000001</v>
      </c>
      <c r="C9" s="229">
        <f>'DOE25'!G198+'DOE25'!G216+'DOE25'!G234+'DOE25'!G277+'DOE25'!G296+'DOE25'!G315</f>
        <v>3795891.01</v>
      </c>
    </row>
    <row r="10" spans="1:3" x14ac:dyDescent="0.2">
      <c r="A10" t="s">
        <v>775</v>
      </c>
      <c r="B10" s="240">
        <f>7990733.62-347514.94</f>
        <v>7643218.6799999997</v>
      </c>
      <c r="C10" s="240">
        <f>3795891.01-152224.71</f>
        <v>3643666.3</v>
      </c>
    </row>
    <row r="11" spans="1:3" x14ac:dyDescent="0.2">
      <c r="A11" t="s">
        <v>776</v>
      </c>
      <c r="B11" s="240">
        <f>19412.25+21095.55</f>
        <v>40507.800000000003</v>
      </c>
      <c r="C11" s="240">
        <f>11413.11+9679.64</f>
        <v>21092.75</v>
      </c>
    </row>
    <row r="12" spans="1:3" x14ac:dyDescent="0.2">
      <c r="A12" t="s">
        <v>777</v>
      </c>
      <c r="B12" s="240">
        <f>35218.6*3+93564.74+107786.6</f>
        <v>307007.14</v>
      </c>
      <c r="C12" s="240">
        <f>16284.78*3+45793.32+36484.3</f>
        <v>131131.96000000002</v>
      </c>
    </row>
    <row r="13" spans="1:3" x14ac:dyDescent="0.2">
      <c r="A13" t="str">
        <f>IF(B9=B13,IF(C9=C13,"Check Total OK","Check Total Error"),"Check Total Error")</f>
        <v>Check Total OK</v>
      </c>
      <c r="B13" s="231">
        <f>SUM(B10:B12)</f>
        <v>7990733.6199999992</v>
      </c>
      <c r="C13" s="231">
        <f>SUM(C10:C12)</f>
        <v>3795891.01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2925946.86</v>
      </c>
      <c r="C18" s="229">
        <f>'DOE25'!G199+'DOE25'!G217+'DOE25'!G235+'DOE25'!G278+'DOE25'!G297+'DOE25'!G316</f>
        <v>1244478.76</v>
      </c>
    </row>
    <row r="19" spans="1:3" x14ac:dyDescent="0.2">
      <c r="A19" t="s">
        <v>775</v>
      </c>
      <c r="B19" s="240">
        <f>1043690.5+30580.8+47776+77721.93</f>
        <v>1199769.23</v>
      </c>
      <c r="C19" s="240">
        <f>558314.75+14097.96+33052.1+41586.77</f>
        <v>647051.57999999996</v>
      </c>
    </row>
    <row r="20" spans="1:3" x14ac:dyDescent="0.2">
      <c r="A20" t="s">
        <v>776</v>
      </c>
      <c r="B20" s="240">
        <v>1633885.85</v>
      </c>
      <c r="C20" s="240">
        <v>552007.06000000006</v>
      </c>
    </row>
    <row r="21" spans="1:3" x14ac:dyDescent="0.2">
      <c r="A21" t="s">
        <v>777</v>
      </c>
      <c r="B21" s="240">
        <v>92291.78</v>
      </c>
      <c r="C21" s="240">
        <v>45420.12</v>
      </c>
    </row>
    <row r="22" spans="1:3" x14ac:dyDescent="0.2">
      <c r="A22" t="str">
        <f>IF(B18=B22,IF(C18=C22,"Check Total OK","Check Total Error"),"Check Total Error")</f>
        <v>Check Total OK</v>
      </c>
      <c r="B22" s="231">
        <f>SUM(B19:B21)</f>
        <v>2925946.86</v>
      </c>
      <c r="C22" s="231">
        <f>SUM(C19:C21)</f>
        <v>1244478.7600000002</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332255.26999999996</v>
      </c>
      <c r="C36" s="235">
        <f>'DOE25'!G201+'DOE25'!G219+'DOE25'!G237+'DOE25'!G280+'DOE25'!G299+'DOE25'!G318</f>
        <v>92394.69</v>
      </c>
    </row>
    <row r="37" spans="1:3" x14ac:dyDescent="0.2">
      <c r="A37" t="s">
        <v>775</v>
      </c>
      <c r="B37" s="240">
        <v>167936.83</v>
      </c>
      <c r="C37" s="240">
        <v>36967.58</v>
      </c>
    </row>
    <row r="38" spans="1:3" x14ac:dyDescent="0.2">
      <c r="A38" t="s">
        <v>776</v>
      </c>
      <c r="B38" s="240">
        <f>332255.27-248286.83</f>
        <v>83968.440000000031</v>
      </c>
      <c r="C38" s="240">
        <f>92394.69-73910.89</f>
        <v>18483.800000000003</v>
      </c>
    </row>
    <row r="39" spans="1:3" x14ac:dyDescent="0.2">
      <c r="A39" t="s">
        <v>777</v>
      </c>
      <c r="B39" s="240">
        <v>80350</v>
      </c>
      <c r="C39" s="240">
        <v>36943.31</v>
      </c>
    </row>
    <row r="40" spans="1:3" x14ac:dyDescent="0.2">
      <c r="A40" t="str">
        <f>IF(B36=B40,IF(C36=C40,"Check Total OK","Check Total Error"),"Check Total Error")</f>
        <v>Check Total OK</v>
      </c>
      <c r="B40" s="231">
        <f>SUM(B37:B39)</f>
        <v>332255.27</v>
      </c>
      <c r="C40" s="231">
        <f>SUM(C37:C39)</f>
        <v>92394.69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BOW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18477794.080000002</v>
      </c>
      <c r="D5" s="20">
        <f>SUM('DOE25'!L198:L201)+SUM('DOE25'!L216:L219)+SUM('DOE25'!L234:L237)-F5-G5-H5</f>
        <v>18054973.570000004</v>
      </c>
      <c r="E5" s="243"/>
      <c r="F5" s="244">
        <f>274587.75+55395</f>
        <v>329982.75</v>
      </c>
      <c r="G5" s="53">
        <f>SUM('DOE25'!J198:J201)+SUM('DOE25'!J216:J219)+SUM('DOE25'!J234:J237)</f>
        <v>70120.02</v>
      </c>
      <c r="H5" s="53">
        <f>SUM('DOE25'!K198:K201)+SUM('DOE25'!K216:K219)+SUM('DOE25'!K234:K237)</f>
        <v>22717.74</v>
      </c>
      <c r="I5" s="256"/>
    </row>
    <row r="6" spans="1:9" x14ac:dyDescent="0.2">
      <c r="A6" s="32">
        <v>2100</v>
      </c>
      <c r="B6" t="s">
        <v>796</v>
      </c>
      <c r="C6" s="276">
        <f t="shared" si="0"/>
        <v>2506779.1</v>
      </c>
      <c r="D6" s="20">
        <f>'DOE25'!L203+'DOE25'!L221+'DOE25'!L239-F6-G6-H6</f>
        <v>2392620.2200000002</v>
      </c>
      <c r="E6" s="243"/>
      <c r="F6" s="244">
        <f>44694+64416.52</f>
        <v>109110.51999999999</v>
      </c>
      <c r="G6" s="53">
        <f>'DOE25'!J203+'DOE25'!J221+'DOE25'!J239</f>
        <v>2544.36</v>
      </c>
      <c r="H6" s="53">
        <f>'DOE25'!K203+'DOE25'!K221+'DOE25'!K239</f>
        <v>2504</v>
      </c>
      <c r="I6" s="256"/>
    </row>
    <row r="7" spans="1:9" x14ac:dyDescent="0.2">
      <c r="A7" s="32">
        <v>2200</v>
      </c>
      <c r="B7" t="s">
        <v>821</v>
      </c>
      <c r="C7" s="276">
        <f t="shared" si="0"/>
        <v>1278593.6600000001</v>
      </c>
      <c r="D7" s="20">
        <f>'DOE25'!L204+'DOE25'!L222+'DOE25'!L240-F7-G7-H7</f>
        <v>1020103.4600000002</v>
      </c>
      <c r="E7" s="243"/>
      <c r="F7" s="244">
        <v>0</v>
      </c>
      <c r="G7" s="53">
        <f>'DOE25'!J204+'DOE25'!J222+'DOE25'!J240</f>
        <v>258167.2</v>
      </c>
      <c r="H7" s="53">
        <f>'DOE25'!K204+'DOE25'!K222+'DOE25'!K240</f>
        <v>323</v>
      </c>
      <c r="I7" s="256"/>
    </row>
    <row r="8" spans="1:9" x14ac:dyDescent="0.2">
      <c r="A8" s="32">
        <v>2300</v>
      </c>
      <c r="B8" t="s">
        <v>797</v>
      </c>
      <c r="C8" s="276">
        <f t="shared" si="0"/>
        <v>642257.66999999969</v>
      </c>
      <c r="D8" s="243"/>
      <c r="E8" s="20">
        <f>'DOE25'!L205+'DOE25'!L223+'DOE25'!L241-F8-G8-H8-D9-D11</f>
        <v>530592.64999999967</v>
      </c>
      <c r="F8" s="244">
        <v>0</v>
      </c>
      <c r="G8" s="53">
        <f>'DOE25'!J205+'DOE25'!J223+'DOE25'!J241</f>
        <v>0</v>
      </c>
      <c r="H8" s="53">
        <f>'DOE25'!K205+'DOE25'!K223+'DOE25'!K241</f>
        <v>111665.02000000002</v>
      </c>
      <c r="I8" s="256"/>
    </row>
    <row r="9" spans="1:9" ht="14.25" x14ac:dyDescent="0.2">
      <c r="A9" s="32">
        <v>2310</v>
      </c>
      <c r="B9" s="185" t="s">
        <v>890</v>
      </c>
      <c r="C9" s="276">
        <f t="shared" si="0"/>
        <v>48381.43</v>
      </c>
      <c r="D9" s="244">
        <v>48381.43</v>
      </c>
      <c r="E9" s="243"/>
      <c r="F9" s="253"/>
      <c r="G9" s="253"/>
      <c r="H9" s="253"/>
      <c r="I9" s="256"/>
    </row>
    <row r="10" spans="1:9" ht="14.25" x14ac:dyDescent="0.2">
      <c r="A10" s="32">
        <v>2317</v>
      </c>
      <c r="B10" s="185" t="s">
        <v>891</v>
      </c>
      <c r="C10" s="276">
        <f t="shared" si="0"/>
        <v>12140</v>
      </c>
      <c r="D10" s="243"/>
      <c r="E10" s="244">
        <v>12140</v>
      </c>
      <c r="F10" s="253"/>
      <c r="G10" s="253"/>
      <c r="H10" s="253"/>
      <c r="I10" s="256"/>
    </row>
    <row r="11" spans="1:9" ht="14.25" x14ac:dyDescent="0.2">
      <c r="A11" s="32">
        <v>2321</v>
      </c>
      <c r="B11" s="185" t="s">
        <v>892</v>
      </c>
      <c r="C11" s="276">
        <f t="shared" si="0"/>
        <v>238520.43</v>
      </c>
      <c r="D11" s="244">
        <v>238520.43</v>
      </c>
      <c r="E11" s="243"/>
      <c r="F11" s="253"/>
      <c r="G11" s="253"/>
      <c r="H11" s="253"/>
      <c r="I11" s="256"/>
    </row>
    <row r="12" spans="1:9" x14ac:dyDescent="0.2">
      <c r="A12" s="32">
        <v>2400</v>
      </c>
      <c r="B12" t="s">
        <v>711</v>
      </c>
      <c r="C12" s="276">
        <f t="shared" si="0"/>
        <v>1356252.75</v>
      </c>
      <c r="D12" s="20">
        <f>'DOE25'!L206+'DOE25'!L224+'DOE25'!L242-F12-G12-H12</f>
        <v>1347474.59</v>
      </c>
      <c r="E12" s="243"/>
      <c r="F12" s="244">
        <v>0</v>
      </c>
      <c r="G12" s="53">
        <f>'DOE25'!J206+'DOE25'!J224+'DOE25'!J242</f>
        <v>789.14</v>
      </c>
      <c r="H12" s="53">
        <f>'DOE25'!K206+'DOE25'!K224+'DOE25'!K242</f>
        <v>7989.0199999999995</v>
      </c>
      <c r="I12" s="256"/>
    </row>
    <row r="13" spans="1:9" x14ac:dyDescent="0.2">
      <c r="A13" s="32">
        <v>2500</v>
      </c>
      <c r="B13" t="s">
        <v>798</v>
      </c>
      <c r="C13" s="276">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6">
        <f t="shared" si="0"/>
        <v>2097220.63</v>
      </c>
      <c r="D14" s="20">
        <f>'DOE25'!L208+'DOE25'!L226+'DOE25'!L244-F14-G14-H14</f>
        <v>2095469.63</v>
      </c>
      <c r="E14" s="243"/>
      <c r="F14" s="244">
        <v>0</v>
      </c>
      <c r="G14" s="53">
        <f>'DOE25'!J208+'DOE25'!J226+'DOE25'!J244</f>
        <v>1751</v>
      </c>
      <c r="H14" s="53">
        <f>'DOE25'!K208+'DOE25'!K226+'DOE25'!K244</f>
        <v>0</v>
      </c>
      <c r="I14" s="256"/>
    </row>
    <row r="15" spans="1:9" x14ac:dyDescent="0.2">
      <c r="A15" s="32">
        <v>2700</v>
      </c>
      <c r="B15" t="s">
        <v>799</v>
      </c>
      <c r="C15" s="276">
        <f t="shared" si="0"/>
        <v>1037644.69</v>
      </c>
      <c r="D15" s="20">
        <f>'DOE25'!L209+'DOE25'!L227+'DOE25'!L245-F15-G15-H15</f>
        <v>834997.97999999986</v>
      </c>
      <c r="E15" s="243"/>
      <c r="F15" s="244">
        <f>66320+43952</f>
        <v>110272</v>
      </c>
      <c r="G15" s="53">
        <f>'DOE25'!J209+'DOE25'!J227+'DOE25'!J245</f>
        <v>85006.8</v>
      </c>
      <c r="H15" s="53">
        <f>'DOE25'!K209+'DOE25'!K227+'DOE25'!K245</f>
        <v>7367.9100000000008</v>
      </c>
      <c r="I15" s="256"/>
    </row>
    <row r="16" spans="1:9" x14ac:dyDescent="0.2">
      <c r="A16" s="32">
        <v>2800</v>
      </c>
      <c r="B16" t="s">
        <v>800</v>
      </c>
      <c r="C16" s="276">
        <f t="shared" si="0"/>
        <v>0</v>
      </c>
      <c r="D16" s="243"/>
      <c r="E16" s="20">
        <f>'DOE25'!L210+'DOE25'!L228+'DOE25'!L246-F16-G16-H16</f>
        <v>0</v>
      </c>
      <c r="F16" s="244">
        <v>0</v>
      </c>
      <c r="G16" s="53">
        <f>'DOE25'!J210+'DOE25'!J228+'DOE25'!J246</f>
        <v>0</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267000</v>
      </c>
      <c r="D25" s="243"/>
      <c r="E25" s="243"/>
      <c r="F25" s="255"/>
      <c r="G25" s="253"/>
      <c r="H25" s="253"/>
      <c r="I25" s="254">
        <f>'DOE25'!L261+'DOE25'!L262+'DOE25'!L342+'DOE25'!L343</f>
        <v>267000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411555.33999999997</v>
      </c>
      <c r="D29" s="284">
        <f>'DOE25'!L359+'DOE25'!L360+'DOE25'!L361-'DOE25'!I368-F29-G29-H29</f>
        <v>393035.26999999996</v>
      </c>
      <c r="E29" s="243"/>
      <c r="F29" s="244">
        <v>0</v>
      </c>
      <c r="G29" s="53">
        <f>'DOE25'!J359+'DOE25'!J360+'DOE25'!J361</f>
        <v>17820.07</v>
      </c>
      <c r="H29" s="53">
        <f>'DOE25'!K359+'DOE25'!K360+'DOE25'!K361</f>
        <v>700</v>
      </c>
      <c r="I29" s="256"/>
    </row>
    <row r="30" spans="1:9" x14ac:dyDescent="0.2">
      <c r="A30" s="32"/>
      <c r="C30" s="277"/>
      <c r="D30" s="20"/>
      <c r="E30" s="281"/>
      <c r="F30" s="271"/>
      <c r="G30" s="53"/>
      <c r="H30" s="53"/>
      <c r="I30" s="256"/>
    </row>
    <row r="31" spans="1:9" x14ac:dyDescent="0.2">
      <c r="A31" s="32" t="s">
        <v>818</v>
      </c>
      <c r="B31" t="s">
        <v>817</v>
      </c>
      <c r="C31" s="276">
        <f>SUM(D31:I31)</f>
        <v>467902.81999999995</v>
      </c>
      <c r="D31" s="20">
        <f>'DOE25'!L291+'DOE25'!L310+'DOE25'!L329+'DOE25'!L334+'DOE25'!L335+'DOE25'!L336-F31-G31-H31</f>
        <v>448402.88999999996</v>
      </c>
      <c r="E31" s="243"/>
      <c r="F31" s="244">
        <v>0</v>
      </c>
      <c r="G31" s="53">
        <f>'DOE25'!J291+'DOE25'!J310+'DOE25'!J329+'DOE25'!J334+'DOE25'!J335+'DOE25'!J336</f>
        <v>6115.4500000000007</v>
      </c>
      <c r="H31" s="53">
        <f>'DOE25'!K291+'DOE25'!K310+'DOE25'!K329+'DOE25'!K334+'DOE25'!K335+'DOE25'!K336</f>
        <v>13384.48</v>
      </c>
      <c r="I31" s="256"/>
    </row>
    <row r="32" spans="1:9" ht="12" thickBot="1" x14ac:dyDescent="0.25">
      <c r="C32" s="277"/>
      <c r="G32" s="251"/>
      <c r="H32" s="251"/>
      <c r="I32" s="258"/>
    </row>
    <row r="33" spans="1:9" ht="12" thickTop="1" x14ac:dyDescent="0.2">
      <c r="B33" t="s">
        <v>809</v>
      </c>
      <c r="D33" s="245">
        <f t="shared" ref="D33:I33" si="1">SUM(D5:D31)</f>
        <v>26873979.470000003</v>
      </c>
      <c r="E33" s="245">
        <f t="shared" si="1"/>
        <v>542732.64999999967</v>
      </c>
      <c r="F33" s="245">
        <f t="shared" si="1"/>
        <v>549365.27</v>
      </c>
      <c r="G33" s="245">
        <f t="shared" si="1"/>
        <v>442314.04000000004</v>
      </c>
      <c r="H33" s="245">
        <f t="shared" si="1"/>
        <v>166651.17000000001</v>
      </c>
      <c r="I33" s="245">
        <f t="shared" si="1"/>
        <v>267000</v>
      </c>
    </row>
    <row r="35" spans="1:9" ht="12" thickBot="1" x14ac:dyDescent="0.25">
      <c r="B35" s="251" t="s">
        <v>831</v>
      </c>
      <c r="D35" s="252">
        <f>E33</f>
        <v>542732.64999999967</v>
      </c>
      <c r="E35" s="248"/>
    </row>
    <row r="36" spans="1:9" ht="12" thickTop="1" x14ac:dyDescent="0.2">
      <c r="B36" t="s">
        <v>810</v>
      </c>
      <c r="D36" s="20">
        <f>D33</f>
        <v>26873979.470000003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BOW SCHOOL DISTRICT</v>
      </c>
      <c r="B2" s="126">
        <f>'DOE25'!B2</f>
        <v>57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8594636.1599999983</v>
      </c>
      <c r="G4" s="303">
        <f>'DOE25'!L212+'DOE25'!L291</f>
        <v>8594636.1599999983</v>
      </c>
      <c r="H4" s="337">
        <f>F4-G4</f>
        <v>0</v>
      </c>
      <c r="I4" s="309" t="str">
        <f>IF(H4=0,"","Does not match DOE25 page 7 and 11 Totals!!")</f>
        <v/>
      </c>
      <c r="N4"/>
    </row>
    <row r="5" spans="1:18" x14ac:dyDescent="0.2">
      <c r="A5" s="21" t="s">
        <v>951</v>
      </c>
      <c r="B5" s="304">
        <f>IFERROR(VLOOKUP(A5,'School Tables'!$C$3:$D$365,2,FALSE),"")</f>
        <v>20680</v>
      </c>
      <c r="C5" s="297" t="str">
        <f>IFERROR(INDEX('School Tables'!$B$3:$B$365,MATCH('School Level Expenditures'!B5,'School Tables'!$D$3:$D$365,0)),"")</f>
        <v>Bow</v>
      </c>
      <c r="D5" s="294">
        <f>'DOE25'!L212</f>
        <v>8356926.4299999988</v>
      </c>
      <c r="E5" s="294">
        <f>'DOE25'!L291</f>
        <v>237709.73</v>
      </c>
      <c r="F5" s="312">
        <f>D5+E5</f>
        <v>8594636.1599999983</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8470864.4499999993</v>
      </c>
      <c r="G24" s="303">
        <f>'DOE25'!L230+'DOE25'!L310</f>
        <v>8470864.4499999993</v>
      </c>
      <c r="H24" s="337">
        <f>F24-G24</f>
        <v>0</v>
      </c>
      <c r="I24" s="309" t="str">
        <f>IF(H24=0,"","Does not match DOE25 page 8 and 12 Totals!!")</f>
        <v/>
      </c>
      <c r="N24"/>
    </row>
    <row r="25" spans="1:14" x14ac:dyDescent="0.2">
      <c r="A25" s="21" t="s">
        <v>950</v>
      </c>
      <c r="B25" s="304">
        <f>IFERROR(VLOOKUP(A25,'School Tables'!$I$3:$J$80,2,FALSE),"")</f>
        <v>20675</v>
      </c>
      <c r="C25" s="297" t="str">
        <f t="array" ref="C25">IFERROR(INDEX('School Tables'!$H$3:$H$80,MATCH('School Level Expenditures'!B25,'School Tables'!$J$3:$J$80,0)),"")</f>
        <v>Bow</v>
      </c>
      <c r="D25" s="294">
        <f>'DOE25'!L230</f>
        <v>8300941.5999999996</v>
      </c>
      <c r="E25" s="294">
        <f>'DOE25'!L310</f>
        <v>169922.84999999998</v>
      </c>
      <c r="F25" s="307">
        <f>D25+E25</f>
        <v>8470864.4499999993</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11085846.650000002</v>
      </c>
      <c r="G36" s="303">
        <f>'DOE25'!L248+'DOE25'!L329</f>
        <v>11085846.650000002</v>
      </c>
      <c r="H36" s="337">
        <f>F36-G36</f>
        <v>0</v>
      </c>
      <c r="I36" s="309" t="str">
        <f>IF(H36=0,"","Does not match DOE25 page 9 and 13 Totals!!")</f>
        <v/>
      </c>
      <c r="N36"/>
    </row>
    <row r="37" spans="1:14" x14ac:dyDescent="0.2">
      <c r="A37" s="21" t="s">
        <v>952</v>
      </c>
      <c r="B37" s="304">
        <f>IFERROR(VLOOKUP(A37,'School Tables'!$O$3:$P$118,2,FALSE),"")</f>
        <v>27375</v>
      </c>
      <c r="C37" s="297" t="str">
        <f t="array" ref="C37">IFERROR(INDEX('School Tables'!$N$3:$N$118,MATCH('School Level Expenditures'!B37,'School Tables'!$P$3:$P$118,0)),"")</f>
        <v>Bow</v>
      </c>
      <c r="D37" s="294">
        <f>'DOE25'!L248</f>
        <v>11025576.410000002</v>
      </c>
      <c r="E37" s="294">
        <f>'DOE25'!L329</f>
        <v>60270.239999999998</v>
      </c>
      <c r="F37" s="307">
        <f>D37+E37</f>
        <v>11085846.650000002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3" sqref="A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BOW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1724065.69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2065232.59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4506840.21</v>
      </c>
      <c r="D11" s="95">
        <f>'DOE25'!G12</f>
        <v>2864230.15</v>
      </c>
      <c r="E11" s="95">
        <f>'DOE25'!H12</f>
        <v>1748187.51</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215039.91</v>
      </c>
      <c r="D13" s="95">
        <f>'DOE25'!G14</f>
        <v>0</v>
      </c>
      <c r="E13" s="95">
        <f>'DOE25'!H14</f>
        <v>99796.37</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271312.5</v>
      </c>
      <c r="D16" s="95">
        <f>'DOE25'!G17</f>
        <v>0</v>
      </c>
      <c r="E16" s="95">
        <f>'DOE25'!H17</f>
        <v>0</v>
      </c>
      <c r="F16" s="95">
        <f>'DOE25'!I17</f>
        <v>0</v>
      </c>
      <c r="G16" s="95">
        <f>'DOE25'!J17</f>
        <v>0</v>
      </c>
      <c r="H16" s="124"/>
      <c r="I16" s="124"/>
    </row>
    <row r="17" spans="1:9" ht="12" thickBot="1" x14ac:dyDescent="0.25">
      <c r="A17" s="1" t="s">
        <v>148</v>
      </c>
      <c r="B17" s="6">
        <v>190</v>
      </c>
      <c r="C17" s="95">
        <f>'DOE25'!F18</f>
        <v>7202.09</v>
      </c>
      <c r="D17" s="95">
        <f>'DOE25'!G18</f>
        <v>0</v>
      </c>
      <c r="E17" s="95">
        <f>'DOE25'!H18</f>
        <v>485.47</v>
      </c>
      <c r="F17" s="95">
        <f>'DOE25'!I18</f>
        <v>0</v>
      </c>
      <c r="G17" s="95">
        <f>'DOE25'!J18</f>
        <v>0</v>
      </c>
      <c r="H17" s="124"/>
      <c r="I17" s="124"/>
    </row>
    <row r="18" spans="1:9" ht="12" thickTop="1" x14ac:dyDescent="0.2">
      <c r="A18" s="38" t="s">
        <v>149</v>
      </c>
      <c r="B18" s="39"/>
      <c r="C18" s="41">
        <f>SUM(C8:C17)</f>
        <v>6724460.4000000004</v>
      </c>
      <c r="D18" s="41">
        <f>SUM(D8:D17)</f>
        <v>2864230.15</v>
      </c>
      <c r="E18" s="41">
        <f>SUM(E8:E17)</f>
        <v>1848469.3499999999</v>
      </c>
      <c r="F18" s="41">
        <f>SUM(F8:F17)</f>
        <v>0</v>
      </c>
      <c r="G18" s="41">
        <f>SUM(G8:G17)</f>
        <v>2065232.59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4635289.97</v>
      </c>
      <c r="D21" s="95">
        <f>'DOE25'!G22</f>
        <v>2642764.15</v>
      </c>
      <c r="E21" s="95">
        <f>'DOE25'!H22</f>
        <v>1841203.78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225328.83999999997</v>
      </c>
      <c r="D23" s="95">
        <f>'DOE25'!G24</f>
        <v>1945.56</v>
      </c>
      <c r="E23" s="95">
        <f>'DOE25'!H24</f>
        <v>7265.57</v>
      </c>
      <c r="F23" s="95">
        <f>'DOE25'!I24</f>
        <v>0</v>
      </c>
      <c r="G23" s="95">
        <f>'DOE25'!J24</f>
        <v>0</v>
      </c>
      <c r="H23" s="124"/>
      <c r="I23" s="124"/>
    </row>
    <row r="24" spans="1:9" x14ac:dyDescent="0.2">
      <c r="A24" s="1" t="s">
        <v>153</v>
      </c>
      <c r="B24" s="6">
        <v>430</v>
      </c>
      <c r="C24" s="95">
        <f>'DOE25'!F25</f>
        <v>495488.91</v>
      </c>
      <c r="D24" s="95">
        <f>'DOE25'!G25</f>
        <v>8103.93</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18686.41</v>
      </c>
      <c r="D28" s="95">
        <f>'DOE25'!G29</f>
        <v>0</v>
      </c>
      <c r="E28" s="95">
        <f>'DOE25'!H29</f>
        <v>0</v>
      </c>
      <c r="F28" s="95">
        <f>'DOE25'!I29</f>
        <v>0</v>
      </c>
      <c r="G28" s="24" t="s">
        <v>288</v>
      </c>
      <c r="H28" s="124"/>
      <c r="I28" s="124"/>
    </row>
    <row r="29" spans="1:9" x14ac:dyDescent="0.2">
      <c r="A29" s="1" t="s">
        <v>158</v>
      </c>
      <c r="B29" s="6">
        <v>480</v>
      </c>
      <c r="C29" s="95">
        <f>'DOE25'!F30</f>
        <v>0</v>
      </c>
      <c r="D29" s="95">
        <f>'DOE25'!G30</f>
        <v>43901.83</v>
      </c>
      <c r="E29" s="95">
        <f>'DOE25'!H30</f>
        <v>0</v>
      </c>
      <c r="F29" s="95">
        <f>'DOE25'!I30</f>
        <v>0</v>
      </c>
      <c r="G29" s="24" t="s">
        <v>288</v>
      </c>
      <c r="H29" s="124"/>
      <c r="I29" s="124"/>
    </row>
    <row r="30" spans="1:9" ht="12" thickBot="1" x14ac:dyDescent="0.25">
      <c r="A30" s="1" t="s">
        <v>159</v>
      </c>
      <c r="B30" s="71">
        <v>490</v>
      </c>
      <c r="C30" s="95">
        <f>'DOE25'!F31</f>
        <v>466.47</v>
      </c>
      <c r="D30" s="95">
        <f>'DOE25'!G31</f>
        <v>0</v>
      </c>
      <c r="E30" s="95">
        <f>'DOE25'!H31</f>
        <v>0</v>
      </c>
      <c r="F30" s="95">
        <f>'DOE25'!I31</f>
        <v>0</v>
      </c>
      <c r="G30" s="95">
        <f>'DOE25'!J31</f>
        <v>0</v>
      </c>
      <c r="H30" s="124"/>
      <c r="I30" s="124"/>
    </row>
    <row r="31" spans="1:9" ht="12" thickTop="1" x14ac:dyDescent="0.2">
      <c r="A31" s="38" t="s">
        <v>160</v>
      </c>
      <c r="B31" s="2"/>
      <c r="C31" s="41">
        <f>SUM(C21:C30)</f>
        <v>5375260.5999999996</v>
      </c>
      <c r="D31" s="41">
        <f>SUM(D21:D30)</f>
        <v>2696715.47</v>
      </c>
      <c r="E31" s="41">
        <f>SUM(E21:E30)</f>
        <v>1848469.35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271312.5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167514.6799999997</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2065232.59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1077887.299999997</v>
      </c>
      <c r="D49" s="24" t="s">
        <v>288</v>
      </c>
      <c r="E49" s="24" t="s">
        <v>288</v>
      </c>
      <c r="F49" s="24" t="s">
        <v>288</v>
      </c>
      <c r="G49" s="24" t="s">
        <v>288</v>
      </c>
      <c r="H49" s="124"/>
      <c r="I49" s="124"/>
    </row>
    <row r="50" spans="1:9" ht="12.75" thickTop="1" thickBot="1" x14ac:dyDescent="0.25">
      <c r="A50" s="38" t="s">
        <v>884</v>
      </c>
      <c r="B50" s="48"/>
      <c r="C50" s="41">
        <f>SUM(C34:C49)</f>
        <v>1349199.799999997</v>
      </c>
      <c r="D50" s="41">
        <f>SUM(D34:D49)</f>
        <v>167514.6799999997</v>
      </c>
      <c r="E50" s="41">
        <f>SUM(E34:E49)</f>
        <v>0</v>
      </c>
      <c r="F50" s="41">
        <f>SUM(F34:F49)</f>
        <v>0</v>
      </c>
      <c r="G50" s="41">
        <f>SUM(G34:G49)</f>
        <v>2065232.59</v>
      </c>
      <c r="H50" s="124"/>
      <c r="I50" s="124"/>
    </row>
    <row r="51" spans="1:9" ht="12" thickTop="1" x14ac:dyDescent="0.2">
      <c r="A51" s="38" t="s">
        <v>885</v>
      </c>
      <c r="B51" s="2"/>
      <c r="C51" s="41">
        <f>C50+C31</f>
        <v>6724460.3999999966</v>
      </c>
      <c r="D51" s="41">
        <f>D50+D31</f>
        <v>2864230.15</v>
      </c>
      <c r="E51" s="41">
        <f>E50+E31</f>
        <v>1848469.35</v>
      </c>
      <c r="F51" s="41">
        <f>F50+F31</f>
        <v>0</v>
      </c>
      <c r="G51" s="41">
        <f>G50+G31</f>
        <v>2065232.59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18737008</v>
      </c>
      <c r="D56" s="95">
        <f>'DOE25'!G60</f>
        <v>0</v>
      </c>
      <c r="E56" s="95">
        <f>'DOE25'!H60</f>
        <v>0</v>
      </c>
      <c r="F56" s="95">
        <f>'DOE25'!I60</f>
        <v>0</v>
      </c>
      <c r="G56" s="95">
        <f>'DOE25'!J60</f>
        <v>0</v>
      </c>
      <c r="H56"/>
      <c r="I56"/>
    </row>
    <row r="57" spans="1:9" x14ac:dyDescent="0.2">
      <c r="A57" s="1" t="s">
        <v>164</v>
      </c>
      <c r="B57" s="6" t="s">
        <v>165</v>
      </c>
      <c r="C57" s="95">
        <f>'DOE25'!F79</f>
        <v>2978006.13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13510.99</v>
      </c>
      <c r="D59" s="95">
        <f>'DOE25'!G96</f>
        <v>0</v>
      </c>
      <c r="E59" s="95">
        <f>'DOE25'!H96</f>
        <v>0</v>
      </c>
      <c r="F59" s="95">
        <f>'DOE25'!I96</f>
        <v>0</v>
      </c>
      <c r="G59" s="95">
        <f>'DOE25'!J96</f>
        <v>90718.14</v>
      </c>
      <c r="H59"/>
      <c r="I59"/>
    </row>
    <row r="60" spans="1:9" x14ac:dyDescent="0.2">
      <c r="A60" s="1" t="s">
        <v>170</v>
      </c>
      <c r="B60" s="118" t="s">
        <v>171</v>
      </c>
      <c r="C60" s="24" t="s">
        <v>288</v>
      </c>
      <c r="D60" s="95">
        <f>'DOE25'!G97</f>
        <v>451925.85000000003</v>
      </c>
      <c r="E60" s="24" t="s">
        <v>288</v>
      </c>
      <c r="F60" s="24" t="s">
        <v>288</v>
      </c>
      <c r="G60" s="24" t="s">
        <v>288</v>
      </c>
      <c r="H60"/>
      <c r="I60"/>
    </row>
    <row r="61" spans="1:9" ht="12" thickBot="1" x14ac:dyDescent="0.25">
      <c r="A61" s="1" t="s">
        <v>172</v>
      </c>
      <c r="B61" s="118" t="s">
        <v>173</v>
      </c>
      <c r="C61" s="95">
        <f>SUM('DOE25'!F98:F110)</f>
        <v>334277.07999999996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3325794.2</v>
      </c>
      <c r="D62" s="130">
        <f>SUM(D57:D61)</f>
        <v>451925.85000000003</v>
      </c>
      <c r="E62" s="130">
        <f>SUM(E57:E61)</f>
        <v>0</v>
      </c>
      <c r="F62" s="130">
        <f>SUM(F57:F61)</f>
        <v>0</v>
      </c>
      <c r="G62" s="130">
        <f>SUM(G57:G61)</f>
        <v>90718.14</v>
      </c>
      <c r="H62"/>
      <c r="I62"/>
    </row>
    <row r="63" spans="1:9" ht="12" thickTop="1" x14ac:dyDescent="0.2">
      <c r="A63" s="29" t="s">
        <v>175</v>
      </c>
      <c r="B63" s="6"/>
      <c r="C63" s="22">
        <f>C56+C62</f>
        <v>22062802.199999999</v>
      </c>
      <c r="D63" s="22">
        <f>D56+D62</f>
        <v>451925.85000000003</v>
      </c>
      <c r="E63" s="22">
        <f>E56+E62</f>
        <v>0</v>
      </c>
      <c r="F63" s="22">
        <f>F56+F62</f>
        <v>0</v>
      </c>
      <c r="G63" s="22">
        <f>G56+G62</f>
        <v>90718.14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4104163.15</v>
      </c>
      <c r="D66" s="24" t="s">
        <v>288</v>
      </c>
      <c r="E66" s="24" t="s">
        <v>288</v>
      </c>
      <c r="F66" s="24" t="s">
        <v>288</v>
      </c>
      <c r="G66" s="24" t="s">
        <v>288</v>
      </c>
      <c r="H66"/>
      <c r="I66"/>
    </row>
    <row r="67" spans="1:9" x14ac:dyDescent="0.2">
      <c r="A67" s="1" t="s">
        <v>770</v>
      </c>
      <c r="B67" s="6">
        <v>3112</v>
      </c>
      <c r="C67" s="95">
        <f>'DOE25'!F118</f>
        <v>2167917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5656.43</v>
      </c>
      <c r="D69" s="95">
        <f>'DOE25'!G120</f>
        <v>0</v>
      </c>
      <c r="E69" s="95">
        <f>'DOE25'!H120</f>
        <v>0</v>
      </c>
      <c r="F69" s="95">
        <f>'DOE25'!I120</f>
        <v>0</v>
      </c>
      <c r="G69" s="95">
        <f>'DOE25'!J120</f>
        <v>0</v>
      </c>
      <c r="H69"/>
      <c r="I69"/>
    </row>
    <row r="70" spans="1:9" ht="12" thickTop="1" x14ac:dyDescent="0.2">
      <c r="A70" s="29" t="s">
        <v>252</v>
      </c>
      <c r="B70" s="2"/>
      <c r="C70" s="139">
        <f>SUM(C66:C69)</f>
        <v>6277736.5800000001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67289.929999999993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427153.99</v>
      </c>
      <c r="D75" s="24" t="s">
        <v>288</v>
      </c>
      <c r="E75" s="24" t="s">
        <v>288</v>
      </c>
      <c r="F75" s="24" t="s">
        <v>288</v>
      </c>
      <c r="G75" s="24" t="s">
        <v>288</v>
      </c>
      <c r="H75"/>
      <c r="I75"/>
    </row>
    <row r="76" spans="1:9" x14ac:dyDescent="0.2">
      <c r="A76" s="1" t="s">
        <v>257</v>
      </c>
      <c r="B76" s="6" t="s">
        <v>179</v>
      </c>
      <c r="C76" s="95">
        <f>SUM('DOE25'!F127:F130)</f>
        <v>8518.7999999999993</v>
      </c>
      <c r="D76" s="24" t="s">
        <v>288</v>
      </c>
      <c r="E76" s="95">
        <f>SUM('DOE25'!H127:H130)</f>
        <v>4726.8899999999994</v>
      </c>
      <c r="F76" s="95">
        <f>SUM('DOE25'!I127:I130)</f>
        <v>0</v>
      </c>
      <c r="G76" s="24" t="s">
        <v>288</v>
      </c>
      <c r="H76"/>
      <c r="I76"/>
    </row>
    <row r="77" spans="1:9" ht="12" thickBot="1" x14ac:dyDescent="0.25">
      <c r="A77" s="1" t="s">
        <v>258</v>
      </c>
      <c r="B77" s="6" t="s">
        <v>180</v>
      </c>
      <c r="C77" s="95">
        <f>SUM('DOE25'!F131:F135)</f>
        <v>0</v>
      </c>
      <c r="D77" s="95">
        <f>SUM('DOE25'!G131:G135)</f>
        <v>27810.3</v>
      </c>
      <c r="E77" s="95">
        <f>SUM('DOE25'!H131:H135)</f>
        <v>0</v>
      </c>
      <c r="F77" s="95">
        <f>SUM('DOE25'!I131:I135)</f>
        <v>0</v>
      </c>
      <c r="G77" s="95">
        <f>SUM('DOE25'!J131:J135)</f>
        <v>0</v>
      </c>
      <c r="H77"/>
      <c r="I77"/>
    </row>
    <row r="78" spans="1:9" ht="12.75" thickTop="1" thickBot="1" x14ac:dyDescent="0.25">
      <c r="A78" s="29" t="s">
        <v>259</v>
      </c>
      <c r="B78" s="6"/>
      <c r="C78" s="130">
        <f>SUM(C72:C77)</f>
        <v>502962.72</v>
      </c>
      <c r="D78" s="130">
        <f>SUM(D72:D77)</f>
        <v>27810.3</v>
      </c>
      <c r="E78" s="130">
        <f>SUM(E72:E77)</f>
        <v>4726.8899999999994</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6780699.2999999998</v>
      </c>
      <c r="D81" s="130">
        <f>SUM(D79:D80)+D78+D70</f>
        <v>27810.3</v>
      </c>
      <c r="E81" s="130">
        <f>SUM(E79:E80)+E78+E70</f>
        <v>4726.8899999999994</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94629.24</v>
      </c>
      <c r="D88" s="341">
        <f>SUM('DOE25'!G153:G162)</f>
        <v>61429.32</v>
      </c>
      <c r="E88" s="341">
        <f>SUM('DOE25'!H153:H162)</f>
        <v>463175.92999999993</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94629.24</v>
      </c>
      <c r="D91" s="131">
        <f>SUM(D85:D90)</f>
        <v>61429.32</v>
      </c>
      <c r="E91" s="131">
        <f>SUM(E85:E90)</f>
        <v>463175.92999999993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481093.67</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378436.83</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378436.83</v>
      </c>
      <c r="D103" s="86">
        <f>SUM(D93:D102)</f>
        <v>0</v>
      </c>
      <c r="E103" s="86">
        <f>SUM(E93:E102)</f>
        <v>0</v>
      </c>
      <c r="F103" s="86">
        <f>SUM(F93:F102)</f>
        <v>0</v>
      </c>
      <c r="G103" s="86">
        <f>SUM(G93:G102)</f>
        <v>481093.67</v>
      </c>
    </row>
    <row r="104" spans="1:7" ht="12.75" thickTop="1" thickBot="1" x14ac:dyDescent="0.25">
      <c r="A104" s="33" t="s">
        <v>761</v>
      </c>
      <c r="C104" s="86">
        <f>C63+C81+C91+C103</f>
        <v>29316567.569999997</v>
      </c>
      <c r="D104" s="86">
        <f>D63+D81+D91+D103</f>
        <v>541165.47</v>
      </c>
      <c r="E104" s="86">
        <f>E63+E81+E91+E103</f>
        <v>467902.81999999995</v>
      </c>
      <c r="F104" s="86">
        <f>F63+F81+F91+F103</f>
        <v>0</v>
      </c>
      <c r="G104" s="86">
        <f>G63+G81+G103</f>
        <v>571811.80999999994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12043459.359999999</v>
      </c>
      <c r="D109" s="24" t="s">
        <v>288</v>
      </c>
      <c r="E109" s="95">
        <f>('DOE25'!L277)+('DOE25'!L296)+('DOE25'!L315)</f>
        <v>76997.539999999994</v>
      </c>
      <c r="F109" s="24" t="s">
        <v>288</v>
      </c>
      <c r="G109" s="24" t="s">
        <v>288</v>
      </c>
    </row>
    <row r="110" spans="1:7" x14ac:dyDescent="0.2">
      <c r="A110" t="s">
        <v>198</v>
      </c>
      <c r="B110" s="32" t="s">
        <v>199</v>
      </c>
      <c r="C110" s="95">
        <f>('DOE25'!L199)+('DOE25'!L217)+('DOE25'!L235)</f>
        <v>5660301.7699999996</v>
      </c>
      <c r="D110" s="24" t="s">
        <v>288</v>
      </c>
      <c r="E110" s="95">
        <f>('DOE25'!L278)+('DOE25'!L297)+('DOE25'!L316)</f>
        <v>226505.77</v>
      </c>
      <c r="F110" s="24" t="s">
        <v>288</v>
      </c>
      <c r="G110" s="24" t="s">
        <v>288</v>
      </c>
    </row>
    <row r="111" spans="1:7" x14ac:dyDescent="0.2">
      <c r="A111" t="s">
        <v>200</v>
      </c>
      <c r="B111" s="32" t="s">
        <v>165</v>
      </c>
      <c r="C111" s="95">
        <f>('DOE25'!L200)+('DOE25'!L218)+('DOE25'!L236)</f>
        <v>187383.67999999999</v>
      </c>
      <c r="D111" s="24" t="s">
        <v>288</v>
      </c>
      <c r="E111" s="95">
        <f>('DOE25'!L279)+('DOE25'!L298)+('DOE25'!L317)</f>
        <v>0</v>
      </c>
      <c r="F111" s="24" t="s">
        <v>288</v>
      </c>
      <c r="G111" s="24" t="s">
        <v>288</v>
      </c>
    </row>
    <row r="112" spans="1:7" x14ac:dyDescent="0.2">
      <c r="A112" t="s">
        <v>201</v>
      </c>
      <c r="B112" s="32" t="s">
        <v>167</v>
      </c>
      <c r="C112" s="95">
        <f>('DOE25'!L201)+('DOE25'!L219)+('DOE25'!L237)</f>
        <v>586649.27</v>
      </c>
      <c r="D112" s="24" t="s">
        <v>288</v>
      </c>
      <c r="E112" s="95">
        <f>+('DOE25'!L280)+('DOE25'!L299)+('DOE25'!L318)</f>
        <v>10796.45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18477794.079999998</v>
      </c>
      <c r="D115" s="86">
        <f>SUM(D109:D114)</f>
        <v>0</v>
      </c>
      <c r="E115" s="86">
        <f>SUM(E109:E114)</f>
        <v>314299.76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2506779.1</v>
      </c>
      <c r="D118" s="24" t="s">
        <v>288</v>
      </c>
      <c r="E118" s="95">
        <f>+('DOE25'!L282)+('DOE25'!L301)+('DOE25'!L320)</f>
        <v>86890.54</v>
      </c>
      <c r="F118" s="24" t="s">
        <v>288</v>
      </c>
      <c r="G118" s="24" t="s">
        <v>288</v>
      </c>
    </row>
    <row r="119" spans="1:7" x14ac:dyDescent="0.2">
      <c r="A119" t="s">
        <v>208</v>
      </c>
      <c r="B119" s="32" t="s">
        <v>209</v>
      </c>
      <c r="C119" s="95">
        <f>('DOE25'!L204)+('DOE25'!L222)+('DOE25'!L240)</f>
        <v>1278593.6600000001</v>
      </c>
      <c r="D119" s="24" t="s">
        <v>288</v>
      </c>
      <c r="E119" s="95">
        <f>+('DOE25'!L283)+('DOE25'!L302)+('DOE25'!L321)</f>
        <v>66712.51999999999</v>
      </c>
      <c r="F119" s="24" t="s">
        <v>288</v>
      </c>
      <c r="G119" s="24" t="s">
        <v>288</v>
      </c>
    </row>
    <row r="120" spans="1:7" x14ac:dyDescent="0.2">
      <c r="A120" t="s">
        <v>210</v>
      </c>
      <c r="B120" s="32" t="s">
        <v>211</v>
      </c>
      <c r="C120" s="95">
        <f>('DOE25'!L205)+('DOE25'!L223)+('DOE25'!L241)</f>
        <v>929159.5299999998</v>
      </c>
      <c r="D120" s="24" t="s">
        <v>288</v>
      </c>
      <c r="E120" s="95">
        <f>+('DOE25'!L284)+('DOE25'!L303)+('DOE25'!L322)</f>
        <v>0</v>
      </c>
      <c r="F120" s="24" t="s">
        <v>288</v>
      </c>
      <c r="G120" s="24" t="s">
        <v>288</v>
      </c>
    </row>
    <row r="121" spans="1:7" x14ac:dyDescent="0.2">
      <c r="A121" t="s">
        <v>212</v>
      </c>
      <c r="B121" s="32" t="s">
        <v>213</v>
      </c>
      <c r="C121" s="95">
        <f>('DOE25'!L206)+('DOE25'!L224)+('DOE25'!L242)</f>
        <v>1356252.75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2097220.63</v>
      </c>
      <c r="D123" s="24" t="s">
        <v>288</v>
      </c>
      <c r="E123" s="95">
        <f>+('DOE25'!L287)+('DOE25'!L306)+('DOE25'!L325)</f>
        <v>0</v>
      </c>
      <c r="F123" s="24" t="s">
        <v>288</v>
      </c>
      <c r="G123" s="24" t="s">
        <v>288</v>
      </c>
    </row>
    <row r="124" spans="1:7" x14ac:dyDescent="0.2">
      <c r="A124" t="s">
        <v>218</v>
      </c>
      <c r="B124" s="32" t="s">
        <v>219</v>
      </c>
      <c r="C124" s="95">
        <f>('DOE25'!L209)+('DOE25'!L227)+('DOE25'!L245+'DOE25'!L255)</f>
        <v>1037644.69</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630975.16999999993</v>
      </c>
      <c r="E127" s="24" t="s">
        <v>288</v>
      </c>
      <c r="F127" s="24" t="s">
        <v>288</v>
      </c>
      <c r="G127" s="24" t="s">
        <v>288</v>
      </c>
    </row>
    <row r="128" spans="1:7" ht="12.75" thickTop="1" thickBot="1" x14ac:dyDescent="0.25">
      <c r="A128" s="33" t="s">
        <v>226</v>
      </c>
      <c r="C128" s="86">
        <f>SUM(C118:C127)</f>
        <v>9205650.3599999994</v>
      </c>
      <c r="D128" s="86">
        <f>SUM(D118:D127)</f>
        <v>630975.16999999993</v>
      </c>
      <c r="E128" s="86">
        <f>SUM(E118:E127)</f>
        <v>153603.06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200000</v>
      </c>
      <c r="D131" s="24" t="s">
        <v>288</v>
      </c>
      <c r="E131" s="129">
        <f>'DOE25'!L342</f>
        <v>0</v>
      </c>
      <c r="F131" s="24" t="s">
        <v>288</v>
      </c>
      <c r="G131" s="24" t="s">
        <v>288</v>
      </c>
    </row>
    <row r="132" spans="1:7" x14ac:dyDescent="0.2">
      <c r="A132" t="s">
        <v>230</v>
      </c>
      <c r="B132" s="32">
        <v>5120</v>
      </c>
      <c r="C132" s="95">
        <f>'DOE25'!L262</f>
        <v>67000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378436.83</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571811.80999999994</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-90718.139999999956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748093.66999999993</v>
      </c>
      <c r="D144" s="141">
        <f>SUM(D130:D143)</f>
        <v>0</v>
      </c>
      <c r="E144" s="141">
        <f>SUM(E130:E143)</f>
        <v>0</v>
      </c>
      <c r="F144" s="141">
        <f>SUM(F130:F143)</f>
        <v>0</v>
      </c>
      <c r="G144" s="141">
        <f>SUM(G130:G143)</f>
        <v>378436.83</v>
      </c>
    </row>
    <row r="145" spans="1:9" ht="12.75" thickTop="1" thickBot="1" x14ac:dyDescent="0.25">
      <c r="A145" s="33" t="s">
        <v>244</v>
      </c>
      <c r="C145" s="86">
        <f>(C115+C128+C144)</f>
        <v>28431538.109999999</v>
      </c>
      <c r="D145" s="86">
        <f>(D115+D128+D144)</f>
        <v>630975.16999999993</v>
      </c>
      <c r="E145" s="86">
        <f>(E115+E128+E144)</f>
        <v>467902.82</v>
      </c>
      <c r="F145" s="86">
        <f>(F115+F128+F144)</f>
        <v>0</v>
      </c>
      <c r="G145" s="86">
        <f>(G115+G128+G144)</f>
        <v>378436.83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07/06</v>
      </c>
      <c r="C152" s="152">
        <f>'DOE25'!G492</f>
        <v>0</v>
      </c>
      <c r="D152" s="152">
        <f>'DOE25'!H492</f>
        <v>0</v>
      </c>
      <c r="E152" s="152">
        <f>'DOE25'!I492</f>
        <v>0</v>
      </c>
      <c r="F152" s="152">
        <f>'DOE25'!J492</f>
        <v>0</v>
      </c>
      <c r="G152" s="24" t="s">
        <v>288</v>
      </c>
    </row>
    <row r="153" spans="1:9" x14ac:dyDescent="0.2">
      <c r="A153" s="136" t="s">
        <v>29</v>
      </c>
      <c r="B153" s="152" t="str">
        <f>'DOE25'!F493</f>
        <v>07/26</v>
      </c>
      <c r="C153" s="152">
        <f>'DOE25'!G493</f>
        <v>0</v>
      </c>
      <c r="D153" s="152">
        <f>'DOE25'!H493</f>
        <v>0</v>
      </c>
      <c r="E153" s="152">
        <f>'DOE25'!I493</f>
        <v>0</v>
      </c>
      <c r="F153" s="152">
        <f>'DOE25'!J493</f>
        <v>0</v>
      </c>
      <c r="G153" s="24" t="s">
        <v>288</v>
      </c>
    </row>
    <row r="154" spans="1:9" x14ac:dyDescent="0.2">
      <c r="A154" s="136" t="s">
        <v>30</v>
      </c>
      <c r="B154" s="137">
        <f>'DOE25'!F494</f>
        <v>4027000</v>
      </c>
      <c r="C154" s="137">
        <f>'DOE25'!G494</f>
        <v>0</v>
      </c>
      <c r="D154" s="137">
        <f>'DOE25'!H494</f>
        <v>0</v>
      </c>
      <c r="E154" s="137">
        <f>'DOE25'!I494</f>
        <v>0</v>
      </c>
      <c r="F154" s="137">
        <f>'DOE25'!J494</f>
        <v>0</v>
      </c>
      <c r="G154" s="24" t="s">
        <v>288</v>
      </c>
    </row>
    <row r="155" spans="1:9" x14ac:dyDescent="0.2">
      <c r="A155" s="136" t="s">
        <v>31</v>
      </c>
      <c r="B155" s="137">
        <f>'DOE25'!F495</f>
        <v>4.4000000000000004</v>
      </c>
      <c r="C155" s="137">
        <f>'DOE25'!G495</f>
        <v>0</v>
      </c>
      <c r="D155" s="137">
        <f>'DOE25'!H495</f>
        <v>0</v>
      </c>
      <c r="E155" s="137">
        <f>'DOE25'!I495</f>
        <v>0</v>
      </c>
      <c r="F155" s="137">
        <f>'DOE25'!J495</f>
        <v>0</v>
      </c>
      <c r="G155" s="24" t="s">
        <v>288</v>
      </c>
    </row>
    <row r="156" spans="1:9" x14ac:dyDescent="0.2">
      <c r="A156" s="22" t="s">
        <v>32</v>
      </c>
      <c r="B156" s="137">
        <f>'DOE25'!F496</f>
        <v>1600000</v>
      </c>
      <c r="C156" s="137">
        <f>'DOE25'!G496</f>
        <v>0</v>
      </c>
      <c r="D156" s="137">
        <f>'DOE25'!H496</f>
        <v>0</v>
      </c>
      <c r="E156" s="137">
        <f>'DOE25'!I496</f>
        <v>0</v>
      </c>
      <c r="F156" s="137">
        <f>'DOE25'!J496</f>
        <v>0</v>
      </c>
      <c r="G156" s="138">
        <f>SUM(B156:F156)</f>
        <v>1600000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200000</v>
      </c>
      <c r="C158" s="137">
        <f>'DOE25'!G498</f>
        <v>0</v>
      </c>
      <c r="D158" s="137">
        <f>'DOE25'!H498</f>
        <v>0</v>
      </c>
      <c r="E158" s="137">
        <f>'DOE25'!I498</f>
        <v>0</v>
      </c>
      <c r="F158" s="137">
        <f>'DOE25'!J498</f>
        <v>0</v>
      </c>
      <c r="G158" s="138">
        <f t="shared" si="0"/>
        <v>200000</v>
      </c>
    </row>
    <row r="159" spans="1:9" x14ac:dyDescent="0.2">
      <c r="A159" s="22" t="s">
        <v>35</v>
      </c>
      <c r="B159" s="137">
        <f>'DOE25'!F499</f>
        <v>1400000</v>
      </c>
      <c r="C159" s="137">
        <f>'DOE25'!G499</f>
        <v>0</v>
      </c>
      <c r="D159" s="137">
        <f>'DOE25'!H499</f>
        <v>0</v>
      </c>
      <c r="E159" s="137">
        <f>'DOE25'!I499</f>
        <v>0</v>
      </c>
      <c r="F159" s="137">
        <f>'DOE25'!J499</f>
        <v>0</v>
      </c>
      <c r="G159" s="138">
        <f t="shared" si="0"/>
        <v>1400000</v>
      </c>
    </row>
    <row r="160" spans="1:9" x14ac:dyDescent="0.2">
      <c r="A160" s="22" t="s">
        <v>36</v>
      </c>
      <c r="B160" s="137">
        <f>'DOE25'!F500</f>
        <v>531761</v>
      </c>
      <c r="C160" s="137">
        <f>'DOE25'!G500</f>
        <v>0</v>
      </c>
      <c r="D160" s="137">
        <f>'DOE25'!H500</f>
        <v>0</v>
      </c>
      <c r="E160" s="137">
        <f>'DOE25'!I500</f>
        <v>0</v>
      </c>
      <c r="F160" s="137">
        <f>'DOE25'!J500</f>
        <v>0</v>
      </c>
      <c r="G160" s="138">
        <f t="shared" si="0"/>
        <v>531761</v>
      </c>
    </row>
    <row r="161" spans="1:7" x14ac:dyDescent="0.2">
      <c r="A161" s="22" t="s">
        <v>37</v>
      </c>
      <c r="B161" s="137">
        <f>'DOE25'!F501</f>
        <v>1931761</v>
      </c>
      <c r="C161" s="137">
        <f>'DOE25'!G501</f>
        <v>0</v>
      </c>
      <c r="D161" s="137">
        <f>'DOE25'!H501</f>
        <v>0</v>
      </c>
      <c r="E161" s="137">
        <f>'DOE25'!I501</f>
        <v>0</v>
      </c>
      <c r="F161" s="137">
        <f>'DOE25'!J501</f>
        <v>0</v>
      </c>
      <c r="G161" s="138">
        <f t="shared" si="0"/>
        <v>1931761</v>
      </c>
    </row>
    <row r="162" spans="1:7" x14ac:dyDescent="0.2">
      <c r="A162" s="22" t="s">
        <v>38</v>
      </c>
      <c r="B162" s="137">
        <f>'DOE25'!F502</f>
        <v>200000</v>
      </c>
      <c r="C162" s="137">
        <f>'DOE25'!G502</f>
        <v>0</v>
      </c>
      <c r="D162" s="137">
        <f>'DOE25'!H502</f>
        <v>0</v>
      </c>
      <c r="E162" s="137">
        <f>'DOE25'!I502</f>
        <v>0</v>
      </c>
      <c r="F162" s="137">
        <f>'DOE25'!J502</f>
        <v>0</v>
      </c>
      <c r="G162" s="138">
        <f t="shared" si="0"/>
        <v>200000</v>
      </c>
    </row>
    <row r="163" spans="1:7" x14ac:dyDescent="0.2">
      <c r="A163" s="22" t="s">
        <v>39</v>
      </c>
      <c r="B163" s="137">
        <f>'DOE25'!F503</f>
        <v>58200</v>
      </c>
      <c r="C163" s="137">
        <f>'DOE25'!G503</f>
        <v>0</v>
      </c>
      <c r="D163" s="137">
        <f>'DOE25'!H503</f>
        <v>0</v>
      </c>
      <c r="E163" s="137">
        <f>'DOE25'!I503</f>
        <v>0</v>
      </c>
      <c r="F163" s="137">
        <f>'DOE25'!J503</f>
        <v>0</v>
      </c>
      <c r="G163" s="138">
        <f t="shared" si="0"/>
        <v>58200</v>
      </c>
    </row>
    <row r="164" spans="1:7" x14ac:dyDescent="0.2">
      <c r="A164" s="22" t="s">
        <v>246</v>
      </c>
      <c r="B164" s="137">
        <f>'DOE25'!F504</f>
        <v>258200</v>
      </c>
      <c r="C164" s="137">
        <f>'DOE25'!G504</f>
        <v>0</v>
      </c>
      <c r="D164" s="137">
        <f>'DOE25'!H504</f>
        <v>0</v>
      </c>
      <c r="E164" s="137">
        <f>'DOE25'!I504</f>
        <v>0</v>
      </c>
      <c r="F164" s="137">
        <f>'DOE25'!J504</f>
        <v>0</v>
      </c>
      <c r="G164" s="138">
        <f t="shared" si="0"/>
        <v>258200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BOW SCHOOL DISTRICT</v>
      </c>
    </row>
    <row r="3" spans="1:4" x14ac:dyDescent="0.2">
      <c r="B3" s="188" t="s">
        <v>1587</v>
      </c>
    </row>
    <row r="4" spans="1:4" x14ac:dyDescent="0.2">
      <c r="B4" t="s">
        <v>61</v>
      </c>
      <c r="C4" s="179">
        <f>IF('DOE25'!F666+'DOE25'!F671=0,0,ROUND('DOE25'!F673,0))</f>
        <v>15136</v>
      </c>
    </row>
    <row r="5" spans="1:4" x14ac:dyDescent="0.2">
      <c r="B5" t="s">
        <v>700</v>
      </c>
      <c r="C5" s="179">
        <f>IF('DOE25'!G666+'DOE25'!G671=0,0,ROUND('DOE25'!G673,0))</f>
        <v>15607</v>
      </c>
    </row>
    <row r="6" spans="1:4" x14ac:dyDescent="0.2">
      <c r="B6" t="s">
        <v>62</v>
      </c>
      <c r="C6" s="179">
        <f>IF('DOE25'!H666+'DOE25'!H671=0,0,ROUND('DOE25'!H673,0))</f>
        <v>15968</v>
      </c>
    </row>
    <row r="7" spans="1:4" x14ac:dyDescent="0.2">
      <c r="B7" t="s">
        <v>701</v>
      </c>
      <c r="C7" s="179">
        <f>IF('DOE25'!I666+'DOE25'!I671=0,0,ROUND('DOE25'!I673,0))</f>
        <v>15589</v>
      </c>
    </row>
    <row r="9" spans="1:4" x14ac:dyDescent="0.2">
      <c r="A9" s="187" t="s">
        <v>94</v>
      </c>
      <c r="B9" s="188" t="s">
        <v>1588</v>
      </c>
      <c r="C9" s="181" t="s">
        <v>720</v>
      </c>
      <c r="D9" s="181" t="s">
        <v>721</v>
      </c>
    </row>
    <row r="10" spans="1:4" x14ac:dyDescent="0.2">
      <c r="A10">
        <v>1100</v>
      </c>
      <c r="B10" t="s">
        <v>702</v>
      </c>
      <c r="C10" s="179">
        <f>ROUND('DOE25'!L198+'DOE25'!L216+'DOE25'!L234+'DOE25'!L277+'DOE25'!L296+'DOE25'!L315,0)</f>
        <v>12120457</v>
      </c>
      <c r="D10" s="182">
        <f>ROUND((C10/$C$28)*100,1)</f>
        <v>42.7</v>
      </c>
    </row>
    <row r="11" spans="1:4" x14ac:dyDescent="0.2">
      <c r="A11">
        <v>1200</v>
      </c>
      <c r="B11" t="s">
        <v>703</v>
      </c>
      <c r="C11" s="179">
        <f>ROUND('DOE25'!L199+'DOE25'!L217+'DOE25'!L235+'DOE25'!L278+'DOE25'!L297+'DOE25'!L316,0)</f>
        <v>5886808</v>
      </c>
      <c r="D11" s="182">
        <f>ROUND((C11/$C$28)*100,1)</f>
        <v>20.7</v>
      </c>
    </row>
    <row r="12" spans="1:4" x14ac:dyDescent="0.2">
      <c r="A12">
        <v>1300</v>
      </c>
      <c r="B12" t="s">
        <v>704</v>
      </c>
      <c r="C12" s="179">
        <f>ROUND('DOE25'!L200+'DOE25'!L218+'DOE25'!L236+'DOE25'!L279+'DOE25'!L298+'DOE25'!L317,0)</f>
        <v>187384</v>
      </c>
      <c r="D12" s="182">
        <f>ROUND((C12/$C$28)*100,1)</f>
        <v>0.7</v>
      </c>
    </row>
    <row r="13" spans="1:4" x14ac:dyDescent="0.2">
      <c r="A13">
        <v>1400</v>
      </c>
      <c r="B13" t="s">
        <v>705</v>
      </c>
      <c r="C13" s="179">
        <f>ROUND('DOE25'!L201+'DOE25'!L219+'DOE25'!L237+'DOE25'!L280+'DOE25'!L299+'DOE25'!L318,0)</f>
        <v>597446</v>
      </c>
      <c r="D13" s="182">
        <f>ROUND((C13/$C$28)*100,1)</f>
        <v>2.1</v>
      </c>
    </row>
    <row r="14" spans="1:4" x14ac:dyDescent="0.2">
      <c r="D14" s="182"/>
    </row>
    <row r="15" spans="1:4" x14ac:dyDescent="0.2">
      <c r="A15">
        <v>2100</v>
      </c>
      <c r="B15" t="s">
        <v>706</v>
      </c>
      <c r="C15" s="179">
        <f>ROUND('DOE25'!L203+'DOE25'!L221+'DOE25'!L239+'DOE25'!L282+'DOE25'!L301+'DOE25'!L320,0)</f>
        <v>2593670</v>
      </c>
      <c r="D15" s="182">
        <f t="shared" ref="D15:D27" si="0">ROUND((C15/$C$28)*100,1)</f>
        <v>9.1</v>
      </c>
    </row>
    <row r="16" spans="1:4" x14ac:dyDescent="0.2">
      <c r="A16">
        <v>2200</v>
      </c>
      <c r="B16" t="s">
        <v>707</v>
      </c>
      <c r="C16" s="179">
        <f>ROUND('DOE25'!L204+'DOE25'!L222+'DOE25'!L240+'DOE25'!L283+'DOE25'!L302+'DOE25'!L321,0)</f>
        <v>1345306</v>
      </c>
      <c r="D16" s="182">
        <f t="shared" si="0"/>
        <v>4.7</v>
      </c>
    </row>
    <row r="17" spans="1:4" x14ac:dyDescent="0.2">
      <c r="A17" s="183" t="s">
        <v>723</v>
      </c>
      <c r="B17" t="s">
        <v>738</v>
      </c>
      <c r="C17" s="179">
        <f>ROUND('DOE25'!L205+'DOE25'!L210+'DOE25'!L223+'DOE25'!L228+'DOE25'!L241+'DOE25'!L246+'DOE25'!L284+'DOE25'!L289+'DOE25'!L303+'DOE25'!L308+'DOE25'!L322+'DOE25'!L327,0)</f>
        <v>929160</v>
      </c>
      <c r="D17" s="182">
        <f t="shared" si="0"/>
        <v>3.3</v>
      </c>
    </row>
    <row r="18" spans="1:4" x14ac:dyDescent="0.2">
      <c r="A18">
        <v>2400</v>
      </c>
      <c r="B18" t="s">
        <v>711</v>
      </c>
      <c r="C18" s="179">
        <f>ROUND('DOE25'!L206+'DOE25'!L224+'DOE25'!L242+'DOE25'!L285+'DOE25'!L304+'DOE25'!L323,0)</f>
        <v>1356253</v>
      </c>
      <c r="D18" s="182">
        <f t="shared" si="0"/>
        <v>4.8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2097221</v>
      </c>
      <c r="D20" s="182">
        <f t="shared" si="0"/>
        <v>7.4</v>
      </c>
    </row>
    <row r="21" spans="1:4" x14ac:dyDescent="0.2">
      <c r="A21">
        <v>2700</v>
      </c>
      <c r="B21" t="s">
        <v>710</v>
      </c>
      <c r="C21" s="179">
        <f>ROUND('DOE25'!L209+'DOE25'!L227+'DOE25'!L245+'DOE25'!L288+'DOE25'!L307+'DOE25'!L326,0)</f>
        <v>1037645</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67000</v>
      </c>
      <c r="D25" s="182">
        <f t="shared" si="0"/>
        <v>0.2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179049.14999999997</v>
      </c>
      <c r="D27" s="182">
        <f t="shared" si="0"/>
        <v>0.6</v>
      </c>
    </row>
    <row r="28" spans="1:4" x14ac:dyDescent="0.2">
      <c r="B28" s="187" t="s">
        <v>719</v>
      </c>
      <c r="C28" s="180">
        <f>SUM(C10:C27)</f>
        <v>28397399.149999999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28397399.149999999</v>
      </c>
    </row>
    <row r="31" spans="1:4" x14ac:dyDescent="0.2">
      <c r="B31" s="33"/>
      <c r="C31" s="180"/>
    </row>
    <row r="32" spans="1:4" x14ac:dyDescent="0.2">
      <c r="A32">
        <v>5100</v>
      </c>
      <c r="B32" s="33" t="s">
        <v>726</v>
      </c>
      <c r="C32" s="180">
        <f>ROUND('DOE25'!L261+'DOE25'!L342,0)</f>
        <v>200000</v>
      </c>
    </row>
    <row r="34" spans="1:4" x14ac:dyDescent="0.2">
      <c r="A34" s="187" t="s">
        <v>94</v>
      </c>
      <c r="B34" s="188" t="s">
        <v>1589</v>
      </c>
      <c r="C34" s="181" t="s">
        <v>720</v>
      </c>
      <c r="D34" s="181" t="s">
        <v>721</v>
      </c>
    </row>
    <row r="35" spans="1:4" x14ac:dyDescent="0.2">
      <c r="A35">
        <v>1100</v>
      </c>
      <c r="B35" s="185" t="s">
        <v>727</v>
      </c>
      <c r="C35" s="179">
        <f>ROUND('DOE25'!F60+'DOE25'!G60+'DOE25'!H60+'DOE25'!I60+'DOE25'!J60,0)</f>
        <v>18737008</v>
      </c>
      <c r="D35" s="182">
        <f t="shared" ref="D35:D40" si="1">ROUND((C35/$C$41)*100,1)</f>
        <v>63.3</v>
      </c>
    </row>
    <row r="36" spans="1:4" x14ac:dyDescent="0.2">
      <c r="B36" s="185" t="s">
        <v>739</v>
      </c>
      <c r="C36" s="179">
        <f>SUM('DOE25'!F112:J112)-SUM('DOE25'!G97:G110)+('DOE25'!F175+'DOE25'!F176+'DOE25'!I175+'DOE25'!I176)-C35</f>
        <v>3416512.34</v>
      </c>
      <c r="D36" s="182">
        <f t="shared" si="1"/>
        <v>11.5</v>
      </c>
    </row>
    <row r="37" spans="1:4" x14ac:dyDescent="0.2">
      <c r="A37" s="183" t="s">
        <v>835</v>
      </c>
      <c r="B37" s="185" t="s">
        <v>728</v>
      </c>
      <c r="C37" s="179">
        <f>ROUND('DOE25'!F117+'DOE25'!F118,0)</f>
        <v>6272080</v>
      </c>
      <c r="D37" s="182">
        <f t="shared" si="1"/>
        <v>21.2</v>
      </c>
    </row>
    <row r="38" spans="1:4" x14ac:dyDescent="0.2">
      <c r="A38" s="183" t="s">
        <v>734</v>
      </c>
      <c r="B38" s="185" t="s">
        <v>729</v>
      </c>
      <c r="C38" s="179">
        <f>ROUND(SUM('DOE25'!F140:J140)-SUM('DOE25'!F117:F119),0)</f>
        <v>541156</v>
      </c>
      <c r="D38" s="182">
        <f t="shared" si="1"/>
        <v>1.8</v>
      </c>
    </row>
    <row r="39" spans="1:4" x14ac:dyDescent="0.2">
      <c r="A39">
        <v>4000</v>
      </c>
      <c r="B39" s="185" t="s">
        <v>730</v>
      </c>
      <c r="C39" s="179">
        <f>ROUND('DOE25'!F170+'DOE25'!G170+'DOE25'!H170+'DOE25'!I170,0)</f>
        <v>619234</v>
      </c>
      <c r="D39" s="182">
        <f t="shared" si="1"/>
        <v>2.1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29585990.34</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BOW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2020-08-28T15:15:58Z</cp:lastPrinted>
  <dcterms:created xsi:type="dcterms:W3CDTF">1997-12-04T19:04:30Z</dcterms:created>
  <dcterms:modified xsi:type="dcterms:W3CDTF">2020-12-11T14:40:30Z</dcterms:modified>
</cp:coreProperties>
</file>