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'DOE25'!$A:$L</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0" i="12" l="1"/>
  <c r="C20" i="12" s="1"/>
  <c r="H161" i="1" l="1"/>
  <c r="H157" i="1"/>
  <c r="H154" i="1"/>
  <c r="F70" i="1" l="1"/>
  <c r="F126" i="1" l="1"/>
  <c r="F117" i="1"/>
  <c r="F469" i="1" l="1"/>
  <c r="F9" i="1"/>
  <c r="F57" i="1"/>
  <c r="D25" i="14" l="1"/>
  <c r="D37" i="14"/>
  <c r="B37" i="12"/>
  <c r="B11" i="12"/>
  <c r="B10" i="12"/>
  <c r="B36" i="16"/>
  <c r="G460" i="1"/>
  <c r="G441" i="1"/>
  <c r="J469" i="1"/>
  <c r="I605" i="1"/>
  <c r="H605" i="1"/>
  <c r="J605" i="1"/>
  <c r="H209" i="1"/>
  <c r="H235" i="1"/>
  <c r="H245" i="1"/>
  <c r="H227" i="1"/>
  <c r="H217" i="1"/>
  <c r="H199" i="1"/>
  <c r="F25" i="1" l="1"/>
  <c r="F12" i="1"/>
  <c r="G158" i="1"/>
  <c r="G132" i="1"/>
  <c r="H390" i="1"/>
  <c r="H401" i="1"/>
  <c r="G12" i="1" l="1"/>
  <c r="H583" i="1"/>
  <c r="G583" i="1"/>
  <c r="F583" i="1"/>
  <c r="K524" i="1" l="1"/>
  <c r="J524" i="1"/>
  <c r="I524" i="1"/>
  <c r="H524" i="1"/>
  <c r="G524" i="1"/>
  <c r="F524" i="1"/>
  <c r="K523" i="1"/>
  <c r="J523" i="1"/>
  <c r="I523" i="1"/>
  <c r="H523" i="1"/>
  <c r="G523" i="1"/>
  <c r="F523" i="1"/>
  <c r="K522" i="1"/>
  <c r="J522" i="1"/>
  <c r="I522" i="1"/>
  <c r="H522" i="1"/>
  <c r="G522" i="1"/>
  <c r="F522" i="1"/>
  <c r="F499" i="1"/>
  <c r="H361" i="1"/>
  <c r="H360" i="1"/>
  <c r="H359" i="1"/>
  <c r="H25" i="1" l="1"/>
  <c r="G24" i="1"/>
  <c r="F96" i="1"/>
  <c r="F160" i="1"/>
  <c r="F102" i="1"/>
  <c r="F110" i="1"/>
  <c r="F78" i="1" l="1"/>
  <c r="F31" i="1" l="1"/>
  <c r="F2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E110" i="2" s="1"/>
  <c r="L298" i="1"/>
  <c r="L299" i="1"/>
  <c r="C13" i="10" s="1"/>
  <c r="L301" i="1"/>
  <c r="L302" i="1"/>
  <c r="L303" i="1"/>
  <c r="L304" i="1"/>
  <c r="L305" i="1"/>
  <c r="L306" i="1"/>
  <c r="E123" i="2" s="1"/>
  <c r="L307" i="1"/>
  <c r="L308" i="1"/>
  <c r="E125" i="2" s="1"/>
  <c r="L315" i="1"/>
  <c r="L316" i="1"/>
  <c r="L317" i="1"/>
  <c r="L318" i="1"/>
  <c r="L320" i="1"/>
  <c r="L321" i="1"/>
  <c r="E119" i="2" s="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B27" i="12"/>
  <c r="C27" i="12"/>
  <c r="B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F85" i="2" s="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G62" i="2"/>
  <c r="J572" i="1"/>
  <c r="J140" i="1"/>
  <c r="H140" i="1"/>
  <c r="E120" i="2" l="1"/>
  <c r="C21" i="12"/>
  <c r="C19" i="12"/>
  <c r="C30" i="12"/>
  <c r="C29" i="12"/>
  <c r="C28" i="12"/>
  <c r="C11" i="12"/>
  <c r="C10" i="12"/>
  <c r="C12" i="12"/>
  <c r="C37" i="12"/>
  <c r="C38" i="12"/>
  <c r="C39" i="12"/>
  <c r="H477" i="1"/>
  <c r="H625" i="1" s="1"/>
  <c r="J625" i="1" s="1"/>
  <c r="H409" i="1"/>
  <c r="H645" i="1" s="1"/>
  <c r="J652" i="1"/>
  <c r="G553" i="1"/>
  <c r="G477" i="1"/>
  <c r="H624" i="1" s="1"/>
  <c r="J624" i="1" s="1"/>
  <c r="E121" i="2"/>
  <c r="G339" i="1"/>
  <c r="G353" i="1" s="1"/>
  <c r="C20" i="10"/>
  <c r="C110" i="2"/>
  <c r="D6" i="13"/>
  <c r="C6" i="13" s="1"/>
  <c r="E13" i="13"/>
  <c r="C13" i="13" s="1"/>
  <c r="J258" i="1"/>
  <c r="J272" i="1" s="1"/>
  <c r="F258" i="1"/>
  <c r="I170" i="1"/>
  <c r="G409" i="1"/>
  <c r="H646" i="1" s="1"/>
  <c r="J646" i="1" s="1"/>
  <c r="L257" i="1"/>
  <c r="C11" i="10"/>
  <c r="G662" i="1"/>
  <c r="D18" i="13"/>
  <c r="C18" i="13" s="1"/>
  <c r="D15" i="13"/>
  <c r="C15" i="13" s="1"/>
  <c r="C121" i="2"/>
  <c r="C120" i="2"/>
  <c r="E112" i="2"/>
  <c r="K339" i="1"/>
  <c r="K353" i="1" s="1"/>
  <c r="C91" i="2"/>
  <c r="H112" i="1"/>
  <c r="L402" i="1"/>
  <c r="C139" i="2" s="1"/>
  <c r="H462" i="1"/>
  <c r="H642" i="1" s="1"/>
  <c r="F339" i="1"/>
  <c r="F353" i="1" s="1"/>
  <c r="J642" i="1"/>
  <c r="L561" i="1"/>
  <c r="G462" i="1"/>
  <c r="H641" i="1" s="1"/>
  <c r="E103" i="2"/>
  <c r="D18" i="2"/>
  <c r="H553" i="1"/>
  <c r="L310" i="1"/>
  <c r="E25" i="14" s="1"/>
  <c r="F25" i="14" s="1"/>
  <c r="F24" i="14" s="1"/>
  <c r="I546" i="1"/>
  <c r="F462" i="1"/>
  <c r="H640" i="1" s="1"/>
  <c r="J640" i="1" s="1"/>
  <c r="K606" i="1"/>
  <c r="G649" i="1" s="1"/>
  <c r="H258" i="1"/>
  <c r="H272" i="1" s="1"/>
  <c r="I52" i="1"/>
  <c r="H621" i="1" s="1"/>
  <c r="D31" i="2"/>
  <c r="D51" i="2" s="1"/>
  <c r="E31" i="2"/>
  <c r="C18" i="2"/>
  <c r="F18" i="2"/>
  <c r="L271" i="1"/>
  <c r="F662" i="1"/>
  <c r="F572" i="1"/>
  <c r="L420" i="1"/>
  <c r="D91" i="2"/>
  <c r="D81" i="2"/>
  <c r="E78" i="2"/>
  <c r="G546" i="1"/>
  <c r="J644" i="1"/>
  <c r="L394" i="1"/>
  <c r="C138" i="2" s="1"/>
  <c r="L363" i="1"/>
  <c r="B17" i="16" s="1"/>
  <c r="B19" i="16" s="1"/>
  <c r="B28" i="16"/>
  <c r="L329" i="1"/>
  <c r="E37" i="14" s="1"/>
  <c r="F37" i="14" s="1"/>
  <c r="F36" i="14" s="1"/>
  <c r="E122" i="2"/>
  <c r="L291" i="1"/>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G22" i="13"/>
  <c r="C22" i="13" s="1"/>
  <c r="L540" i="1"/>
  <c r="K504" i="1"/>
  <c r="L383" i="1"/>
  <c r="G637" i="1" s="1"/>
  <c r="J637" i="1" s="1"/>
  <c r="G258" i="1"/>
  <c r="G272" i="1" s="1"/>
  <c r="C142" i="2"/>
  <c r="C111" i="2"/>
  <c r="H662" i="1"/>
  <c r="C15" i="10"/>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G50" i="2"/>
  <c r="J653" i="1"/>
  <c r="G572" i="1"/>
  <c r="I435" i="1"/>
  <c r="G435" i="1"/>
  <c r="I664" i="1"/>
  <c r="E115" i="2" l="1"/>
  <c r="E145" i="2" s="1"/>
  <c r="C13" i="12"/>
  <c r="A13" i="12" s="1"/>
  <c r="C31" i="12"/>
  <c r="A31" i="12" s="1"/>
  <c r="C40" i="12"/>
  <c r="A40" i="12" s="1"/>
  <c r="C22" i="12"/>
  <c r="A22" i="12" s="1"/>
  <c r="F661" i="1"/>
  <c r="F665" i="1" s="1"/>
  <c r="F668" i="1" s="1"/>
  <c r="H649" i="1"/>
  <c r="J649" i="1" s="1"/>
  <c r="H661" i="1"/>
  <c r="H665" i="1" s="1"/>
  <c r="H668" i="1" s="1"/>
  <c r="B33" i="16"/>
  <c r="C141" i="2"/>
  <c r="C144" i="2" s="1"/>
  <c r="G36" i="14"/>
  <c r="H36" i="14" s="1"/>
  <c r="I36" i="14" s="1"/>
  <c r="G24" i="14"/>
  <c r="H24" i="14" s="1"/>
  <c r="I24" i="14" s="1"/>
  <c r="E51" i="2"/>
  <c r="C81" i="2"/>
  <c r="E104" i="2"/>
  <c r="L435" i="1"/>
  <c r="G639" i="1" s="1"/>
  <c r="J639"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l="1"/>
  <c r="D28" i="10"/>
  <c r="F94" i="1" l="1"/>
  <c r="F112" i="1" s="1"/>
  <c r="C36" i="10" l="1"/>
  <c r="F194" i="1"/>
  <c r="G628" i="1" s="1"/>
  <c r="C58" i="2"/>
  <c r="C62" i="2" s="1"/>
  <c r="C63" i="2" s="1"/>
  <c r="C104" i="2" s="1"/>
  <c r="C41" i="10" l="1"/>
  <c r="D36" i="10" s="1"/>
  <c r="H657" i="1"/>
  <c r="J628" i="1"/>
  <c r="D39" i="10" l="1"/>
  <c r="D38" i="10"/>
  <c r="D40" i="10"/>
  <c r="D35" i="10"/>
  <c r="D37" i="10"/>
  <c r="D41" i="10" l="1"/>
  <c r="F5" i="14" l="1"/>
  <c r="F6" i="14"/>
  <c r="F7" i="14" l="1"/>
  <c r="F4" i="14" s="1"/>
  <c r="H4" i="14" l="1"/>
  <c r="I4" i="14"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<sst xmlns="http://schemas.openxmlformats.org/spreadsheetml/2006/main" count="5549" uniqueCount="1645">
  <si>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</si>
  <si>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</si>
  <si>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</si>
  <si>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</si>
  <si>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</si>
  <si>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</si>
  <si>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</si>
  <si>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</si>
  <si>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</si>
  <si>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</si>
  <si>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</si>
  <si>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</si>
  <si>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</si>
  <si>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</si>
  <si>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</si>
  <si>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</si>
  <si>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</si>
  <si>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</si>
  <si>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</si>
  <si>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</si>
  <si>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</si>
  <si>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</si>
  <si>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</si>
  <si>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</si>
  <si>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</si>
  <si>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</si>
  <si>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</si>
  <si>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</si>
  <si>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</si>
  <si>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</si>
  <si>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</si>
  <si>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</si>
  <si>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</si>
  <si>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</si>
  <si>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</si>
  <si>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</si>
  <si>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</si>
  <si>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</si>
  <si>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</si>
  <si>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</si>
  <si>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</si>
  <si>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</si>
  <si>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</si>
  <si>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</si>
  <si>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</si>
  <si>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</si>
  <si>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</si>
  <si>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</si>
  <si>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</si>
  <si>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</si>
  <si>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</si>
  <si>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</si>
  <si>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</si>
  <si>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</si>
  <si>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</si>
  <si>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</si>
  <si>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</si>
  <si>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</si>
  <si>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</si>
  <si>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</si>
  <si>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</si>
  <si>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</si>
  <si>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</si>
  <si>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</si>
  <si>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</si>
  <si>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</si>
  <si>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</si>
  <si>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</si>
  <si>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</si>
  <si>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</si>
  <si>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</si>
  <si>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</si>
  <si>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</si>
  <si>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</si>
  <si>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</si>
  <si>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</si>
  <si>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</si>
  <si>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</si>
  <si>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</si>
  <si>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</si>
  <si>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</si>
  <si>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</si>
  <si>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</si>
  <si>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</si>
  <si>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</si>
  <si>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</si>
  <si>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</si>
  <si>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</si>
  <si>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</si>
  <si>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</si>
  <si>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</si>
  <si>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</si>
  <si>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</si>
  <si>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</si>
  <si>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</si>
  <si>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</si>
  <si>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</si>
  <si>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</si>
  <si>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</si>
  <si>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</si>
  <si>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</si>
  <si>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</si>
  <si>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</si>
  <si>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</si>
  <si>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</si>
  <si>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</si>
  <si>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</si>
  <si>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</si>
  <si>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</si>
  <si>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</si>
  <si>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</si>
  <si>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</si>
  <si>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</si>
  <si>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</si>
  <si>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</si>
  <si>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</si>
  <si>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</si>
  <si>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</si>
  <si>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</si>
  <si>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</si>
  <si>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</si>
  <si>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</si>
  <si>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</si>
  <si>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</si>
  <si>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</si>
  <si>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</si>
  <si>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</si>
  <si>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</si>
  <si>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</si>
  <si>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</si>
  <si>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</si>
  <si>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</si>
  <si>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</si>
  <si>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</si>
  <si>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</si>
  <si>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</si>
  <si>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</si>
  <si>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</si>
  <si>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</si>
  <si>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</si>
  <si>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</si>
  <si>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</si>
  <si>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</si>
  <si>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</si>
  <si>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</si>
  <si>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</si>
  <si>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</si>
  <si>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</si>
  <si>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</si>
  <si>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</si>
  <si>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</si>
  <si>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</si>
  <si>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</si>
  <si>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</si>
  <si>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</si>
  <si>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</si>
  <si>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</si>
  <si>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</si>
  <si>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</si>
  <si>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</si>
  <si>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</si>
  <si>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</si>
  <si>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</si>
  <si>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</si>
  <si>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</si>
  <si>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</si>
  <si>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</si>
  <si>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</si>
  <si>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</si>
  <si>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</si>
  <si>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</si>
  <si>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</si>
  <si>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</si>
  <si>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</si>
  <si>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</si>
  <si>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</si>
  <si>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</si>
  <si>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</si>
  <si>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</si>
  <si>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</si>
  <si>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</si>
  <si>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</si>
  <si>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</si>
  <si>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</si>
  <si>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</si>
  <si>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</si>
  <si>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</si>
  <si>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</si>
  <si>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</si>
  <si>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</si>
  <si>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</si>
  <si>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</si>
  <si>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</si>
  <si>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</si>
  <si>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</si>
  <si>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</si>
  <si>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</si>
  <si>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</si>
  <si>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</si>
  <si>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</si>
  <si>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</si>
  <si>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</si>
  <si>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</si>
  <si>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</si>
  <si>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</si>
  <si>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</si>
  <si>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</si>
  <si>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</si>
  <si>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</si>
  <si>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</si>
  <si>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</si>
  <si>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</si>
  <si>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</si>
  <si>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</si>
  <si>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</si>
  <si>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</si>
  <si>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</si>
  <si>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</si>
  <si>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</si>
  <si>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</si>
  <si>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</si>
  <si>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</si>
  <si>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</si>
  <si>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</si>
  <si>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</si>
  <si>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</si>
  <si>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</si>
  <si>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</si>
  <si>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</si>
  <si>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</si>
  <si>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</si>
  <si>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</si>
  <si>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</si>
  <si>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</si>
  <si>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</si>
  <si>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</si>
  <si>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</si>
  <si>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</si>
  <si>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</si>
  <si>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</si>
  <si>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</si>
  <si>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</si>
  <si>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</si>
  <si>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</si>
  <si>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</si>
  <si>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</si>
  <si>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</si>
  <si>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</si>
  <si>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</si>
  <si>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</si>
  <si>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</si>
  <si>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</si>
  <si>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</si>
  <si>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</si>
  <si>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</si>
  <si>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</si>
  <si>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</si>
  <si>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</si>
  <si>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</si>
  <si>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</si>
  <si>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</si>
  <si>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</si>
  <si>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</si>
  <si>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</si>
  <si>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</si>
  <si>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</si>
  <si>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</si>
  <si>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</si>
  <si>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</si>
  <si>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</si>
  <si>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</si>
  <si>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</si>
  <si>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</si>
  <si>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</si>
  <si>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</si>
  <si>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</si>
  <si>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</si>
  <si>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</si>
  <si>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</si>
  <si>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</si>
  <si>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</si>
  <si>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</si>
  <si>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</si>
  <si>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</si>
  <si>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</si>
  <si>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</si>
  <si>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</si>
  <si>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</si>
  <si>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</si>
  <si>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</si>
  <si>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</si>
  <si>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</si>
  <si>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</si>
  <si>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</si>
  <si>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</si>
  <si>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</si>
  <si>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</si>
  <si>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</si>
  <si>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</si>
  <si>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</si>
  <si>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</si>
  <si>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</si>
  <si>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</si>
  <si>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</si>
  <si>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</si>
  <si>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</si>
  <si>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</si>
  <si>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</si>
  <si>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</si>
  <si>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</si>
  <si>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</si>
  <si>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</si>
  <si>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</si>
  <si>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</si>
  <si>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</si>
  <si>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</si>
  <si>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</si>
  <si>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</si>
  <si>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</si>
  <si>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</si>
  <si>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</si>
  <si>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</si>
  <si>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</si>
  <si>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</si>
  <si>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</si>
  <si>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</si>
  <si>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</si>
  <si>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</si>
  <si>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</si>
  <si>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</si>
  <si>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</si>
  <si>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</si>
  <si>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</si>
  <si>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</si>
  <si>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</si>
  <si>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</si>
  <si>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</si>
  <si>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</si>
  <si>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</si>
  <si>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</si>
  <si>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</si>
  <si>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</si>
  <si>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</si>
  <si>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</si>
  <si>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</si>
  <si>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</si>
  <si>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</si>
  <si>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</si>
  <si>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</si>
  <si>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</si>
  <si>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</si>
  <si>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</si>
  <si>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</si>
  <si>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</si>
  <si>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</si>
  <si>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</si>
  <si>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</si>
  <si>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</si>
  <si>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</si>
  <si>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</si>
  <si>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</si>
  <si>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</si>
  <si>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</si>
  <si>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</si>
  <si>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</si>
  <si>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</si>
  <si>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</si>
  <si>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</si>
  <si>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</si>
  <si>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</si>
  <si>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</si>
  <si>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</si>
  <si>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</si>
  <si>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</si>
  <si>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</si>
  <si>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</si>
  <si>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</si>
  <si>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</si>
  <si>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</si>
  <si>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</si>
  <si>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</si>
  <si>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</si>
  <si>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</si>
  <si>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</si>
  <si>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</si>
  <si>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</si>
  <si>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</si>
  <si>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</si>
  <si>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</si>
  <si>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</si>
  <si>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</si>
  <si>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</si>
  <si>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</si>
  <si>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</si>
  <si>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</si>
  <si>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</si>
  <si>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</si>
  <si>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</si>
  <si>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</si>
  <si>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</si>
  <si>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</si>
  <si>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</si>
  <si>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</si>
  <si>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</si>
  <si>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</si>
  <si>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</si>
  <si>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</si>
  <si>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</si>
  <si>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</si>
  <si>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</si>
  <si>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</si>
  <si>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</si>
  <si>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</si>
  <si>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</si>
  <si>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</si>
  <si>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</si>
  <si>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</si>
  <si>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</si>
  <si>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</si>
  <si>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</si>
  <si>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</si>
  <si>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</si>
  <si>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</si>
  <si>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</si>
  <si>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</si>
  <si>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</si>
  <si>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</si>
  <si>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</si>
  <si>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</si>
  <si>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</si>
  <si>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</si>
  <si>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</si>
  <si>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</si>
  <si>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</si>
  <si>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</si>
  <si>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</si>
  <si>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</si>
  <si>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</si>
  <si>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</si>
  <si>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</si>
  <si>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</si>
  <si>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</si>
  <si>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</si>
  <si>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</si>
  <si>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</si>
  <si>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</si>
  <si>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</si>
  <si>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</si>
  <si>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</si>
  <si>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</si>
  <si>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</si>
  <si>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</si>
  <si>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</si>
  <si>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</si>
  <si>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</si>
  <si>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</si>
  <si>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</si>
  <si>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</si>
  <si>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</si>
  <si>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</si>
  <si>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</si>
  <si>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</si>
  <si>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</si>
  <si>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</si>
  <si>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</si>
  <si>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</si>
  <si>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</si>
  <si>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</si>
  <si>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</si>
  <si>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</si>
  <si>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</si>
  <si>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</si>
  <si>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</si>
  <si>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</si>
  <si>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</si>
  <si>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</si>
  <si>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</si>
  <si>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</si>
  <si>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</si>
  <si>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</si>
  <si>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</si>
  <si>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</si>
  <si>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</si>
  <si>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</si>
  <si>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</si>
  <si>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</si>
  <si>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</si>
  <si>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</si>
  <si>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</si>
  <si>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</si>
  <si>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</si>
  <si>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</si>
  <si>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</si>
  <si>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</si>
  <si>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</si>
  <si>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</si>
  <si>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</si>
  <si>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</si>
  <si>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</si>
  <si>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</si>
  <si>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</si>
  <si>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</si>
  <si>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</si>
  <si>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</si>
  <si>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</si>
  <si>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</si>
  <si>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</si>
  <si>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</si>
  <si>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</si>
  <si>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</si>
  <si>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</si>
  <si>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</si>
  <si>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</si>
  <si>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</si>
  <si>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</si>
  <si>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</si>
  <si>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</si>
  <si>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</si>
  <si>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</si>
  <si>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</si>
  <si>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</si>
  <si>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</si>
  <si>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</si>
  <si>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</si>
  <si>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</si>
  <si>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</si>
  <si>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</si>
  <si>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</si>
  <si>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</si>
  <si>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</si>
  <si>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</si>
  <si>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</si>
  <si>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</si>
  <si>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</si>
  <si>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</si>
  <si>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</si>
  <si>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</si>
  <si>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</si>
  <si>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</si>
  <si>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</si>
  <si>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</si>
  <si>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</si>
  <si>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</si>
  <si>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</si>
  <si>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</si>
  <si>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</si>
  <si>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</si>
  <si>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</si>
  <si>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</si>
  <si>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</si>
  <si>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</si>
  <si>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</si>
  <si>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</si>
  <si>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</si>
  <si>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</si>
  <si>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</si>
  <si>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</si>
  <si>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</si>
  <si>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</si>
  <si>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</si>
  <si>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</si>
  <si>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</si>
  <si>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</si>
  <si>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</si>
  <si>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</si>
  <si>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</si>
  <si>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</si>
  <si>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</si>
  <si>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</si>
  <si>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</si>
  <si>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</si>
  <si>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</si>
  <si>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</si>
  <si>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</si>
  <si>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</si>
  <si>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</si>
  <si>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</si>
  <si>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</si>
  <si>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</si>
  <si>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</si>
  <si>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</si>
  <si>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</si>
  <si>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</si>
  <si>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</si>
  <si>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</si>
  <si>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</si>
  <si>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</si>
  <si>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</si>
  <si>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</si>
  <si>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</si>
  <si>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</si>
  <si>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</si>
  <si>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</si>
  <si>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</si>
  <si>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</si>
  <si>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</si>
  <si>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</si>
  <si>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</si>
  <si>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</si>
  <si>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</si>
  <si>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</si>
  <si>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</si>
  <si>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</si>
  <si>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</si>
  <si>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</si>
  <si>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</si>
  <si>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</si>
  <si>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</si>
  <si>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</si>
  <si>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</si>
  <si>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</si>
  <si>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</si>
  <si>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</si>
  <si>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</si>
  <si>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</si>
  <si>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</si>
  <si>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</si>
  <si>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</si>
  <si>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</si>
  <si>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</si>
  <si>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</si>
  <si>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</si>
  <si>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</si>
  <si>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</si>
  <si>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</si>
  <si>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</si>
  <si>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</si>
  <si>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</si>
  <si>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</si>
  <si>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</si>
  <si>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</si>
  <si>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</si>
  <si>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</si>
  <si>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</si>
  <si>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</si>
  <si>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</si>
  <si>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</si>
  <si>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</si>
  <si>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</si>
  <si>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</si>
  <si>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</si>
  <si>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</si>
  <si>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</si>
  <si>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</si>
  <si>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</si>
  <si>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</si>
  <si>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</si>
  <si>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</si>
  <si>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</si>
  <si>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</si>
  <si>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</si>
  <si>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</si>
  <si>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</si>
  <si>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</si>
  <si>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</si>
  <si>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</si>
  <si>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</si>
  <si>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</si>
  <si>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</si>
  <si>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</si>
  <si>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</si>
  <si>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</si>
  <si>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</si>
  <si>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</si>
  <si>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</si>
  <si>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</si>
  <si>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</si>
  <si>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</si>
  <si>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</si>
  <si>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</si>
  <si>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</si>
  <si>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</si>
  <si>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</si>
  <si>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</si>
  <si>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</si>
  <si>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</si>
  <si>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</si>
  <si>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</si>
  <si>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</si>
  <si>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</si>
  <si>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</si>
  <si>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</si>
  <si>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</si>
  <si>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</si>
  <si>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</si>
  <si>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</si>
  <si>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</si>
  <si>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</si>
  <si>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</si>
  <si>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</si>
  <si>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</si>
  <si>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</si>
  <si>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</si>
  <si>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</si>
  <si>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</si>
  <si>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</si>
  <si>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</si>
  <si>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</si>
  <si>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</si>
  <si>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</si>
  <si>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</si>
  <si>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</si>
  <si>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</si>
  <si>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</si>
  <si>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</si>
  <si>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</si>
  <si>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</si>
  <si>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</si>
  <si>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</si>
  <si>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</si>
  <si>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</si>
  <si>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</si>
  <si>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</si>
  <si>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</si>
  <si>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</si>
  <si>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</si>
  <si>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</si>
  <si>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</si>
  <si>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</si>
  <si>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</si>
  <si>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</si>
  <si>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</si>
  <si>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</si>
  <si>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</si>
  <si>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</si>
  <si>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</si>
  <si>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</si>
  <si>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</si>
  <si>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</si>
  <si>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</si>
  <si>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</si>
  <si>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</si>
  <si>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</si>
  <si>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</si>
  <si>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</si>
  <si>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</si>
  <si>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</si>
  <si>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</si>
  <si>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</si>
  <si>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</si>
  <si>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</si>
  <si>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</si>
  <si>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</si>
  <si>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</si>
  <si>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</si>
  <si>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</si>
  <si>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</si>
  <si>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</si>
  <si>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</si>
  <si>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</si>
  <si>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</si>
  <si>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</si>
  <si>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</si>
  <si>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</si>
  <si>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</si>
  <si>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</si>
  <si>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</si>
  <si>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</si>
  <si>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</si>
  <si>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</si>
  <si>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</si>
  <si>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</si>
  <si>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</si>
  <si>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</si>
  <si>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</si>
  <si>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</si>
  <si>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</si>
  <si>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</si>
  <si>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</si>
  <si>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</si>
  <si>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</si>
  <si>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</si>
  <si>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</si>
  <si>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</si>
  <si>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</si>
  <si>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</si>
  <si>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</si>
  <si>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</si>
  <si>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</si>
  <si>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</si>
  <si>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</si>
  <si>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</si>
  <si>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</si>
  <si>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</si>
  <si>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</si>
  <si>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</si>
  <si>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</si>
  <si>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</si>
  <si>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</si>
  <si>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</si>
  <si>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</si>
  <si>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</si>
  <si>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</si>
  <si>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</si>
  <si>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</si>
  <si>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</si>
  <si>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</si>
  <si>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</si>
  <si>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</si>
  <si>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</si>
  <si>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</si>
  <si>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</si>
  <si>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</si>
  <si>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</si>
  <si>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</si>
  <si>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</si>
  <si>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</si>
  <si>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</si>
  <si>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</si>
  <si>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</si>
  <si>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</si>
  <si>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</si>
  <si>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</si>
  <si>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</si>
  <si>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</si>
  <si>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</si>
  <si>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</si>
  <si>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</si>
  <si>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</si>
  <si>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</si>
  <si>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</si>
  <si>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</si>
  <si>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</si>
  <si>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</si>
  <si>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</si>
  <si>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</si>
  <si>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</si>
  <si>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</si>
  <si>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</si>
  <si>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</si>
  <si>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</si>
  <si>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</si>
  <si>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</si>
  <si>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</si>
  <si>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</si>
  <si>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</si>
  <si>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</si>
  <si>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</si>
  <si>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</si>
  <si>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</si>
  <si>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</si>
  <si>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</si>
  <si>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</si>
  <si>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</si>
  <si>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</si>
  <si>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</si>
  <si>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</si>
  <si>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</si>
  <si>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</si>
  <si>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</si>
  <si>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</si>
  <si>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</si>
  <si>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</si>
  <si>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</si>
  <si>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</si>
  <si>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</si>
  <si>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</si>
  <si>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</si>
  <si>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</si>
  <si>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</si>
  <si>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</si>
  <si>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</si>
  <si>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</si>
  <si>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</si>
  <si>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</si>
  <si>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</si>
  <si>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</si>
  <si>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</si>
  <si>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</si>
  <si>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</si>
  <si>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</si>
  <si>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</si>
  <si>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</si>
  <si>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</si>
  <si>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</si>
  <si>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</si>
  <si>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</si>
  <si>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</si>
  <si>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</si>
  <si>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</si>
  <si>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</si>
  <si>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</si>
  <si>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</si>
  <si>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</si>
  <si>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</si>
  <si>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</si>
  <si>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</si>
  <si>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</si>
  <si>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</si>
  <si>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</si>
  <si>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</si>
  <si>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</si>
  <si>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</si>
  <si>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</si>
  <si>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</si>
  <si>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</si>
  <si>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</si>
  <si>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</si>
  <si>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</si>
  <si>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</si>
  <si>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</si>
  <si>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</si>
  <si>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</si>
  <si>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</si>
  <si>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</si>
  <si>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</si>
  <si>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</si>
  <si>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</si>
  <si>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</si>
  <si>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</si>
  <si>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</si>
  <si>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</si>
  <si>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</si>
  <si>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</si>
  <si>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</si>
  <si>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</si>
  <si>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</si>
  <si>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</si>
  <si>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</si>
  <si>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</si>
  <si>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</si>
  <si>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</si>
  <si>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</si>
  <si>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</si>
  <si>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</si>
  <si>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</si>
  <si>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</si>
  <si>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</si>
  <si>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</si>
  <si>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</si>
  <si>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</si>
  <si>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</si>
  <si>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</si>
  <si>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</si>
  <si>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</si>
  <si>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</si>
  <si>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</si>
  <si>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</si>
  <si>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</si>
  <si>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</si>
  <si>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</si>
  <si>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</si>
  <si>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</si>
  <si>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</si>
  <si>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</si>
  <si>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</si>
  <si>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</si>
  <si>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</si>
  <si>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</si>
  <si>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</si>
  <si>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</si>
  <si>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</si>
  <si>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</si>
  <si>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</si>
  <si>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</si>
  <si>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</si>
  <si>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</si>
  <si>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</si>
  <si>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</si>
  <si>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</si>
  <si>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</si>
  <si>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</si>
  <si>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</si>
  <si>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</si>
  <si>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</si>
  <si>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</si>
  <si>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</si>
  <si>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</si>
  <si>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</si>
  <si>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</si>
  <si>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</si>
  <si>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</si>
  <si>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</si>
  <si>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</si>
  <si>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</si>
  <si>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</si>
  <si>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</si>
  <si>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</si>
  <si>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</si>
  <si>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</si>
  <si>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</si>
  <si>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</si>
  <si>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</si>
  <si>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</si>
  <si>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</si>
  <si>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</si>
  <si>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</si>
  <si>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</si>
  <si>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</si>
  <si>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</si>
  <si>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</si>
  <si>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</si>
  <si>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</si>
  <si>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</si>
  <si>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</si>
  <si>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</si>
  <si>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</si>
  <si>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</si>
  <si>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</si>
  <si>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</si>
  <si>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</si>
  <si>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</si>
  <si>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</si>
  <si>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</si>
  <si>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</si>
  <si>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</si>
  <si>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</si>
  <si>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</si>
  <si>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</si>
  <si>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</si>
  <si>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</si>
  <si>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</si>
  <si>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</si>
  <si>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</si>
  <si>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</si>
  <si>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</si>
  <si>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</si>
  <si>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</si>
  <si>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</si>
  <si>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</si>
  <si>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</si>
  <si>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</si>
  <si>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</si>
  <si>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</si>
  <si>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</si>
  <si>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</si>
  <si>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</si>
  <si>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</si>
  <si>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</si>
  <si>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</si>
  <si>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</si>
  <si>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</si>
  <si>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</si>
  <si>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</si>
  <si>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</si>
  <si>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</si>
  <si>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</si>
  <si>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</si>
  <si>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</si>
  <si>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</si>
  <si>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</si>
  <si>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</si>
  <si>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</si>
  <si>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</si>
  <si>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</si>
  <si>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</si>
  <si>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</si>
  <si>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</si>
  <si>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</si>
  <si>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</si>
  <si>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</si>
  <si>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</si>
  <si>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</si>
  <si>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</si>
  <si>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</si>
  <si>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</si>
  <si>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</si>
  <si>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</si>
  <si>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</si>
  <si>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</si>
  <si>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</si>
  <si>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</si>
  <si>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</si>
  <si>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</si>
  <si>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</si>
  <si>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</si>
  <si>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</si>
  <si>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</si>
  <si>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</si>
  <si>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</si>
  <si>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</si>
  <si>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</si>
  <si>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</si>
  <si>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</si>
  <si>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</si>
  <si>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</si>
  <si>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</si>
  <si>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</si>
  <si>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</si>
  <si>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</si>
  <si>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</si>
  <si>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</si>
  <si>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</si>
  <si>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</si>
  <si>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</si>
  <si>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</si>
  <si>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</si>
  <si>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</si>
  <si>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</si>
  <si>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</si>
  <si>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</si>
  <si>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</si>
  <si>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</si>
  <si>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</si>
  <si>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</si>
  <si>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</si>
  <si>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</si>
  <si>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</si>
  <si>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</si>
  <si>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</si>
  <si>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</si>
  <si>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</si>
  <si>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</si>
  <si>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</si>
  <si>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</si>
  <si>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</si>
  <si>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</si>
  <si>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</si>
  <si>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</si>
  <si>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</si>
  <si>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</si>
  <si>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</si>
  <si>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</si>
  <si>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</si>
  <si>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</si>
  <si>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</si>
  <si>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</si>
  <si>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</si>
  <si>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</si>
  <si>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</si>
  <si>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</si>
  <si>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</si>
  <si>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</si>
  <si>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</si>
  <si>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</si>
  <si>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</si>
  <si>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</si>
  <si>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</si>
  <si>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</si>
  <si>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</si>
  <si>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</si>
  <si>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</si>
  <si>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</si>
  <si>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</si>
  <si>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</si>
  <si>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</si>
  <si>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</si>
  <si>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</si>
  <si>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</si>
  <si>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</si>
  <si>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</si>
  <si>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</si>
  <si>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</si>
  <si>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</si>
  <si>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</si>
  <si>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</si>
  <si>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</si>
  <si>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</si>
  <si>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</si>
  <si>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</si>
  <si>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</si>
  <si>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</si>
  <si>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</si>
  <si>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</si>
  <si>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</si>
  <si>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</si>
  <si>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</si>
  <si>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</si>
  <si>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</si>
  <si>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</si>
  <si>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</si>
  <si>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</si>
  <si>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</si>
  <si>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</si>
  <si>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</si>
  <si>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</si>
  <si>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</si>
  <si>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</si>
  <si>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</si>
  <si>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</si>
  <si>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</si>
  <si>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</si>
  <si>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</si>
  <si>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</si>
  <si>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</si>
  <si>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</si>
  <si>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</si>
  <si>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</si>
  <si>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</si>
  <si>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</si>
  <si>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</si>
  <si>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</si>
  <si>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</si>
  <si>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</si>
  <si>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</si>
  <si>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</si>
  <si>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</si>
  <si>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</si>
  <si>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</si>
  <si>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</si>
  <si>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</si>
  <si>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</si>
  <si>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</si>
  <si>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</si>
  <si>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</si>
  <si>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</si>
  <si>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</si>
  <si>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</si>
  <si>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</si>
  <si>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</si>
  <si>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</si>
  <si>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</si>
  <si>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</si>
  <si>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</si>
  <si>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</si>
  <si>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</si>
  <si>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</si>
  <si>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</si>
  <si>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</si>
  <si>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</si>
  <si>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</si>
  <si>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</si>
  <si>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</si>
  <si>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</si>
  <si>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</si>
  <si>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</si>
  <si>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</si>
  <si>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</si>
  <si>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</si>
  <si>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</si>
  <si>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</si>
  <si>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</si>
  <si>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</si>
  <si>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</si>
  <si>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</si>
  <si>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</si>
  <si>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</si>
  <si>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</si>
  <si>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</si>
  <si>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</si>
  <si>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</si>
  <si>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</si>
  <si>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</si>
  <si>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</si>
  <si>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</si>
  <si>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</si>
  <si>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</si>
  <si>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</si>
  <si>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</si>
  <si>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</si>
  <si>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</si>
  <si>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</si>
  <si>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</si>
  <si>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</si>
  <si>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</si>
  <si>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</si>
  <si>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</si>
  <si>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</si>
  <si>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</si>
  <si>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</si>
  <si>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</si>
  <si>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</si>
  <si>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</si>
  <si>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</si>
  <si>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</si>
  <si>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</si>
  <si>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</si>
  <si>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</si>
  <si>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</si>
  <si>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</si>
  <si>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</si>
  <si>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</si>
  <si>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</si>
  <si>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</si>
  <si>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</si>
  <si>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</si>
  <si>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</si>
  <si>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</si>
  <si>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</si>
  <si>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</si>
  <si>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</si>
  <si>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</si>
  <si>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</si>
  <si>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</si>
  <si>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</si>
  <si>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</si>
  <si>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</si>
  <si>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</si>
  <si>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</si>
  <si>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</si>
  <si>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</si>
  <si>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</si>
  <si>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</si>
  <si>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</si>
  <si>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</si>
  <si>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</si>
  <si>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</si>
  <si>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</si>
  <si>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</si>
  <si>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</si>
  <si>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</si>
  <si>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</si>
  <si>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</si>
  <si>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</si>
  <si>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</si>
  <si>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</si>
  <si>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</si>
  <si>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</si>
  <si>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</si>
  <si>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</si>
  <si>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</si>
  <si>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</si>
  <si>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</si>
  <si>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</si>
  <si>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</si>
  <si>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</si>
  <si>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</si>
  <si>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</si>
  <si>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</si>
  <si>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</si>
  <si>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</si>
  <si>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</si>
  <si>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</si>
  <si>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</si>
  <si>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</si>
  <si>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</si>
  <si>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</si>
  <si>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</si>
  <si>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</si>
  <si>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</si>
  <si>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</si>
  <si>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</si>
  <si>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</si>
  <si>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</si>
  <si>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</si>
  <si>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</si>
  <si>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</si>
  <si>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</si>
  <si>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</si>
  <si>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</si>
  <si>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</si>
  <si>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</si>
  <si>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</si>
  <si>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</si>
  <si>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</si>
  <si>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</si>
  <si>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</si>
  <si>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</si>
  <si>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</si>
  <si>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</si>
  <si>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</si>
  <si>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</si>
  <si>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</si>
  <si>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</si>
  <si>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</si>
  <si>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</si>
  <si>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</si>
  <si>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</si>
  <si>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</si>
  <si>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</si>
  <si>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</si>
  <si>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</si>
  <si>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</si>
  <si>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</si>
  <si>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</si>
  <si>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</si>
  <si>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</si>
  <si>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</si>
  <si>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</si>
  <si>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</si>
  <si>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</si>
  <si>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</si>
  <si>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</si>
  <si>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</si>
  <si>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</si>
  <si>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</si>
  <si>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</si>
  <si>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</si>
  <si>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</si>
  <si>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</si>
  <si>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</si>
  <si>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</si>
  <si>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</si>
  <si>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</si>
  <si>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</si>
  <si>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</si>
  <si>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</si>
  <si>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</si>
  <si>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</si>
  <si>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</si>
  <si>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</si>
  <si>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</si>
  <si>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</si>
  <si>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</si>
  <si>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</si>
  <si>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</si>
  <si>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</si>
  <si>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</si>
  <si>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</si>
  <si>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</si>
  <si>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</si>
  <si>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</si>
  <si>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</si>
  <si>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</si>
  <si>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</si>
  <si>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</si>
  <si>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</si>
  <si>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</si>
  <si>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</si>
  <si>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</si>
  <si>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</si>
  <si>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</si>
  <si>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</si>
  <si>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</si>
  <si>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</si>
  <si>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</si>
  <si>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</si>
  <si>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</si>
  <si>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</si>
  <si>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</si>
  <si>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</si>
  <si>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</si>
  <si>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</si>
  <si>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</si>
  <si>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</si>
  <si>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</si>
  <si>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</si>
  <si>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</si>
  <si>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</si>
  <si>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</si>
  <si>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</si>
  <si>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</si>
  <si>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</si>
  <si>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</si>
  <si>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</si>
  <si>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</si>
  <si>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</si>
  <si>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</si>
  <si>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</si>
  <si>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</si>
  <si>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</si>
  <si>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</si>
  <si>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</si>
  <si>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</si>
  <si>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</si>
  <si>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</si>
  <si>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</si>
  <si>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</si>
  <si>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</si>
  <si>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</si>
  <si>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</si>
  <si>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</si>
  <si>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</si>
  <si>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</si>
  <si>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</si>
  <si>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</si>
  <si>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</si>
  <si>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</si>
  <si>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</si>
  <si>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</si>
  <si>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</si>
  <si>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</si>
  <si>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</si>
  <si>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</si>
  <si>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</si>
  <si>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</si>
  <si>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</si>
  <si>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</si>
  <si>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</si>
  <si>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</si>
  <si>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</si>
  <si>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</si>
  <si>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</si>
  <si>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</si>
  <si>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</si>
  <si>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</si>
  <si>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</si>
  <si>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</si>
  <si>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</si>
  <si>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</si>
  <si>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</si>
  <si>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</si>
  <si>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</si>
  <si>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</si>
  <si>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</si>
  <si>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</si>
  <si>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</si>
  <si>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</si>
  <si>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</si>
  <si>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</si>
  <si>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</si>
  <si>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</si>
  <si>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</si>
  <si>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</si>
  <si>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</si>
  <si>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</si>
  <si>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</si>
  <si>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</si>
  <si>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</si>
  <si>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</si>
  <si>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</si>
  <si>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</si>
  <si>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</si>
  <si>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</si>
  <si>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</si>
  <si>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</si>
  <si>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</si>
  <si>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</si>
  <si>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</si>
  <si>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</si>
  <si>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</si>
  <si>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</si>
  <si>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</si>
  <si>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</si>
  <si>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</si>
  <si>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</si>
  <si>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</si>
  <si>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</si>
  <si>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</si>
  <si>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</si>
  <si>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</si>
  <si>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</si>
  <si>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</si>
  <si>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</si>
  <si>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</si>
  <si>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</si>
  <si>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</si>
  <si>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</si>
  <si>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</si>
  <si>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</si>
  <si>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</si>
  <si>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</si>
  <si>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</si>
  <si>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</si>
  <si>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</si>
  <si>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</si>
  <si>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</si>
  <si>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</si>
  <si>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</si>
  <si>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</si>
  <si>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</si>
  <si>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</si>
  <si>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</si>
  <si>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</si>
  <si>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</si>
  <si>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</si>
  <si>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</si>
  <si>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</si>
  <si>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</si>
  <si>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</si>
  <si>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</si>
  <si>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</si>
  <si>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</si>
  <si>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</si>
  <si>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</si>
  <si>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</si>
  <si>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</si>
  <si>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</si>
  <si>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</si>
  <si>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</si>
  <si>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</si>
  <si>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</si>
  <si>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</si>
  <si>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</si>
  <si>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</si>
  <si>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</si>
  <si>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</si>
  <si>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</si>
  <si>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</si>
  <si>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</si>
  <si>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</si>
  <si>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</si>
  <si>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</si>
  <si>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</si>
  <si>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</si>
  <si>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</si>
  <si>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</si>
  <si>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</si>
  <si>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</si>
  <si>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</si>
  <si>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</si>
  <si>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</si>
  <si>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</si>
  <si>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</si>
  <si>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</si>
  <si>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</si>
  <si>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</si>
  <si>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</si>
  <si>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</si>
  <si>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</si>
  <si>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</si>
  <si>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</si>
  <si>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</si>
  <si>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</si>
  <si>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</si>
  <si>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</si>
  <si>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</si>
  <si>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</si>
  <si>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</si>
  <si>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</si>
  <si>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</si>
  <si>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</si>
  <si>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</si>
  <si>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</si>
  <si>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</si>
  <si>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</si>
  <si>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</si>
  <si>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</si>
  <si>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</si>
  <si>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</si>
  <si>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</si>
  <si>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</si>
  <si>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</si>
  <si>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</si>
  <si>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</si>
  <si>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</si>
  <si>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</si>
  <si>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</si>
  <si>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</si>
  <si>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</si>
  <si>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</si>
  <si>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</si>
  <si>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</si>
  <si>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</si>
  <si>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</si>
  <si>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</si>
  <si>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</si>
  <si>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</si>
  <si>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</si>
  <si>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</si>
  <si>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</si>
  <si>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</si>
  <si>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</si>
  <si>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</si>
  <si>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</si>
  <si>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</si>
  <si>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</si>
  <si>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</si>
  <si>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</si>
  <si>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</si>
  <si>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</si>
  <si>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</si>
  <si>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</si>
  <si>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</si>
  <si>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</si>
  <si>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</si>
  <si>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</si>
  <si>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</si>
  <si>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</si>
  <si>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</si>
  <si>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</si>
  <si>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</si>
  <si>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Claremont School District</t>
  </si>
  <si>
    <t>8/13</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</si>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</sst>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643"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101</v>
      </c>
      <c r="C2" s="21">
        <v>101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-10150500.48+350+200+3000+5000+13447462.21+252152.99+316.59-1450000</f>
        <v>2107981.3100000005</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7707430.0899999999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482711.3+95366.37-33473.31+9716.56+894157.26</f>
        <v>1448478.18</v>
      </c>
      <c r="G12" s="18">
        <f>125374.46-11099.3</f>
        <v>114275.16</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279456.99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989.77</v>
      </c>
      <c r="G14" s="18"/>
      <c r="H14" s="18">
        <v>-69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11099.3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57647.81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3615097.0700000003</v>
      </c>
      <c r="G19" s="41">
        <f>SUM(G9:G18)</f>
        <v>125374.46</v>
      </c>
      <c r="H19" s="41">
        <f>SUM(H9:H18)</f>
        <v>279387.99</v>
      </c>
      <c r="I19" s="41">
        <f>SUM(I9:I18)</f>
        <v>0</v>
      </c>
      <c r="J19" s="41">
        <f>SUM(J9:J18)</f>
        <v>7707430.0899999999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629151.16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23803.54</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965036.84</v>
      </c>
      <c r="G24" s="18">
        <f>-7639.11+450.19+2112.46+49.75+103.84</f>
        <v>-4922.87</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f>1772.51+535.21+4421.28</f>
        <v>6729</v>
      </c>
      <c r="G25" s="145"/>
      <c r="H25" s="18">
        <f>34472.79+60862.19+48831.27+153182.25+14184.06+1063.1-7851.6+2665.1+995.86-11.36+5270.58+5295.01+100.1</f>
        <v>319059.34999999998</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-44112.21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374619.29+117261.45+170725.8+18-97.56-1396.61-169029.97+2803.61+1988.13-995.86+300+64000.57-53200.06+1304.29</f>
        <v>508301.07999999996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5960.93</v>
      </c>
      <c r="H30" s="18">
        <v>17129.8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f>23160+11636+2400.64-299.38</f>
        <v>36897.26</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1496655.51</v>
      </c>
      <c r="G32" s="41">
        <f>SUM(G22:G31)</f>
        <v>1038.0600000000004</v>
      </c>
      <c r="H32" s="41">
        <f>SUM(H22:H31)</f>
        <v>965340.31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360000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386895</v>
      </c>
      <c r="G48" s="18">
        <v>124336.4</v>
      </c>
      <c r="H48" s="18">
        <v>-685952.32</v>
      </c>
      <c r="I48" s="18"/>
      <c r="J48" s="13">
        <f>SUM(I460)</f>
        <v>7707430.0899999999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1371546.56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2118441.56</v>
      </c>
      <c r="G51" s="41">
        <f>SUM(G35:G50)</f>
        <v>124336.4</v>
      </c>
      <c r="H51" s="41">
        <f>SUM(H35:H50)</f>
        <v>-685952.32</v>
      </c>
      <c r="I51" s="41">
        <f>SUM(I35:I50)</f>
        <v>0</v>
      </c>
      <c r="J51" s="41">
        <f>SUM(J35:J50)</f>
        <v>7707430.0899999999</v>
      </c>
      <c r="K51" s="45" t="s">
        <v>288</v>
      </c>
      <c r="L51" s="45" t="s">
        <v>288</v>
      </c>
      <c r="N51" s="264"/>
    </row>
    <row r="52" spans="1:14" s="3" customFormat="1" ht="12.2" customHeight="1" thickTop="1" x14ac:dyDescent="0.15">
      <c r="A52" s="38" t="s">
        <v>455</v>
      </c>
      <c r="B52" s="39" t="s">
        <v>289</v>
      </c>
      <c r="C52" s="6">
        <v>37</v>
      </c>
      <c r="D52" s="39" t="s">
        <v>653</v>
      </c>
      <c r="E52" s="39"/>
      <c r="F52" s="41">
        <f>F51+F32</f>
        <v>3615097.0700000003</v>
      </c>
      <c r="G52" s="41">
        <f>G51+G32</f>
        <v>125374.45999999999</v>
      </c>
      <c r="H52" s="41">
        <f>H51+H32</f>
        <v>279387.99000000011</v>
      </c>
      <c r="I52" s="41">
        <f>I51+I32</f>
        <v>0</v>
      </c>
      <c r="J52" s="41">
        <f>J51+J32</f>
        <v>7707430.0899999999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16925809-1450000</f>
        <v>15475809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15475809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715497.06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57972.68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980</f>
        <v>980</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f>968.35+26770.82</f>
        <v>27739.17</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802188.91000000015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2131.5</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2131.5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44901+62382.07</f>
        <v>107283.07</v>
      </c>
      <c r="G96" s="18"/>
      <c r="H96" s="18"/>
      <c r="I96" s="18"/>
      <c r="J96" s="18">
        <v>446655.25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82496.479999999996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2705.51+980+500+2400+3547.23+2000+2145+16811.38-202.5+5496.89-581-17.56+8877.67</f>
        <v>44662.62</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784</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4601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18051.42+22729.88</f>
        <v>40781.300000000003</v>
      </c>
      <c r="G110" s="18">
        <v>50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198111.99</v>
      </c>
      <c r="G111" s="41">
        <f>SUM(G96:G110)</f>
        <v>82546.48</v>
      </c>
      <c r="H111" s="41">
        <f>SUM(H96:H110)</f>
        <v>0</v>
      </c>
      <c r="I111" s="41">
        <f>SUM(I96:I110)</f>
        <v>0</v>
      </c>
      <c r="J111" s="41">
        <f>SUM(J96:J110)</f>
        <v>446655.25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16478241.4</v>
      </c>
      <c r="G112" s="41">
        <f>G60+G111</f>
        <v>82546.48</v>
      </c>
      <c r="H112" s="41">
        <f>H60+H79+H94+H111</f>
        <v>0</v>
      </c>
      <c r="I112" s="41">
        <f>I60+I111</f>
        <v>0</v>
      </c>
      <c r="J112" s="41">
        <f>J60+J111</f>
        <v>446655.25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13404299+28235</f>
        <v>13432534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1413115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14845649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f>642316.43</f>
        <v>642316.43000000005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19000.28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4866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3238.65+7165.07</f>
        <v>10403.719999999999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666182.71000000008</v>
      </c>
      <c r="G136" s="41">
        <f>SUM(G123:G135)</f>
        <v>10403.719999999999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15511831.710000001</v>
      </c>
      <c r="G140" s="41">
        <f>G121+SUM(G136:G137)</f>
        <v>10403.719999999999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842092.51+986.39</f>
        <v>843078.9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371545.02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38058.07</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66874.53+12966.29</f>
        <v>79840.820000000007</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425939.58+177950.88</f>
        <v>603890.46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606935.86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92813+2515.37</f>
        <v>95328.37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f>428290.61+8065.73</f>
        <v>436356.33999999997</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95328.37</v>
      </c>
      <c r="G163" s="41">
        <f>SUM(G150:G162)</f>
        <v>603890.46</v>
      </c>
      <c r="H163" s="41">
        <f>SUM(H150:H162)</f>
        <v>2375815.0099999998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95328.37</v>
      </c>
      <c r="G170" s="41">
        <f>G147+G163+SUM(G164:G169)</f>
        <v>603890.46</v>
      </c>
      <c r="H170" s="41">
        <f>H147+H163+SUM(H164:H169)</f>
        <v>2375815.0099999998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v>65000</v>
      </c>
      <c r="I180" s="18"/>
      <c r="J180" s="18">
        <v>650000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65000</v>
      </c>
      <c r="I184" s="41">
        <f>SUM(I180:I183)</f>
        <v>0</v>
      </c>
      <c r="J184" s="41">
        <f>SUM(J180:J183)</f>
        <v>650000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65000</v>
      </c>
      <c r="I193" s="41">
        <f>I178+I184+SUM(I189:I192)</f>
        <v>0</v>
      </c>
      <c r="J193" s="41">
        <f>J184</f>
        <v>650000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32085401.48</v>
      </c>
      <c r="G194" s="47">
        <f>G112+G140+G170+G193</f>
        <v>696840.65999999992</v>
      </c>
      <c r="H194" s="47">
        <f>H112+H140+H170+H193</f>
        <v>2440815.0099999998</v>
      </c>
      <c r="I194" s="47">
        <f>I112+I140+I170+I193</f>
        <v>0</v>
      </c>
      <c r="J194" s="47">
        <f>J112+J140+J193</f>
        <v>1096655.25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2934997.57</v>
      </c>
      <c r="G198" s="18">
        <v>1734211.9200000002</v>
      </c>
      <c r="H198" s="18">
        <v>48975.3</v>
      </c>
      <c r="I198" s="18">
        <v>141691.64000000001</v>
      </c>
      <c r="J198" s="18">
        <v>1760.4099999999999</v>
      </c>
      <c r="K198" s="18">
        <v>1316.73</v>
      </c>
      <c r="L198" s="19">
        <f>SUM(F198:K198)</f>
        <v>4862953.57</v>
      </c>
      <c r="M198" s="8"/>
      <c r="N198" s="266"/>
    </row>
    <row r="199" spans="1:14" s="3" customFormat="1" ht="12.2" customHeight="1" x14ac:dyDescent="0.15">
      <c r="A199" s="1" t="s">
        <v>439</v>
      </c>
      <c r="B199" s="2" t="s">
        <v>341</v>
      </c>
      <c r="C199" s="2" t="s">
        <v>291</v>
      </c>
      <c r="D199" s="2" t="s">
        <v>431</v>
      </c>
      <c r="E199" s="6">
        <v>1200</v>
      </c>
      <c r="F199" s="18">
        <v>1926562.48</v>
      </c>
      <c r="G199" s="18">
        <v>754396.4800000001</v>
      </c>
      <c r="H199" s="18">
        <f>1144732.22-32830.17</f>
        <v>1111902.05</v>
      </c>
      <c r="I199" s="18">
        <v>19627.97</v>
      </c>
      <c r="J199" s="18">
        <v>0</v>
      </c>
      <c r="K199" s="18">
        <v>0</v>
      </c>
      <c r="L199" s="19">
        <f>SUM(F199:K199)</f>
        <v>3812488.98</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436394.13</v>
      </c>
      <c r="G203" s="18">
        <v>279222.21000000002</v>
      </c>
      <c r="H203" s="18">
        <v>11648.419999999998</v>
      </c>
      <c r="I203" s="18">
        <v>3886.53</v>
      </c>
      <c r="J203" s="18">
        <v>760.65</v>
      </c>
      <c r="K203" s="18">
        <v>0</v>
      </c>
      <c r="L203" s="19">
        <f t="shared" ref="L203:L209" si="0">SUM(F203:K203)</f>
        <v>731911.94000000018</v>
      </c>
      <c r="M203" s="8"/>
      <c r="N203" s="266"/>
    </row>
    <row r="204" spans="1:14" s="3" customFormat="1" ht="12.2" customHeight="1" x14ac:dyDescent="0.15">
      <c r="A204" s="1" t="s">
        <v>443</v>
      </c>
      <c r="B204" s="2" t="s">
        <v>341</v>
      </c>
      <c r="C204" s="2" t="s">
        <v>295</v>
      </c>
      <c r="D204" s="2" t="s">
        <v>431</v>
      </c>
      <c r="E204" s="6">
        <v>2200</v>
      </c>
      <c r="F204" s="18">
        <v>159900.15000000002</v>
      </c>
      <c r="G204" s="18">
        <v>65466.180000000008</v>
      </c>
      <c r="H204" s="18">
        <v>64544.630000000005</v>
      </c>
      <c r="I204" s="18">
        <v>10620.689999999999</v>
      </c>
      <c r="J204" s="18">
        <v>69132.75</v>
      </c>
      <c r="K204" s="18">
        <v>0</v>
      </c>
      <c r="L204" s="19">
        <f t="shared" si="0"/>
        <v>369664.4</v>
      </c>
      <c r="M204" s="8"/>
      <c r="N204" s="266"/>
    </row>
    <row r="205" spans="1:14" s="3" customFormat="1" ht="12.2" customHeight="1" x14ac:dyDescent="0.15">
      <c r="A205" s="1" t="s">
        <v>444</v>
      </c>
      <c r="B205" s="2" t="s">
        <v>341</v>
      </c>
      <c r="C205" s="2" t="s">
        <v>296</v>
      </c>
      <c r="D205" s="2" t="s">
        <v>431</v>
      </c>
      <c r="E205" s="6">
        <v>2300</v>
      </c>
      <c r="F205" s="18">
        <v>3296.6</v>
      </c>
      <c r="G205" s="18">
        <v>259.39</v>
      </c>
      <c r="H205" s="18">
        <v>654065.54</v>
      </c>
      <c r="I205" s="18">
        <v>598.01</v>
      </c>
      <c r="J205" s="18">
        <v>0</v>
      </c>
      <c r="K205" s="18">
        <v>11393.79</v>
      </c>
      <c r="L205" s="19">
        <f t="shared" si="0"/>
        <v>669613.33000000007</v>
      </c>
      <c r="M205" s="8"/>
      <c r="N205" s="266"/>
    </row>
    <row r="206" spans="1:14" s="3" customFormat="1" ht="12.2" customHeight="1" x14ac:dyDescent="0.15">
      <c r="A206" s="1" t="s">
        <v>445</v>
      </c>
      <c r="B206" s="2" t="s">
        <v>341</v>
      </c>
      <c r="C206" s="2" t="s">
        <v>297</v>
      </c>
      <c r="D206" s="2" t="s">
        <v>431</v>
      </c>
      <c r="E206" s="6">
        <v>2400</v>
      </c>
      <c r="F206" s="18">
        <v>782423.24000000011</v>
      </c>
      <c r="G206" s="18">
        <v>504546.37</v>
      </c>
      <c r="H206" s="18">
        <v>5919.4399999999987</v>
      </c>
      <c r="I206" s="18">
        <v>2215.8200000000002</v>
      </c>
      <c r="J206" s="18">
        <v>0</v>
      </c>
      <c r="K206" s="18">
        <v>7708.8600000000006</v>
      </c>
      <c r="L206" s="19">
        <f t="shared" si="0"/>
        <v>1302813.7300000002</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352834.12</v>
      </c>
      <c r="G208" s="18">
        <v>196905.91999999998</v>
      </c>
      <c r="H208" s="18">
        <v>344242.98</v>
      </c>
      <c r="I208" s="18">
        <v>156710.49</v>
      </c>
      <c r="J208" s="18">
        <v>1584.9499999999998</v>
      </c>
      <c r="K208" s="18">
        <v>0</v>
      </c>
      <c r="L208" s="19">
        <f t="shared" si="0"/>
        <v>1052278.46</v>
      </c>
      <c r="M208" s="8"/>
      <c r="N208" s="266"/>
    </row>
    <row r="209" spans="1:14" s="3" customFormat="1" ht="12.2" customHeight="1" x14ac:dyDescent="0.15">
      <c r="A209" s="1" t="s">
        <v>448</v>
      </c>
      <c r="B209" s="2" t="s">
        <v>341</v>
      </c>
      <c r="C209" s="2" t="s">
        <v>300</v>
      </c>
      <c r="D209" s="2" t="s">
        <v>431</v>
      </c>
      <c r="E209" s="6">
        <v>2700</v>
      </c>
      <c r="F209" s="18">
        <v>252185.94</v>
      </c>
      <c r="G209" s="18">
        <v>105354.89</v>
      </c>
      <c r="H209" s="18">
        <f>78385.17+32830.17</f>
        <v>111215.34</v>
      </c>
      <c r="I209" s="18">
        <v>30689.02</v>
      </c>
      <c r="J209" s="18">
        <v>31185.98</v>
      </c>
      <c r="K209" s="18">
        <v>0</v>
      </c>
      <c r="L209" s="19">
        <f t="shared" si="0"/>
        <v>530631.17000000004</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6848594.2300000004</v>
      </c>
      <c r="G212" s="41">
        <f t="shared" si="1"/>
        <v>3640363.3600000008</v>
      </c>
      <c r="H212" s="41">
        <f t="shared" si="1"/>
        <v>2352513.6999999997</v>
      </c>
      <c r="I212" s="41">
        <f t="shared" si="1"/>
        <v>366040.17000000004</v>
      </c>
      <c r="J212" s="41">
        <f t="shared" si="1"/>
        <v>104424.73999999999</v>
      </c>
      <c r="K212" s="41">
        <f t="shared" si="1"/>
        <v>20419.38</v>
      </c>
      <c r="L212" s="41">
        <f t="shared" si="1"/>
        <v>13332355.58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1364935.66</v>
      </c>
      <c r="G216" s="18">
        <v>768180.79</v>
      </c>
      <c r="H216" s="18">
        <v>29427.73</v>
      </c>
      <c r="I216" s="18">
        <v>51357.600000000006</v>
      </c>
      <c r="J216" s="18">
        <v>1988.58</v>
      </c>
      <c r="K216" s="18">
        <v>410</v>
      </c>
      <c r="L216" s="19">
        <f>SUM(F216:K216)</f>
        <v>2216300.3600000003</v>
      </c>
      <c r="M216" s="8"/>
      <c r="N216" s="266"/>
    </row>
    <row r="217" spans="1:14" s="3" customFormat="1" ht="12.2" customHeight="1" x14ac:dyDescent="0.15">
      <c r="A217" s="1" t="s">
        <v>439</v>
      </c>
      <c r="B217" s="2" t="s">
        <v>346</v>
      </c>
      <c r="C217" s="2" t="s">
        <v>291</v>
      </c>
      <c r="D217" s="2" t="s">
        <v>431</v>
      </c>
      <c r="E217" s="6">
        <v>1200</v>
      </c>
      <c r="F217" s="18">
        <v>634748.4</v>
      </c>
      <c r="G217" s="18">
        <v>310512.23</v>
      </c>
      <c r="H217" s="18">
        <f>943578-71467.56</f>
        <v>872110.44</v>
      </c>
      <c r="I217" s="18">
        <v>8222.8700000000008</v>
      </c>
      <c r="J217" s="18">
        <v>0</v>
      </c>
      <c r="K217" s="18">
        <v>0</v>
      </c>
      <c r="L217" s="19">
        <f>SUM(F217:K217)</f>
        <v>1825593.94</v>
      </c>
      <c r="M217" s="8"/>
      <c r="N217" s="266"/>
    </row>
    <row r="218" spans="1:14" s="3" customFormat="1" ht="12.2" customHeight="1" x14ac:dyDescent="0.15">
      <c r="A218" s="1" t="s">
        <v>440</v>
      </c>
      <c r="B218" s="2" t="s">
        <v>346</v>
      </c>
      <c r="C218" s="2" t="s">
        <v>292</v>
      </c>
      <c r="D218" s="2" t="s">
        <v>431</v>
      </c>
      <c r="E218" s="6">
        <v>1300</v>
      </c>
      <c r="F218" s="18">
        <v>140353</v>
      </c>
      <c r="G218" s="18">
        <v>93481.710000000021</v>
      </c>
      <c r="H218" s="18">
        <v>0</v>
      </c>
      <c r="I218" s="18">
        <v>5546.5199999999995</v>
      </c>
      <c r="J218" s="18">
        <v>610.1</v>
      </c>
      <c r="K218" s="18">
        <v>0</v>
      </c>
      <c r="L218" s="19">
        <f>SUM(F218:K218)</f>
        <v>239991.33000000002</v>
      </c>
      <c r="M218" s="8"/>
      <c r="N218" s="266"/>
    </row>
    <row r="219" spans="1:14" s="3" customFormat="1" ht="12.2" customHeight="1" x14ac:dyDescent="0.15">
      <c r="A219" s="1" t="s">
        <v>441</v>
      </c>
      <c r="B219" s="2" t="s">
        <v>346</v>
      </c>
      <c r="C219" s="2" t="s">
        <v>293</v>
      </c>
      <c r="D219" s="2" t="s">
        <v>431</v>
      </c>
      <c r="E219" s="6">
        <v>1400</v>
      </c>
      <c r="F219" s="18">
        <v>21950.18</v>
      </c>
      <c r="G219" s="18">
        <v>1824.51</v>
      </c>
      <c r="H219" s="18">
        <v>8398.9500000000007</v>
      </c>
      <c r="I219" s="18">
        <v>44.99</v>
      </c>
      <c r="J219" s="18">
        <v>1826.55</v>
      </c>
      <c r="K219" s="18">
        <v>0</v>
      </c>
      <c r="L219" s="19">
        <f>SUM(F219:K219)</f>
        <v>34045.18</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262360.66000000003</v>
      </c>
      <c r="G221" s="18">
        <v>139573.66</v>
      </c>
      <c r="H221" s="18">
        <v>1351.2</v>
      </c>
      <c r="I221" s="18">
        <v>2352.2599999999998</v>
      </c>
      <c r="J221" s="18">
        <v>0</v>
      </c>
      <c r="K221" s="18">
        <v>0</v>
      </c>
      <c r="L221" s="19">
        <f t="shared" ref="L221:L227" si="2">SUM(F221:K221)</f>
        <v>405637.78000000009</v>
      </c>
      <c r="M221" s="8"/>
      <c r="N221" s="266"/>
    </row>
    <row r="222" spans="1:14" s="3" customFormat="1" ht="12.2" customHeight="1" x14ac:dyDescent="0.15">
      <c r="A222" s="1" t="s">
        <v>443</v>
      </c>
      <c r="B222" s="2" t="s">
        <v>346</v>
      </c>
      <c r="C222" s="2" t="s">
        <v>295</v>
      </c>
      <c r="D222" s="2" t="s">
        <v>431</v>
      </c>
      <c r="E222" s="6">
        <v>2200</v>
      </c>
      <c r="F222" s="18">
        <v>96571.92</v>
      </c>
      <c r="G222" s="18">
        <v>50613.62</v>
      </c>
      <c r="H222" s="18">
        <v>24364.519999999997</v>
      </c>
      <c r="I222" s="18">
        <v>4184.3</v>
      </c>
      <c r="J222" s="18">
        <v>57057.68</v>
      </c>
      <c r="K222" s="18">
        <v>0</v>
      </c>
      <c r="L222" s="19">
        <f t="shared" si="2"/>
        <v>232792.03999999998</v>
      </c>
      <c r="M222" s="8"/>
      <c r="N222" s="266"/>
    </row>
    <row r="223" spans="1:14" s="3" customFormat="1" ht="12.2" customHeight="1" x14ac:dyDescent="0.15">
      <c r="A223" s="1" t="s">
        <v>444</v>
      </c>
      <c r="B223" s="2" t="s">
        <v>346</v>
      </c>
      <c r="C223" s="2" t="s">
        <v>296</v>
      </c>
      <c r="D223" s="2" t="s">
        <v>431</v>
      </c>
      <c r="E223" s="6">
        <v>2300</v>
      </c>
      <c r="F223" s="18">
        <v>1761.71</v>
      </c>
      <c r="G223" s="18">
        <v>138.62</v>
      </c>
      <c r="H223" s="18">
        <v>349533.34</v>
      </c>
      <c r="I223" s="18">
        <v>319.58</v>
      </c>
      <c r="J223" s="18">
        <v>0</v>
      </c>
      <c r="K223" s="18">
        <v>6088.86</v>
      </c>
      <c r="L223" s="19">
        <f t="shared" si="2"/>
        <v>357842.11000000004</v>
      </c>
      <c r="M223" s="8"/>
      <c r="N223" s="266"/>
    </row>
    <row r="224" spans="1:14" s="3" customFormat="1" ht="12.2" customHeight="1" x14ac:dyDescent="0.15">
      <c r="A224" s="1" t="s">
        <v>445</v>
      </c>
      <c r="B224" s="2" t="s">
        <v>346</v>
      </c>
      <c r="C224" s="2" t="s">
        <v>297</v>
      </c>
      <c r="D224" s="2" t="s">
        <v>431</v>
      </c>
      <c r="E224" s="6">
        <v>2400</v>
      </c>
      <c r="F224" s="18">
        <v>290784.7</v>
      </c>
      <c r="G224" s="18">
        <v>136620.47</v>
      </c>
      <c r="H224" s="18">
        <v>6509.7</v>
      </c>
      <c r="I224" s="18">
        <v>713.41</v>
      </c>
      <c r="J224" s="18">
        <v>0</v>
      </c>
      <c r="K224" s="18">
        <v>2429.64</v>
      </c>
      <c r="L224" s="19">
        <f t="shared" si="2"/>
        <v>437057.92000000004</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191263.59999999998</v>
      </c>
      <c r="G226" s="18">
        <v>112442.53</v>
      </c>
      <c r="H226" s="18">
        <v>177861.03</v>
      </c>
      <c r="I226" s="18">
        <v>126900.70999999999</v>
      </c>
      <c r="J226" s="18">
        <v>4835.49</v>
      </c>
      <c r="K226" s="18">
        <v>0</v>
      </c>
      <c r="L226" s="19">
        <f t="shared" si="2"/>
        <v>613303.36</v>
      </c>
      <c r="M226" s="8"/>
      <c r="N226" s="266"/>
    </row>
    <row r="227" spans="1:14" s="3" customFormat="1" ht="12.2" customHeight="1" x14ac:dyDescent="0.15">
      <c r="A227" s="1" t="s">
        <v>448</v>
      </c>
      <c r="B227" s="2" t="s">
        <v>346</v>
      </c>
      <c r="C227" s="2" t="s">
        <v>300</v>
      </c>
      <c r="D227" s="2" t="s">
        <v>431</v>
      </c>
      <c r="E227" s="6">
        <v>2700</v>
      </c>
      <c r="F227" s="18">
        <v>134768.44</v>
      </c>
      <c r="G227" s="18">
        <v>56301.77</v>
      </c>
      <c r="H227" s="18">
        <f>41922.1+71467.56</f>
        <v>113389.66</v>
      </c>
      <c r="I227" s="18">
        <v>16400.25</v>
      </c>
      <c r="J227" s="18">
        <v>16665.82</v>
      </c>
      <c r="K227" s="18">
        <v>0</v>
      </c>
      <c r="L227" s="19">
        <f t="shared" si="2"/>
        <v>337525.94</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3139498.2700000005</v>
      </c>
      <c r="G230" s="41">
        <f>SUM(G216:G229)</f>
        <v>1669689.9100000001</v>
      </c>
      <c r="H230" s="41">
        <f>SUM(H216:H229)</f>
        <v>1582946.5699999998</v>
      </c>
      <c r="I230" s="41">
        <f>SUM(I216:I229)</f>
        <v>216042.49</v>
      </c>
      <c r="J230" s="41">
        <f>SUM(J216:J229)</f>
        <v>82984.22</v>
      </c>
      <c r="K230" s="41">
        <f t="shared" si="3"/>
        <v>8928.5</v>
      </c>
      <c r="L230" s="41">
        <f t="shared" si="3"/>
        <v>6700089.9600000009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1876532.9600000002</v>
      </c>
      <c r="G234" s="18">
        <v>1053257.8099999998</v>
      </c>
      <c r="H234" s="18">
        <v>111495.13</v>
      </c>
      <c r="I234" s="18">
        <v>118149.82</v>
      </c>
      <c r="J234" s="18">
        <v>12714.66</v>
      </c>
      <c r="K234" s="18">
        <v>10285.82</v>
      </c>
      <c r="L234" s="19">
        <f>SUM(F234:K234)</f>
        <v>3182436.1999999997</v>
      </c>
      <c r="M234" s="8"/>
      <c r="N234" s="266"/>
    </row>
    <row r="235" spans="1:14" s="3" customFormat="1" ht="12.2" customHeight="1" x14ac:dyDescent="0.15">
      <c r="A235" s="1" t="s">
        <v>439</v>
      </c>
      <c r="B235" s="2" t="s">
        <v>350</v>
      </c>
      <c r="C235" s="2" t="s">
        <v>291</v>
      </c>
      <c r="D235" s="2" t="s">
        <v>431</v>
      </c>
      <c r="E235" s="6">
        <v>1200</v>
      </c>
      <c r="F235" s="18">
        <v>522419.54</v>
      </c>
      <c r="G235" s="18">
        <v>189640</v>
      </c>
      <c r="H235" s="18">
        <f>1311578.76-9871.01-1463.92</f>
        <v>1300243.83</v>
      </c>
      <c r="I235" s="18">
        <v>13178.52</v>
      </c>
      <c r="J235" s="18">
        <v>0</v>
      </c>
      <c r="K235" s="18">
        <v>0</v>
      </c>
      <c r="L235" s="19">
        <f>SUM(F235:K235)</f>
        <v>2025481.8900000001</v>
      </c>
      <c r="M235" s="8"/>
      <c r="N235" s="266"/>
    </row>
    <row r="236" spans="1:14" s="3" customFormat="1" ht="12.2" customHeight="1" x14ac:dyDescent="0.15">
      <c r="A236" s="1" t="s">
        <v>440</v>
      </c>
      <c r="B236" s="2" t="s">
        <v>350</v>
      </c>
      <c r="C236" s="2" t="s">
        <v>292</v>
      </c>
      <c r="D236" s="2" t="s">
        <v>431</v>
      </c>
      <c r="E236" s="6">
        <v>1300</v>
      </c>
      <c r="F236" s="18">
        <v>310146.55</v>
      </c>
      <c r="G236" s="18">
        <v>166335.69</v>
      </c>
      <c r="H236" s="18">
        <v>395.7</v>
      </c>
      <c r="I236" s="18">
        <v>39294.61</v>
      </c>
      <c r="J236" s="18">
        <v>826.79</v>
      </c>
      <c r="K236" s="18">
        <v>0</v>
      </c>
      <c r="L236" s="19">
        <f>SUM(F236:K236)</f>
        <v>516999.33999999997</v>
      </c>
      <c r="M236" s="8"/>
      <c r="N236" s="266"/>
    </row>
    <row r="237" spans="1:14" s="3" customFormat="1" ht="12.2" customHeight="1" x14ac:dyDescent="0.15">
      <c r="A237" s="1" t="s">
        <v>441</v>
      </c>
      <c r="B237" s="2" t="s">
        <v>350</v>
      </c>
      <c r="C237" s="2" t="s">
        <v>293</v>
      </c>
      <c r="D237" s="2" t="s">
        <v>431</v>
      </c>
      <c r="E237" s="6">
        <v>1400</v>
      </c>
      <c r="F237" s="18">
        <v>180227.37</v>
      </c>
      <c r="G237" s="18">
        <v>59207</v>
      </c>
      <c r="H237" s="18">
        <v>106644.07</v>
      </c>
      <c r="I237" s="18">
        <v>15709.18</v>
      </c>
      <c r="J237" s="18">
        <v>9102.8700000000008</v>
      </c>
      <c r="K237" s="18">
        <v>7061.28</v>
      </c>
      <c r="L237" s="19">
        <f>SUM(F237:K237)</f>
        <v>377951.77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322891</v>
      </c>
      <c r="G239" s="18">
        <v>168098.83000000002</v>
      </c>
      <c r="H239" s="18">
        <v>1824.0199999999998</v>
      </c>
      <c r="I239" s="18">
        <v>2455.63</v>
      </c>
      <c r="J239" s="18">
        <v>983.34</v>
      </c>
      <c r="K239" s="18">
        <v>1044</v>
      </c>
      <c r="L239" s="19">
        <f t="shared" ref="L239:L245" si="4">SUM(F239:K239)</f>
        <v>497296.82000000007</v>
      </c>
      <c r="M239" s="8"/>
      <c r="N239" s="266"/>
    </row>
    <row r="240" spans="1:14" s="3" customFormat="1" ht="12.2" customHeight="1" x14ac:dyDescent="0.15">
      <c r="A240" s="1" t="s">
        <v>443</v>
      </c>
      <c r="B240" s="2" t="s">
        <v>350</v>
      </c>
      <c r="C240" s="2" t="s">
        <v>295</v>
      </c>
      <c r="D240" s="2" t="s">
        <v>431</v>
      </c>
      <c r="E240" s="6">
        <v>2200</v>
      </c>
      <c r="F240" s="18">
        <v>96922.849999999991</v>
      </c>
      <c r="G240" s="18">
        <v>31420.050000000003</v>
      </c>
      <c r="H240" s="18">
        <v>33659.189999999995</v>
      </c>
      <c r="I240" s="18">
        <v>7603.93</v>
      </c>
      <c r="J240" s="18">
        <v>72556.14</v>
      </c>
      <c r="K240" s="18">
        <v>0</v>
      </c>
      <c r="L240" s="19">
        <f t="shared" si="4"/>
        <v>242162.15999999997</v>
      </c>
      <c r="M240" s="8"/>
      <c r="N240" s="266"/>
    </row>
    <row r="241" spans="1:14" s="3" customFormat="1" ht="12.2" customHeight="1" x14ac:dyDescent="0.15">
      <c r="A241" s="1" t="s">
        <v>444</v>
      </c>
      <c r="B241" s="2" t="s">
        <v>350</v>
      </c>
      <c r="C241" s="2" t="s">
        <v>296</v>
      </c>
      <c r="D241" s="2" t="s">
        <v>431</v>
      </c>
      <c r="E241" s="6">
        <v>2300</v>
      </c>
      <c r="F241" s="18">
        <v>2378.1899999999996</v>
      </c>
      <c r="G241" s="18">
        <v>187.12</v>
      </c>
      <c r="H241" s="18">
        <v>471847.86</v>
      </c>
      <c r="I241" s="18">
        <v>431.41</v>
      </c>
      <c r="J241" s="18">
        <v>0</v>
      </c>
      <c r="K241" s="18">
        <v>8219.57</v>
      </c>
      <c r="L241" s="19">
        <f t="shared" si="4"/>
        <v>483064.14999999997</v>
      </c>
      <c r="M241" s="8"/>
      <c r="N241" s="266"/>
    </row>
    <row r="242" spans="1:14" s="3" customFormat="1" ht="12.2" customHeight="1" x14ac:dyDescent="0.15">
      <c r="A242" s="1" t="s">
        <v>445</v>
      </c>
      <c r="B242" s="2" t="s">
        <v>350</v>
      </c>
      <c r="C242" s="2" t="s">
        <v>297</v>
      </c>
      <c r="D242" s="2" t="s">
        <v>431</v>
      </c>
      <c r="E242" s="6">
        <v>2400</v>
      </c>
      <c r="F242" s="18">
        <v>660941.49</v>
      </c>
      <c r="G242" s="18">
        <v>353410.7</v>
      </c>
      <c r="H242" s="18">
        <v>10174.200000000001</v>
      </c>
      <c r="I242" s="18">
        <v>2341.56</v>
      </c>
      <c r="J242" s="18">
        <v>0</v>
      </c>
      <c r="K242" s="18">
        <v>6262</v>
      </c>
      <c r="L242" s="19">
        <f t="shared" si="4"/>
        <v>1033129.95</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346420.81000000006</v>
      </c>
      <c r="G244" s="18">
        <v>173326.68</v>
      </c>
      <c r="H244" s="18">
        <v>165622.18</v>
      </c>
      <c r="I244" s="18">
        <v>155369.45000000001</v>
      </c>
      <c r="J244" s="18">
        <v>765.75</v>
      </c>
      <c r="K244" s="18">
        <v>0</v>
      </c>
      <c r="L244" s="19">
        <f t="shared" si="4"/>
        <v>841504.87000000011</v>
      </c>
      <c r="M244" s="8"/>
      <c r="N244" s="266"/>
    </row>
    <row r="245" spans="1:14" s="3" customFormat="1" ht="12.2" customHeight="1" x14ac:dyDescent="0.15">
      <c r="A245" s="1" t="s">
        <v>448</v>
      </c>
      <c r="B245" s="2" t="s">
        <v>350</v>
      </c>
      <c r="C245" s="2" t="s">
        <v>300</v>
      </c>
      <c r="D245" s="2" t="s">
        <v>431</v>
      </c>
      <c r="E245" s="6">
        <v>2700</v>
      </c>
      <c r="F245" s="18">
        <v>183734.06</v>
      </c>
      <c r="G245" s="18">
        <v>76383.440000000031</v>
      </c>
      <c r="H245" s="18">
        <f>56547.65+9871.01+1463.92</f>
        <v>67882.58</v>
      </c>
      <c r="I245" s="18">
        <v>22139.290000000008</v>
      </c>
      <c r="J245" s="18">
        <v>22497.810000000005</v>
      </c>
      <c r="K245" s="18">
        <v>0</v>
      </c>
      <c r="L245" s="19">
        <f t="shared" si="4"/>
        <v>372637.18</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4502614.8199999994</v>
      </c>
      <c r="G248" s="41">
        <f t="shared" si="5"/>
        <v>2271267.3199999998</v>
      </c>
      <c r="H248" s="41">
        <f t="shared" si="5"/>
        <v>2269788.7599999998</v>
      </c>
      <c r="I248" s="41">
        <f t="shared" si="5"/>
        <v>376673.4</v>
      </c>
      <c r="J248" s="41">
        <f t="shared" si="5"/>
        <v>119447.36000000002</v>
      </c>
      <c r="K248" s="41">
        <f t="shared" si="5"/>
        <v>32872.67</v>
      </c>
      <c r="L248" s="41">
        <f t="shared" si="5"/>
        <v>9572664.3300000001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14490707.32</v>
      </c>
      <c r="G258" s="41">
        <f t="shared" si="8"/>
        <v>7581320.5900000017</v>
      </c>
      <c r="H258" s="41">
        <f t="shared" si="8"/>
        <v>6205249.0299999993</v>
      </c>
      <c r="I258" s="41">
        <f t="shared" si="8"/>
        <v>958756.06</v>
      </c>
      <c r="J258" s="41">
        <f t="shared" si="8"/>
        <v>306856.32000000001</v>
      </c>
      <c r="K258" s="41">
        <f t="shared" si="8"/>
        <v>62220.55</v>
      </c>
      <c r="L258" s="41">
        <f t="shared" si="8"/>
        <v>29605109.869999997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740914</v>
      </c>
      <c r="L261" s="19">
        <f>SUM(F261:K261)</f>
        <v>740914</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470098</v>
      </c>
      <c r="L262" s="19">
        <f>SUM(F262:K262)</f>
        <v>470098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65000</v>
      </c>
      <c r="L265" s="19">
        <f t="shared" ref="L265:L271" si="9">SUM(F265:K265)</f>
        <v>65000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650000</v>
      </c>
      <c r="L267" s="19">
        <f t="shared" si="9"/>
        <v>650000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1926012</v>
      </c>
      <c r="L271" s="41">
        <f t="shared" si="9"/>
        <v>1926012</v>
      </c>
      <c r="M271" s="8"/>
      <c r="N271" s="266"/>
    </row>
    <row r="272" spans="1:14" s="34" customFormat="1" ht="12.2" customHeight="1" thickTop="1" x14ac:dyDescent="0.2">
      <c r="A272" s="43" t="s">
        <v>464</v>
      </c>
      <c r="B272" s="40">
        <v>10</v>
      </c>
      <c r="C272" s="40">
        <v>18</v>
      </c>
      <c r="D272" s="39" t="s">
        <v>431</v>
      </c>
      <c r="E272" s="40"/>
      <c r="F272" s="42">
        <f t="shared" ref="F272:L272" si="11">F258+F271</f>
        <v>14490707.32</v>
      </c>
      <c r="G272" s="42">
        <f t="shared" si="11"/>
        <v>7581320.5900000017</v>
      </c>
      <c r="H272" s="42">
        <f t="shared" si="11"/>
        <v>6205249.0299999993</v>
      </c>
      <c r="I272" s="42">
        <f t="shared" si="11"/>
        <v>958756.06</v>
      </c>
      <c r="J272" s="42">
        <f t="shared" si="11"/>
        <v>306856.32000000001</v>
      </c>
      <c r="K272" s="42">
        <f t="shared" si="11"/>
        <v>1988232.55</v>
      </c>
      <c r="L272" s="42">
        <f t="shared" si="11"/>
        <v>31531121.869999997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536948.42632500001</v>
      </c>
      <c r="G277" s="18">
        <v>203142.002996</v>
      </c>
      <c r="H277" s="18">
        <v>87289.101305000018</v>
      </c>
      <c r="I277" s="18">
        <v>14474.221242</v>
      </c>
      <c r="J277" s="18">
        <v>0</v>
      </c>
      <c r="K277" s="18">
        <v>3524.2350000000001</v>
      </c>
      <c r="L277" s="19">
        <f>SUM(F277:K277)</f>
        <v>845377.98686800001</v>
      </c>
      <c r="M277" s="8"/>
      <c r="N277" s="266"/>
    </row>
    <row r="278" spans="1:14" s="3" customFormat="1" ht="12.2" customHeight="1" x14ac:dyDescent="0.15">
      <c r="A278" s="1" t="s">
        <v>439</v>
      </c>
      <c r="B278" s="2" t="s">
        <v>357</v>
      </c>
      <c r="C278" s="2" t="s">
        <v>291</v>
      </c>
      <c r="D278" s="2" t="s">
        <v>431</v>
      </c>
      <c r="E278" s="6">
        <v>1200</v>
      </c>
      <c r="F278" s="18">
        <v>346050.61920000002</v>
      </c>
      <c r="G278" s="18">
        <v>181456.8756</v>
      </c>
      <c r="H278" s="18">
        <v>0</v>
      </c>
      <c r="I278" s="18">
        <v>3439.5647000000004</v>
      </c>
      <c r="J278" s="18">
        <v>0</v>
      </c>
      <c r="K278" s="18">
        <v>0</v>
      </c>
      <c r="L278" s="19">
        <f>SUM(F278:K278)</f>
        <v>530947.05949999997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15559.240411000001</v>
      </c>
      <c r="G280" s="18">
        <v>2882.4873220000004</v>
      </c>
      <c r="H280" s="18">
        <v>240.45478600000004</v>
      </c>
      <c r="I280" s="18">
        <v>1959.0801230000002</v>
      </c>
      <c r="J280" s="18">
        <v>1143.266267</v>
      </c>
      <c r="K280" s="18">
        <v>0</v>
      </c>
      <c r="L280" s="19">
        <f>SUM(F280:K280)</f>
        <v>21784.528908999997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89888.885229000007</v>
      </c>
      <c r="G282" s="18">
        <v>30928.837081999991</v>
      </c>
      <c r="H282" s="18">
        <v>60850.580791</v>
      </c>
      <c r="I282" s="18">
        <v>12251.433337</v>
      </c>
      <c r="J282" s="18">
        <v>0</v>
      </c>
      <c r="K282" s="18">
        <v>0</v>
      </c>
      <c r="L282" s="19">
        <f t="shared" ref="L282:L288" si="12">SUM(F282:K282)</f>
        <v>193919.73643899997</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v>49847.015265000002</v>
      </c>
      <c r="G285" s="18">
        <v>9771.5614380000006</v>
      </c>
      <c r="H285" s="18">
        <v>8085.2839899999999</v>
      </c>
      <c r="I285" s="18">
        <v>4560.8509519999998</v>
      </c>
      <c r="J285" s="18">
        <v>0</v>
      </c>
      <c r="K285" s="18">
        <v>1042.1983</v>
      </c>
      <c r="L285" s="19">
        <f t="shared" si="12"/>
        <v>73306.909944999992</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1038294.18643</v>
      </c>
      <c r="G291" s="42">
        <f t="shared" si="13"/>
        <v>428181.76443799998</v>
      </c>
      <c r="H291" s="42">
        <f t="shared" si="13"/>
        <v>156465.42087200002</v>
      </c>
      <c r="I291" s="42">
        <f t="shared" si="13"/>
        <v>36685.150353999998</v>
      </c>
      <c r="J291" s="42">
        <f t="shared" si="13"/>
        <v>1143.266267</v>
      </c>
      <c r="K291" s="42">
        <f t="shared" si="13"/>
        <v>4566.4333000000006</v>
      </c>
      <c r="L291" s="41">
        <f t="shared" si="13"/>
        <v>1665336.221661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21566.250725000002</v>
      </c>
      <c r="G296" s="18">
        <v>3128.5298280000002</v>
      </c>
      <c r="H296" s="18">
        <v>37066.759865</v>
      </c>
      <c r="I296" s="18">
        <v>6468.4929059999995</v>
      </c>
      <c r="J296" s="18">
        <v>0</v>
      </c>
      <c r="K296" s="18">
        <v>1883.355</v>
      </c>
      <c r="L296" s="19">
        <f>SUM(F296:K296)</f>
        <v>70113.388324</v>
      </c>
      <c r="M296" s="8"/>
      <c r="N296" s="266"/>
    </row>
    <row r="297" spans="1:14" s="3" customFormat="1" ht="12.2" customHeight="1" x14ac:dyDescent="0.15">
      <c r="A297" s="1" t="s">
        <v>439</v>
      </c>
      <c r="B297" s="2" t="s">
        <v>358</v>
      </c>
      <c r="C297" s="2" t="s">
        <v>291</v>
      </c>
      <c r="D297" s="2" t="s">
        <v>431</v>
      </c>
      <c r="E297" s="6">
        <v>1200</v>
      </c>
      <c r="F297" s="18">
        <v>184929.82560000001</v>
      </c>
      <c r="G297" s="18">
        <v>96970.750799999994</v>
      </c>
      <c r="H297" s="18">
        <v>0</v>
      </c>
      <c r="I297" s="18">
        <v>1838.1070999999999</v>
      </c>
      <c r="J297" s="18">
        <v>0</v>
      </c>
      <c r="K297" s="18">
        <v>0</v>
      </c>
      <c r="L297" s="19">
        <f>SUM(F297:K297)</f>
        <v>283738.68350000004</v>
      </c>
      <c r="M297" s="8"/>
      <c r="N297" s="266"/>
    </row>
    <row r="298" spans="1:14" s="3" customFormat="1" ht="12.2" customHeight="1" x14ac:dyDescent="0.15">
      <c r="A298" s="1" t="s">
        <v>440</v>
      </c>
      <c r="B298" s="2" t="s">
        <v>358</v>
      </c>
      <c r="C298" s="2" t="s">
        <v>292</v>
      </c>
      <c r="D298" s="2" t="s">
        <v>431</v>
      </c>
      <c r="E298" s="6">
        <v>1300</v>
      </c>
      <c r="F298" s="18">
        <v>2841.5489024609305</v>
      </c>
      <c r="G298" s="18">
        <v>458.33575354769164</v>
      </c>
      <c r="H298" s="18">
        <v>5460.1683941081365</v>
      </c>
      <c r="I298" s="18">
        <v>1593.1663301598708</v>
      </c>
      <c r="J298" s="18">
        <v>4559.6037039698231</v>
      </c>
      <c r="K298" s="18">
        <v>1007.3760786779235</v>
      </c>
      <c r="L298" s="19">
        <f>SUM(F298:K298)</f>
        <v>15920.199162924378</v>
      </c>
      <c r="M298" s="8"/>
      <c r="N298" s="266"/>
    </row>
    <row r="299" spans="1:14" s="3" customFormat="1" ht="12.2" customHeight="1" x14ac:dyDescent="0.15">
      <c r="A299" s="1" t="s">
        <v>441</v>
      </c>
      <c r="B299" s="2" t="s">
        <v>358</v>
      </c>
      <c r="C299" s="2" t="s">
        <v>293</v>
      </c>
      <c r="D299" s="2" t="s">
        <v>431</v>
      </c>
      <c r="E299" s="6">
        <v>1400</v>
      </c>
      <c r="F299" s="18">
        <v>8314.8749229999994</v>
      </c>
      <c r="G299" s="18">
        <v>1540.404346</v>
      </c>
      <c r="H299" s="18">
        <v>128.49929800000001</v>
      </c>
      <c r="I299" s="18">
        <v>1046.9345390000001</v>
      </c>
      <c r="J299" s="18">
        <v>610.96273099999996</v>
      </c>
      <c r="K299" s="18">
        <v>0</v>
      </c>
      <c r="L299" s="19">
        <f>SUM(F299:K299)</f>
        <v>11641.675836999999</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48036.717597000003</v>
      </c>
      <c r="G301" s="18">
        <v>16528.404025999997</v>
      </c>
      <c r="H301" s="18">
        <v>32518.616263</v>
      </c>
      <c r="I301" s="18">
        <v>6547.1792409999998</v>
      </c>
      <c r="J301" s="18">
        <v>0</v>
      </c>
      <c r="K301" s="18">
        <v>0</v>
      </c>
      <c r="L301" s="19">
        <f t="shared" ref="L301:L307" si="14">SUM(F301:K301)</f>
        <v>103630.91712700001</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v>17366.440145</v>
      </c>
      <c r="G304" s="18">
        <v>3386.4523339999992</v>
      </c>
      <c r="H304" s="18">
        <v>16.654070000000001</v>
      </c>
      <c r="I304" s="18">
        <v>218.76293600000002</v>
      </c>
      <c r="J304" s="18">
        <v>0</v>
      </c>
      <c r="K304" s="18">
        <v>556.95190000000002</v>
      </c>
      <c r="L304" s="19">
        <f t="shared" si="14"/>
        <v>21545.261384999998</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283055.65789246093</v>
      </c>
      <c r="G310" s="42">
        <f t="shared" si="15"/>
        <v>122012.87708754768</v>
      </c>
      <c r="H310" s="42">
        <f t="shared" si="15"/>
        <v>75190.697890108146</v>
      </c>
      <c r="I310" s="42">
        <f t="shared" si="15"/>
        <v>17712.643052159867</v>
      </c>
      <c r="J310" s="42">
        <f t="shared" si="15"/>
        <v>5170.5664349698227</v>
      </c>
      <c r="K310" s="42">
        <f t="shared" si="15"/>
        <v>3447.6829786779235</v>
      </c>
      <c r="L310" s="41">
        <f t="shared" si="15"/>
        <v>506590.12533592444</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29113.072949999998</v>
      </c>
      <c r="G315" s="18">
        <v>4223.3171759999996</v>
      </c>
      <c r="H315" s="18">
        <v>50037.778829999988</v>
      </c>
      <c r="I315" s="18">
        <v>8732.0558519999995</v>
      </c>
      <c r="J315" s="18">
        <v>0</v>
      </c>
      <c r="K315" s="18">
        <v>2542.41</v>
      </c>
      <c r="L315" s="19">
        <f>SUM(F315:K315)</f>
        <v>94648.634807999988</v>
      </c>
      <c r="M315" s="8"/>
      <c r="N315" s="266"/>
    </row>
    <row r="316" spans="1:14" s="3" customFormat="1" ht="12.2" customHeight="1" x14ac:dyDescent="0.15">
      <c r="A316" s="1" t="s">
        <v>439</v>
      </c>
      <c r="B316" s="2" t="s">
        <v>359</v>
      </c>
      <c r="C316" s="2" t="s">
        <v>291</v>
      </c>
      <c r="D316" s="2" t="s">
        <v>431</v>
      </c>
      <c r="E316" s="6">
        <v>1200</v>
      </c>
      <c r="F316" s="18">
        <v>249643.55519999997</v>
      </c>
      <c r="G316" s="18">
        <v>130904.37359999999</v>
      </c>
      <c r="H316" s="18">
        <v>0</v>
      </c>
      <c r="I316" s="18">
        <v>2481.3281999999999</v>
      </c>
      <c r="J316" s="18">
        <v>0</v>
      </c>
      <c r="K316" s="18">
        <v>0</v>
      </c>
      <c r="L316" s="19">
        <f>SUM(F316:K316)</f>
        <v>383029.25699999998</v>
      </c>
      <c r="M316" s="8"/>
      <c r="N316" s="266"/>
    </row>
    <row r="317" spans="1:14" s="3" customFormat="1" ht="12.2" customHeight="1" x14ac:dyDescent="0.15">
      <c r="A317" s="1" t="s">
        <v>440</v>
      </c>
      <c r="B317" s="2" t="s">
        <v>359</v>
      </c>
      <c r="C317" s="2" t="s">
        <v>292</v>
      </c>
      <c r="D317" s="2" t="s">
        <v>431</v>
      </c>
      <c r="E317" s="6">
        <v>1300</v>
      </c>
      <c r="F317" s="18">
        <v>3835.9110975390699</v>
      </c>
      <c r="G317" s="18">
        <v>618.72424645230808</v>
      </c>
      <c r="H317" s="18">
        <v>7370.8816058918619</v>
      </c>
      <c r="I317" s="18">
        <v>2150.6736698401296</v>
      </c>
      <c r="J317" s="18">
        <v>6155.1762960301785</v>
      </c>
      <c r="K317" s="18">
        <v>1359.8939213220765</v>
      </c>
      <c r="L317" s="19">
        <f>SUM(F317:K317)</f>
        <v>21491.260837075624</v>
      </c>
      <c r="M317" s="8"/>
      <c r="N317" s="266"/>
    </row>
    <row r="318" spans="1:14" s="3" customFormat="1" ht="12.2" customHeight="1" x14ac:dyDescent="0.15">
      <c r="A318" s="1" t="s">
        <v>441</v>
      </c>
      <c r="B318" s="2" t="s">
        <v>359</v>
      </c>
      <c r="C318" s="2" t="s">
        <v>293</v>
      </c>
      <c r="D318" s="2" t="s">
        <v>431</v>
      </c>
      <c r="E318" s="6">
        <v>1400</v>
      </c>
      <c r="F318" s="18">
        <v>11224.554665999998</v>
      </c>
      <c r="G318" s="18">
        <v>2079.4483319999999</v>
      </c>
      <c r="H318" s="18">
        <v>173.46591600000002</v>
      </c>
      <c r="I318" s="18">
        <v>1413.2953379999999</v>
      </c>
      <c r="J318" s="18">
        <v>824.76100199999985</v>
      </c>
      <c r="K318" s="18">
        <v>0</v>
      </c>
      <c r="L318" s="19">
        <f>SUM(F318:K318)</f>
        <v>15715.525253999996</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64846.527173999995</v>
      </c>
      <c r="G320" s="18">
        <v>22312.298891999992</v>
      </c>
      <c r="H320" s="18">
        <v>43898.072945999993</v>
      </c>
      <c r="I320" s="18">
        <v>8838.2774219999992</v>
      </c>
      <c r="J320" s="18">
        <v>0</v>
      </c>
      <c r="K320" s="18">
        <v>0</v>
      </c>
      <c r="L320" s="19">
        <f t="shared" ref="L320:L326" si="16">SUM(F320:K320)</f>
        <v>139895.17643399996</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23443.594590000001</v>
      </c>
      <c r="G323" s="18">
        <v>4571.4962279999991</v>
      </c>
      <c r="H323" s="18">
        <v>22.481939999999998</v>
      </c>
      <c r="I323" s="18">
        <v>295.31611199999998</v>
      </c>
      <c r="J323" s="18">
        <v>0</v>
      </c>
      <c r="K323" s="18">
        <v>751.84979999999996</v>
      </c>
      <c r="L323" s="19">
        <f t="shared" si="16"/>
        <v>29084.738670000002</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382107.215677539</v>
      </c>
      <c r="G329" s="42">
        <f t="shared" si="17"/>
        <v>164709.6584744523</v>
      </c>
      <c r="H329" s="42">
        <f t="shared" si="17"/>
        <v>101502.68123789184</v>
      </c>
      <c r="I329" s="42">
        <f t="shared" si="17"/>
        <v>23910.946593840126</v>
      </c>
      <c r="J329" s="42">
        <f t="shared" si="17"/>
        <v>6979.9372980301787</v>
      </c>
      <c r="K329" s="42">
        <f t="shared" si="17"/>
        <v>4654.1537213220763</v>
      </c>
      <c r="L329" s="41">
        <f t="shared" si="17"/>
        <v>683864.59300307557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1703457.06</v>
      </c>
      <c r="G339" s="41">
        <f t="shared" si="20"/>
        <v>714904.3</v>
      </c>
      <c r="H339" s="41">
        <f t="shared" si="20"/>
        <v>333158.8</v>
      </c>
      <c r="I339" s="41">
        <f t="shared" si="20"/>
        <v>78308.739999999991</v>
      </c>
      <c r="J339" s="41">
        <f t="shared" si="20"/>
        <v>13293.77</v>
      </c>
      <c r="K339" s="41">
        <f t="shared" si="20"/>
        <v>12668.27</v>
      </c>
      <c r="L339" s="41">
        <f t="shared" si="20"/>
        <v>2855790.94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1703457.06</v>
      </c>
      <c r="G353" s="41">
        <f>G339</f>
        <v>714904.3</v>
      </c>
      <c r="H353" s="41">
        <f>H339</f>
        <v>333158.8</v>
      </c>
      <c r="I353" s="41">
        <f>I339</f>
        <v>78308.739999999991</v>
      </c>
      <c r="J353" s="41">
        <f>J339</f>
        <v>13293.77</v>
      </c>
      <c r="K353" s="47">
        <f>K339+K352</f>
        <v>12668.27</v>
      </c>
      <c r="L353" s="41">
        <f>L339+L352</f>
        <v>2855790.94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719.34+62569.5+14922.11+2716.93+78310.88+12425.73+1799.06+78563.37+7794.99</f>
        <v>259821.91</v>
      </c>
      <c r="I359" s="18"/>
      <c r="J359" s="18"/>
      <c r="K359" s="18"/>
      <c r="L359" s="13">
        <f>SUM(F359:K359)</f>
        <v>259821.91</v>
      </c>
      <c r="M359" s="8"/>
      <c r="N359" s="266"/>
    </row>
    <row r="360" spans="1:22" s="3" customFormat="1" ht="12.2" customHeight="1" x14ac:dyDescent="0.15">
      <c r="A360" s="1" t="s">
        <v>542</v>
      </c>
      <c r="B360" s="2" t="s">
        <v>366</v>
      </c>
      <c r="C360" s="6">
        <v>2</v>
      </c>
      <c r="D360" s="2" t="s">
        <v>431</v>
      </c>
      <c r="E360" s="6"/>
      <c r="F360" s="18"/>
      <c r="G360" s="18"/>
      <c r="H360" s="18">
        <f>100340.7</f>
        <v>100340.7</v>
      </c>
      <c r="I360" s="18"/>
      <c r="J360" s="18"/>
      <c r="K360" s="18"/>
      <c r="L360" s="19">
        <f>SUM(F360:K360)</f>
        <v>100340.7</v>
      </c>
      <c r="M360" s="8"/>
      <c r="N360" s="266"/>
    </row>
    <row r="361" spans="1:22" s="3" customFormat="1" ht="12.2" customHeight="1" x14ac:dyDescent="0.15">
      <c r="A361" s="3" t="s">
        <v>543</v>
      </c>
      <c r="B361" s="2" t="s">
        <v>366</v>
      </c>
      <c r="C361" s="6">
        <v>3</v>
      </c>
      <c r="D361" s="2" t="s">
        <v>431</v>
      </c>
      <c r="E361" s="6"/>
      <c r="F361" s="18"/>
      <c r="G361" s="18"/>
      <c r="H361" s="18">
        <f>132338.37+280.3+1448.67+272.25</f>
        <v>134339.59</v>
      </c>
      <c r="I361" s="18"/>
      <c r="J361" s="18"/>
      <c r="K361" s="18"/>
      <c r="L361" s="19">
        <f>SUM(F361:K361)</f>
        <v>134339.59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494502.19999999995</v>
      </c>
      <c r="I363" s="47">
        <f t="shared" si="22"/>
        <v>0</v>
      </c>
      <c r="J363" s="47">
        <f t="shared" si="22"/>
        <v>0</v>
      </c>
      <c r="K363" s="47">
        <f t="shared" si="22"/>
        <v>0</v>
      </c>
      <c r="L363" s="47">
        <f t="shared" si="22"/>
        <v>494502.19999999995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f>179638.21+6230.34+21.28</f>
        <v>185889.83</v>
      </c>
      <c r="I390" s="18"/>
      <c r="J390" s="24" t="s">
        <v>288</v>
      </c>
      <c r="K390" s="24" t="s">
        <v>288</v>
      </c>
      <c r="L390" s="56">
        <f t="shared" si="25"/>
        <v>185889.83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185889.83</v>
      </c>
      <c r="I394" s="65">
        <f>SUM(I388:I393)</f>
        <v>0</v>
      </c>
      <c r="J394" s="45" t="s">
        <v>288</v>
      </c>
      <c r="K394" s="45" t="s">
        <v>288</v>
      </c>
      <c r="L394" s="47">
        <f>SUM(L388:L393)</f>
        <v>185889.83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650000</v>
      </c>
      <c r="H398" s="18"/>
      <c r="I398" s="18"/>
      <c r="J398" s="24" t="s">
        <v>288</v>
      </c>
      <c r="K398" s="24" t="s">
        <v>288</v>
      </c>
      <c r="L398" s="56">
        <f t="shared" si="26"/>
        <v>650000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261065.42-300</f>
        <v>260765.42</v>
      </c>
      <c r="I401" s="18"/>
      <c r="J401" s="24" t="s">
        <v>288</v>
      </c>
      <c r="K401" s="24" t="s">
        <v>288</v>
      </c>
      <c r="L401" s="56">
        <f t="shared" si="26"/>
        <v>260765.42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650000</v>
      </c>
      <c r="H402" s="47">
        <f>SUM(H396:H401)</f>
        <v>260765.42</v>
      </c>
      <c r="I402" s="47">
        <f>SUM(I396:I401)</f>
        <v>0</v>
      </c>
      <c r="J402" s="45" t="s">
        <v>288</v>
      </c>
      <c r="K402" s="45" t="s">
        <v>288</v>
      </c>
      <c r="L402" s="47">
        <f>SUM(L396:L401)</f>
        <v>910765.42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650000</v>
      </c>
      <c r="H409" s="47">
        <f>H394+H402+H408</f>
        <v>446655.25</v>
      </c>
      <c r="I409" s="47">
        <f>I394+I402+I408</f>
        <v>0</v>
      </c>
      <c r="J409" s="24" t="s">
        <v>288</v>
      </c>
      <c r="K409" s="24" t="s">
        <v>288</v>
      </c>
      <c r="L409" s="47">
        <f>L394+L402+L408</f>
        <v>1096655.25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169852</v>
      </c>
      <c r="I427" s="18"/>
      <c r="J427" s="18"/>
      <c r="K427" s="18"/>
      <c r="L427" s="56">
        <f t="shared" si="29"/>
        <v>169852</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169852</v>
      </c>
      <c r="I428" s="47">
        <f t="shared" si="30"/>
        <v>0</v>
      </c>
      <c r="J428" s="47">
        <f t="shared" si="30"/>
        <v>0</v>
      </c>
      <c r="K428" s="47">
        <f t="shared" si="30"/>
        <v>0</v>
      </c>
      <c r="L428" s="47">
        <f t="shared" si="30"/>
        <v>169852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169852</v>
      </c>
      <c r="I435" s="47">
        <f t="shared" si="32"/>
        <v>0</v>
      </c>
      <c r="J435" s="47">
        <f t="shared" si="32"/>
        <v>0</v>
      </c>
      <c r="K435" s="47">
        <f t="shared" si="32"/>
        <v>0</v>
      </c>
      <c r="L435" s="47">
        <f t="shared" si="32"/>
        <v>169852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f>6898427.68+159002.41+650000</f>
        <v>7707430.0899999999</v>
      </c>
      <c r="H441" s="18"/>
      <c r="I441" s="56">
        <f t="shared" si="33"/>
        <v>7707430.0899999999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7707430.0899999999</v>
      </c>
      <c r="H447" s="13">
        <f>SUM(H440:H446)</f>
        <v>0</v>
      </c>
      <c r="I447" s="13">
        <f>SUM(I440:I446)</f>
        <v>7707430.0899999999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7057430.09+650000</f>
        <v>7707430.0899999999</v>
      </c>
      <c r="H460" s="18"/>
      <c r="I460" s="56">
        <f t="shared" si="34"/>
        <v>7707430.0899999999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7707430.0899999999</v>
      </c>
      <c r="H461" s="83">
        <f>SUM(H455:H460)</f>
        <v>0</v>
      </c>
      <c r="I461" s="83">
        <f>SUM(I455:I460)</f>
        <v>7707430.0899999999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7707430.0899999999</v>
      </c>
      <c r="H462" s="42">
        <f>H453+H461</f>
        <v>0</v>
      </c>
      <c r="I462" s="42">
        <f>I453+I461</f>
        <v>7707430.0899999999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1564161.95</v>
      </c>
      <c r="G466" s="18">
        <v>-78002.06</v>
      </c>
      <c r="H466" s="18">
        <v>-270976.39</v>
      </c>
      <c r="I466" s="18">
        <v>0</v>
      </c>
      <c r="J466" s="18">
        <v>6780626.8399999999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33535401.48-1450000</f>
        <v>32085401.48</v>
      </c>
      <c r="G469" s="18">
        <v>696840.66</v>
      </c>
      <c r="H469" s="18">
        <v>2440815.0099999998</v>
      </c>
      <c r="I469" s="18"/>
      <c r="J469" s="18">
        <f>446655.25+650000</f>
        <v>1096655.25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32085401.48</v>
      </c>
      <c r="G471" s="53">
        <f>SUM(G469:G470)</f>
        <v>696840.66</v>
      </c>
      <c r="H471" s="53">
        <f>SUM(H469:H470)</f>
        <v>2440815.0099999998</v>
      </c>
      <c r="I471" s="53">
        <f>SUM(I469:I470)</f>
        <v>0</v>
      </c>
      <c r="J471" s="53">
        <f>SUM(J469:J470)</f>
        <v>1096655.25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31531121.870000001</v>
      </c>
      <c r="G473" s="18">
        <v>494502.2</v>
      </c>
      <c r="H473" s="18">
        <v>2855790.94</v>
      </c>
      <c r="I473" s="18"/>
      <c r="J473" s="18">
        <v>169852</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31531121.870000001</v>
      </c>
      <c r="G475" s="53">
        <f>SUM(G473:G474)</f>
        <v>494502.2</v>
      </c>
      <c r="H475" s="53">
        <f>SUM(H473:H474)</f>
        <v>2855790.94</v>
      </c>
      <c r="I475" s="53">
        <f>SUM(I473:I474)</f>
        <v>0</v>
      </c>
      <c r="J475" s="53">
        <f>SUM(J473:J474)</f>
        <v>169852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2118441.5599999987</v>
      </c>
      <c r="G477" s="53">
        <f>(G466+G471)- G475</f>
        <v>124336.40000000008</v>
      </c>
      <c r="H477" s="53">
        <f>(H466+H471)- H475</f>
        <v>-685952.3200000003</v>
      </c>
      <c r="I477" s="53">
        <f>(I466+I471)- I475</f>
        <v>0</v>
      </c>
      <c r="J477" s="53">
        <f>(J466+J471)- J475</f>
        <v>7707430.0899999999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11195000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3.58</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8390000</v>
      </c>
      <c r="G496" s="18"/>
      <c r="H496" s="18"/>
      <c r="I496" s="18"/>
      <c r="J496" s="18"/>
      <c r="K496" s="53">
        <f>SUM(F496:J496)</f>
        <v>8390000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560000</v>
      </c>
      <c r="G498" s="18"/>
      <c r="H498" s="18"/>
      <c r="I498" s="18"/>
      <c r="J498" s="18"/>
      <c r="K498" s="53">
        <f t="shared" si="35"/>
        <v>560000</v>
      </c>
      <c r="L498" s="24" t="s">
        <v>288</v>
      </c>
      <c r="N498" s="265"/>
    </row>
    <row r="499" spans="1:14" s="52" customFormat="1" ht="12.2" customHeight="1" x14ac:dyDescent="0.2">
      <c r="A499" s="200" t="s">
        <v>622</v>
      </c>
      <c r="B499" s="201">
        <v>20</v>
      </c>
      <c r="C499" s="202">
        <v>9</v>
      </c>
      <c r="D499" s="203" t="s">
        <v>432</v>
      </c>
      <c r="E499" s="202"/>
      <c r="F499" s="204">
        <f>8390000-560000</f>
        <v>7830000</v>
      </c>
      <c r="G499" s="204"/>
      <c r="H499" s="204"/>
      <c r="I499" s="204"/>
      <c r="J499" s="204"/>
      <c r="K499" s="205">
        <f t="shared" si="35"/>
        <v>7830000</v>
      </c>
      <c r="L499" s="206" t="s">
        <v>288</v>
      </c>
      <c r="N499" s="265"/>
    </row>
    <row r="500" spans="1:14" s="52" customFormat="1" ht="12.2" customHeight="1" thickBot="1" x14ac:dyDescent="0.25">
      <c r="A500" s="22" t="s">
        <v>623</v>
      </c>
      <c r="B500" s="75">
        <v>20</v>
      </c>
      <c r="C500" s="115">
        <v>10</v>
      </c>
      <c r="D500" s="2" t="s">
        <v>432</v>
      </c>
      <c r="E500" s="115"/>
      <c r="F500" s="18">
        <v>2747149</v>
      </c>
      <c r="G500" s="18"/>
      <c r="H500" s="18"/>
      <c r="I500" s="18"/>
      <c r="J500" s="18"/>
      <c r="K500" s="53">
        <f t="shared" si="35"/>
        <v>2747149</v>
      </c>
      <c r="L500" s="24" t="s">
        <v>288</v>
      </c>
      <c r="N500" s="265"/>
    </row>
    <row r="501" spans="1:14" s="52" customFormat="1" ht="12.2" customHeight="1" thickTop="1" x14ac:dyDescent="0.2">
      <c r="A501" s="139" t="s">
        <v>624</v>
      </c>
      <c r="B501" s="44">
        <v>20</v>
      </c>
      <c r="C501" s="195">
        <v>11</v>
      </c>
      <c r="D501" s="39" t="s">
        <v>432</v>
      </c>
      <c r="E501" s="195"/>
      <c r="F501" s="42">
        <f>SUM(F499:F500)</f>
        <v>10577149</v>
      </c>
      <c r="G501" s="42">
        <f>SUM(G499:G500)</f>
        <v>0</v>
      </c>
      <c r="H501" s="42">
        <f>SUM(H499:H500)</f>
        <v>0</v>
      </c>
      <c r="I501" s="42">
        <f>SUM(I499:I500)</f>
        <v>0</v>
      </c>
      <c r="J501" s="42">
        <f>SUM(J499:J500)</f>
        <v>0</v>
      </c>
      <c r="K501" s="42">
        <f t="shared" si="35"/>
        <v>10577149</v>
      </c>
      <c r="L501" s="45" t="s">
        <v>288</v>
      </c>
      <c r="N501" s="265"/>
    </row>
    <row r="502" spans="1:14" s="52" customFormat="1" ht="12.2" customHeight="1" x14ac:dyDescent="0.2">
      <c r="A502" s="200" t="s">
        <v>651</v>
      </c>
      <c r="B502" s="201">
        <v>20</v>
      </c>
      <c r="C502" s="202">
        <v>12</v>
      </c>
      <c r="D502" s="203" t="s">
        <v>432</v>
      </c>
      <c r="E502" s="202"/>
      <c r="F502" s="204">
        <v>560000</v>
      </c>
      <c r="G502" s="204"/>
      <c r="H502" s="204"/>
      <c r="I502" s="204"/>
      <c r="J502" s="204"/>
      <c r="K502" s="205">
        <f t="shared" si="35"/>
        <v>560000</v>
      </c>
      <c r="L502" s="206" t="s">
        <v>288</v>
      </c>
      <c r="N502" s="265"/>
    </row>
    <row r="503" spans="1:14" s="52" customFormat="1" ht="12.2" customHeight="1" thickBot="1" x14ac:dyDescent="0.25">
      <c r="A503" s="22" t="s">
        <v>625</v>
      </c>
      <c r="B503" s="75">
        <v>20</v>
      </c>
      <c r="C503" s="115">
        <v>13</v>
      </c>
      <c r="D503" s="2" t="s">
        <v>432</v>
      </c>
      <c r="E503" s="115"/>
      <c r="F503" s="18">
        <v>378750</v>
      </c>
      <c r="G503" s="18"/>
      <c r="H503" s="18"/>
      <c r="I503" s="18"/>
      <c r="J503" s="18"/>
      <c r="K503" s="53">
        <f t="shared" si="35"/>
        <v>378750</v>
      </c>
      <c r="L503" s="24" t="s">
        <v>288</v>
      </c>
      <c r="N503" s="265"/>
    </row>
    <row r="504" spans="1:14" s="52" customFormat="1" ht="12.2" customHeight="1" thickTop="1" x14ac:dyDescent="0.2">
      <c r="A504" s="139" t="s">
        <v>626</v>
      </c>
      <c r="B504" s="44">
        <v>20</v>
      </c>
      <c r="C504" s="195">
        <v>14</v>
      </c>
      <c r="D504" s="39" t="s">
        <v>432</v>
      </c>
      <c r="E504" s="195"/>
      <c r="F504" s="42">
        <f>SUM(F502:F503)</f>
        <v>938750</v>
      </c>
      <c r="G504" s="42">
        <f>SUM(G502:G503)</f>
        <v>0</v>
      </c>
      <c r="H504" s="42">
        <f>SUM(H502:H503)</f>
        <v>0</v>
      </c>
      <c r="I504" s="42">
        <f>SUM(I502:I503)</f>
        <v>0</v>
      </c>
      <c r="J504" s="42">
        <f>SUM(J502:J503)</f>
        <v>0</v>
      </c>
      <c r="K504" s="42">
        <f t="shared" si="35"/>
        <v>938750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2272613.0992000001</v>
      </c>
      <c r="G522" s="18">
        <f>G199+G278</f>
        <v>935853.35560000013</v>
      </c>
      <c r="H522" s="18">
        <f>H199+H278-H527</f>
        <v>772439.66</v>
      </c>
      <c r="I522" s="18">
        <f>I199+I278</f>
        <v>23067.5347</v>
      </c>
      <c r="J522" s="18">
        <f>J199+J278</f>
        <v>0</v>
      </c>
      <c r="K522" s="18">
        <f>K199+K278</f>
        <v>0</v>
      </c>
      <c r="L522" s="88">
        <f>SUM(F522:K522)</f>
        <v>4003973.6495000008</v>
      </c>
      <c r="N522" s="265"/>
    </row>
    <row r="523" spans="1:14" s="52" customFormat="1" ht="12.2" customHeight="1" x14ac:dyDescent="0.2">
      <c r="A523" s="22" t="s">
        <v>634</v>
      </c>
      <c r="B523" s="105">
        <v>21</v>
      </c>
      <c r="C523" s="115">
        <v>2</v>
      </c>
      <c r="D523" s="2" t="s">
        <v>432</v>
      </c>
      <c r="E523" s="115"/>
      <c r="F523" s="18">
        <f>F217+F296</f>
        <v>656314.65072500007</v>
      </c>
      <c r="G523" s="18">
        <f>G217+G296</f>
        <v>313640.75982799998</v>
      </c>
      <c r="H523" s="18">
        <f>H217+H296-H528</f>
        <v>727768.12986500002</v>
      </c>
      <c r="I523" s="18">
        <f>I217+I296</f>
        <v>14691.362906</v>
      </c>
      <c r="J523" s="18">
        <f>J217+J296</f>
        <v>0</v>
      </c>
      <c r="K523" s="18">
        <f>K217+K296</f>
        <v>1883.355</v>
      </c>
      <c r="L523" s="88">
        <f>SUM(F523:K523)</f>
        <v>1714298.2583240001</v>
      </c>
      <c r="N523" s="265"/>
    </row>
    <row r="524" spans="1:14" s="52" customFormat="1" ht="12.2" customHeight="1" thickBot="1" x14ac:dyDescent="0.25">
      <c r="A524" s="22" t="s">
        <v>635</v>
      </c>
      <c r="B524" s="105">
        <v>21</v>
      </c>
      <c r="C524" s="115">
        <v>3</v>
      </c>
      <c r="D524" s="2" t="s">
        <v>432</v>
      </c>
      <c r="E524" s="115"/>
      <c r="F524" s="18">
        <f>F235+F315</f>
        <v>551532.61294999998</v>
      </c>
      <c r="G524" s="18">
        <f t="shared" ref="G524:K524" si="36">G235+G315</f>
        <v>193863.31717600001</v>
      </c>
      <c r="H524" s="18">
        <f>H235+H315-H529</f>
        <v>1105390.85883</v>
      </c>
      <c r="I524" s="18">
        <f t="shared" si="36"/>
        <v>21910.575852000002</v>
      </c>
      <c r="J524" s="18">
        <f t="shared" si="36"/>
        <v>0</v>
      </c>
      <c r="K524" s="18">
        <f t="shared" si="36"/>
        <v>2542.41</v>
      </c>
      <c r="L524" s="88">
        <f>SUM(F524:K524)</f>
        <v>1875239.7748079998</v>
      </c>
      <c r="N524" s="265"/>
    </row>
    <row r="525" spans="1:14" s="52" customFormat="1" ht="12.2" customHeight="1" thickTop="1" x14ac:dyDescent="0.2">
      <c r="A525" s="139" t="s">
        <v>63</v>
      </c>
      <c r="B525" s="107">
        <v>21</v>
      </c>
      <c r="C525" s="195">
        <v>4</v>
      </c>
      <c r="D525" s="196" t="s">
        <v>432</v>
      </c>
      <c r="E525" s="195"/>
      <c r="F525" s="108">
        <f>SUM(F522:F524)</f>
        <v>3480460.3628750001</v>
      </c>
      <c r="G525" s="108">
        <f t="shared" ref="G525:L525" si="37">SUM(G522:G524)</f>
        <v>1443357.4326040002</v>
      </c>
      <c r="H525" s="108">
        <f t="shared" si="37"/>
        <v>2605598.6486950004</v>
      </c>
      <c r="I525" s="108">
        <f t="shared" si="37"/>
        <v>59669.473458</v>
      </c>
      <c r="J525" s="108">
        <f t="shared" si="37"/>
        <v>0</v>
      </c>
      <c r="K525" s="108">
        <f t="shared" si="37"/>
        <v>4425.7649999999994</v>
      </c>
      <c r="L525" s="89">
        <f t="shared" si="37"/>
        <v>7593511.6826320002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339462.39</v>
      </c>
      <c r="I527" s="18"/>
      <c r="J527" s="18"/>
      <c r="K527" s="18"/>
      <c r="L527" s="88">
        <f>SUM(F527:K527)</f>
        <v>339462.39</v>
      </c>
      <c r="M527" s="8"/>
      <c r="N527" s="266"/>
    </row>
    <row r="528" spans="1:14" s="3" customFormat="1" ht="12.2" customHeight="1" x14ac:dyDescent="0.15">
      <c r="A528" s="22" t="s">
        <v>634</v>
      </c>
      <c r="B528" s="105">
        <v>21</v>
      </c>
      <c r="C528" s="115">
        <v>6</v>
      </c>
      <c r="D528" s="2" t="s">
        <v>432</v>
      </c>
      <c r="E528" s="115"/>
      <c r="F528" s="18"/>
      <c r="G528" s="18"/>
      <c r="H528" s="18">
        <v>181409.07</v>
      </c>
      <c r="I528" s="18"/>
      <c r="J528" s="18"/>
      <c r="K528" s="18"/>
      <c r="L528" s="88">
        <f>SUM(F528:K528)</f>
        <v>181409.07</v>
      </c>
      <c r="M528" s="8"/>
      <c r="N528" s="266"/>
    </row>
    <row r="529" spans="1:14" s="3" customFormat="1" ht="12.2" customHeight="1" thickBot="1" x14ac:dyDescent="0.2">
      <c r="A529" s="22" t="s">
        <v>635</v>
      </c>
      <c r="B529" s="118">
        <v>21</v>
      </c>
      <c r="C529" s="118">
        <v>7</v>
      </c>
      <c r="D529" s="2" t="s">
        <v>432</v>
      </c>
      <c r="E529" s="118"/>
      <c r="F529" s="18"/>
      <c r="G529" s="18"/>
      <c r="H529" s="18">
        <v>244890.75</v>
      </c>
      <c r="I529" s="18"/>
      <c r="J529" s="18"/>
      <c r="K529" s="18"/>
      <c r="L529" s="88">
        <f>SUM(F529:K529)</f>
        <v>244890.75</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765762.21</v>
      </c>
      <c r="I530" s="89">
        <f t="shared" si="38"/>
        <v>0</v>
      </c>
      <c r="J530" s="89">
        <f t="shared" si="38"/>
        <v>0</v>
      </c>
      <c r="K530" s="89">
        <f t="shared" si="38"/>
        <v>0</v>
      </c>
      <c r="L530" s="89">
        <f t="shared" si="38"/>
        <v>765762.21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48514.74</v>
      </c>
      <c r="G532" s="18">
        <v>27074.17</v>
      </c>
      <c r="H532" s="18">
        <v>1414</v>
      </c>
      <c r="I532" s="18">
        <v>591.48</v>
      </c>
      <c r="J532" s="18">
        <v>0</v>
      </c>
      <c r="K532" s="18">
        <v>289.54000000000002</v>
      </c>
      <c r="L532" s="88">
        <f>SUM(F532:K532)</f>
        <v>77883.929999999993</v>
      </c>
      <c r="M532" s="8"/>
      <c r="N532" s="266"/>
    </row>
    <row r="533" spans="1:14" s="3" customFormat="1" ht="12.2" customHeight="1" x14ac:dyDescent="0.15">
      <c r="A533" s="22" t="s">
        <v>634</v>
      </c>
      <c r="B533" s="105">
        <v>21</v>
      </c>
      <c r="C533" s="105">
        <v>10</v>
      </c>
      <c r="D533" s="2" t="s">
        <v>432</v>
      </c>
      <c r="E533" s="105"/>
      <c r="F533" s="18">
        <v>25926.33</v>
      </c>
      <c r="G533" s="18">
        <v>14468.47</v>
      </c>
      <c r="H533" s="18">
        <v>755.64</v>
      </c>
      <c r="I533" s="18">
        <v>316.08999999999997</v>
      </c>
      <c r="J533" s="18">
        <v>0</v>
      </c>
      <c r="K533" s="18">
        <v>154.72999999999999</v>
      </c>
      <c r="L533" s="88">
        <f>SUM(F533:K533)</f>
        <v>41621.26</v>
      </c>
      <c r="M533" s="8"/>
      <c r="N533" s="266"/>
    </row>
    <row r="534" spans="1:14" s="3" customFormat="1" ht="12.2" customHeight="1" thickBot="1" x14ac:dyDescent="0.2">
      <c r="A534" s="22" t="s">
        <v>635</v>
      </c>
      <c r="B534" s="105">
        <v>21</v>
      </c>
      <c r="C534" s="105">
        <v>11</v>
      </c>
      <c r="D534" s="2" t="s">
        <v>432</v>
      </c>
      <c r="E534" s="105"/>
      <c r="F534" s="18">
        <v>34998.89968068197</v>
      </c>
      <c r="G534" s="18">
        <v>19531.517436647155</v>
      </c>
      <c r="H534" s="18">
        <v>1020.0640531881185</v>
      </c>
      <c r="I534" s="18">
        <v>426.69552392058603</v>
      </c>
      <c r="J534" s="18">
        <v>0</v>
      </c>
      <c r="K534" s="18">
        <v>208.87385219445693</v>
      </c>
      <c r="L534" s="88">
        <f>SUM(F534:K534)</f>
        <v>56186.050546632287</v>
      </c>
      <c r="M534" s="8"/>
      <c r="N534" s="266"/>
    </row>
    <row r="535" spans="1:14" s="3" customFormat="1" ht="12.2" customHeight="1" thickTop="1" x14ac:dyDescent="0.15">
      <c r="A535" s="139" t="s">
        <v>67</v>
      </c>
      <c r="B535" s="107">
        <v>21</v>
      </c>
      <c r="C535" s="107">
        <v>12</v>
      </c>
      <c r="D535" s="158" t="s">
        <v>432</v>
      </c>
      <c r="E535" s="107"/>
      <c r="F535" s="89">
        <f>SUM(F532:F534)</f>
        <v>109439.96968068197</v>
      </c>
      <c r="G535" s="89">
        <f t="shared" ref="G535:L535" si="39">SUM(G532:G534)</f>
        <v>61074.157436647154</v>
      </c>
      <c r="H535" s="89">
        <f t="shared" si="39"/>
        <v>3189.7040531881185</v>
      </c>
      <c r="I535" s="89">
        <f t="shared" si="39"/>
        <v>1334.265523920586</v>
      </c>
      <c r="J535" s="89">
        <f t="shared" si="39"/>
        <v>0</v>
      </c>
      <c r="K535" s="89">
        <f t="shared" si="39"/>
        <v>653.14385219445694</v>
      </c>
      <c r="L535" s="89">
        <f t="shared" si="39"/>
        <v>175691.2405466323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32830.17</v>
      </c>
      <c r="I542" s="18"/>
      <c r="J542" s="18"/>
      <c r="K542" s="18"/>
      <c r="L542" s="88">
        <f>SUM(F542:K542)</f>
        <v>32830.17</v>
      </c>
      <c r="M542" s="8"/>
      <c r="N542" s="266"/>
    </row>
    <row r="543" spans="1:14" s="3" customFormat="1" ht="12.2" customHeight="1" x14ac:dyDescent="0.15">
      <c r="A543" s="22" t="s">
        <v>634</v>
      </c>
      <c r="B543" s="105">
        <v>21</v>
      </c>
      <c r="C543" s="105">
        <v>18</v>
      </c>
      <c r="D543" s="2" t="s">
        <v>432</v>
      </c>
      <c r="E543" s="105"/>
      <c r="F543" s="18"/>
      <c r="G543" s="18"/>
      <c r="H543" s="18">
        <v>71467.56</v>
      </c>
      <c r="I543" s="18"/>
      <c r="J543" s="18"/>
      <c r="K543" s="18"/>
      <c r="L543" s="88">
        <f>SUM(F543:K543)</f>
        <v>71467.56</v>
      </c>
      <c r="M543" s="8"/>
      <c r="N543" s="266"/>
    </row>
    <row r="544" spans="1:14" s="3" customFormat="1" ht="12.2" customHeight="1" thickBot="1" x14ac:dyDescent="0.2">
      <c r="A544" s="22" t="s">
        <v>635</v>
      </c>
      <c r="B544" s="105">
        <v>21</v>
      </c>
      <c r="C544" s="105">
        <v>19</v>
      </c>
      <c r="D544" s="2" t="s">
        <v>432</v>
      </c>
      <c r="E544" s="105"/>
      <c r="F544" s="18"/>
      <c r="G544" s="18"/>
      <c r="H544" s="18">
        <v>9871.01</v>
      </c>
      <c r="I544" s="18"/>
      <c r="J544" s="18"/>
      <c r="K544" s="18"/>
      <c r="L544" s="88">
        <f>SUM(F544:K544)</f>
        <v>9871.01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114168.73999999999</v>
      </c>
      <c r="I545" s="193">
        <f t="shared" si="41"/>
        <v>0</v>
      </c>
      <c r="J545" s="193">
        <f t="shared" si="41"/>
        <v>0</v>
      </c>
      <c r="K545" s="193">
        <f t="shared" si="41"/>
        <v>0</v>
      </c>
      <c r="L545" s="193">
        <f t="shared" si="41"/>
        <v>114168.73999999999</v>
      </c>
      <c r="M545" s="8"/>
      <c r="N545" s="266"/>
    </row>
    <row r="546" spans="1:14" s="3" customFormat="1" ht="12.2" customHeight="1" thickTop="1" x14ac:dyDescent="0.15">
      <c r="A546" s="98" t="s">
        <v>72</v>
      </c>
      <c r="B546" s="107">
        <v>21</v>
      </c>
      <c r="C546" s="107">
        <v>21</v>
      </c>
      <c r="D546" s="158" t="s">
        <v>432</v>
      </c>
      <c r="E546" s="107"/>
      <c r="F546" s="89">
        <f>F525+F530+F535+F540+F545</f>
        <v>3589900.3325556819</v>
      </c>
      <c r="G546" s="89">
        <f t="shared" ref="G546:L546" si="42">G525+G530+G535+G540+G545</f>
        <v>1504431.5900406474</v>
      </c>
      <c r="H546" s="89">
        <f t="shared" si="42"/>
        <v>3488719.3027481884</v>
      </c>
      <c r="I546" s="89">
        <f t="shared" si="42"/>
        <v>61003.738981920586</v>
      </c>
      <c r="J546" s="89">
        <f t="shared" si="42"/>
        <v>0</v>
      </c>
      <c r="K546" s="89">
        <f t="shared" si="42"/>
        <v>5078.9088521944559</v>
      </c>
      <c r="L546" s="89">
        <f t="shared" si="42"/>
        <v>8649133.8731786329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4003973.6495000008</v>
      </c>
      <c r="G550" s="87">
        <f>L527</f>
        <v>339462.39</v>
      </c>
      <c r="H550" s="87">
        <f>L532</f>
        <v>77883.929999999993</v>
      </c>
      <c r="I550" s="87">
        <f>L537</f>
        <v>0</v>
      </c>
      <c r="J550" s="87">
        <f>L542</f>
        <v>32830.17</v>
      </c>
      <c r="K550" s="87">
        <f>SUM(F550:J550)</f>
        <v>4454150.1395000005</v>
      </c>
      <c r="L550" s="24" t="s">
        <v>288</v>
      </c>
      <c r="M550" s="8"/>
      <c r="N550" s="266"/>
    </row>
    <row r="551" spans="1:14" s="3" customFormat="1" ht="12.2" customHeight="1" x14ac:dyDescent="0.15">
      <c r="A551" s="22" t="s">
        <v>634</v>
      </c>
      <c r="B551" s="75">
        <v>21</v>
      </c>
      <c r="C551" s="75">
        <v>23</v>
      </c>
      <c r="D551" s="2" t="s">
        <v>432</v>
      </c>
      <c r="E551" s="75"/>
      <c r="F551" s="87">
        <f>L523</f>
        <v>1714298.2583240001</v>
      </c>
      <c r="G551" s="87">
        <f>L528</f>
        <v>181409.07</v>
      </c>
      <c r="H551" s="87">
        <f>L533</f>
        <v>41621.26</v>
      </c>
      <c r="I551" s="87">
        <f>L538</f>
        <v>0</v>
      </c>
      <c r="J551" s="87">
        <f>L543</f>
        <v>71467.56</v>
      </c>
      <c r="K551" s="87">
        <f>SUM(F551:J551)</f>
        <v>2008796.1483240002</v>
      </c>
      <c r="L551" s="24" t="s">
        <v>288</v>
      </c>
      <c r="M551" s="8"/>
      <c r="N551" s="266"/>
    </row>
    <row r="552" spans="1:14" s="3" customFormat="1" ht="12.2" customHeight="1" thickBot="1" x14ac:dyDescent="0.2">
      <c r="A552" s="22" t="s">
        <v>635</v>
      </c>
      <c r="B552" s="75">
        <v>21</v>
      </c>
      <c r="C552" s="75">
        <v>24</v>
      </c>
      <c r="D552" s="2" t="s">
        <v>432</v>
      </c>
      <c r="E552" s="75"/>
      <c r="F552" s="87">
        <f>L524</f>
        <v>1875239.7748079998</v>
      </c>
      <c r="G552" s="87">
        <f>L529</f>
        <v>244890.75</v>
      </c>
      <c r="H552" s="87">
        <f>L534</f>
        <v>56186.050546632287</v>
      </c>
      <c r="I552" s="87">
        <f>L539</f>
        <v>0</v>
      </c>
      <c r="J552" s="87">
        <f>L544</f>
        <v>9871.01</v>
      </c>
      <c r="K552" s="87">
        <f>SUM(F552:J552)</f>
        <v>2186187.5853546318</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7593511.6826320002</v>
      </c>
      <c r="G553" s="89">
        <f t="shared" si="43"/>
        <v>765762.21</v>
      </c>
      <c r="H553" s="89">
        <f t="shared" si="43"/>
        <v>175691.2405466323</v>
      </c>
      <c r="I553" s="89">
        <f t="shared" si="43"/>
        <v>0</v>
      </c>
      <c r="J553" s="89">
        <f t="shared" si="43"/>
        <v>114168.73999999999</v>
      </c>
      <c r="K553" s="89">
        <f t="shared" si="43"/>
        <v>8649133.8731786329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24273.21</v>
      </c>
      <c r="G580" s="18"/>
      <c r="H580" s="18"/>
      <c r="I580" s="87">
        <f t="shared" si="48"/>
        <v>24273.21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55174.19</v>
      </c>
      <c r="I582" s="87">
        <f t="shared" si="48"/>
        <v>55174.19</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389371.59+348785</f>
        <v>738156.59000000008</v>
      </c>
      <c r="G583" s="18">
        <f>550464.3+164587.79</f>
        <v>715052.09000000008</v>
      </c>
      <c r="H583" s="18">
        <f>683924.83+308620.79</f>
        <v>992545.61999999988</v>
      </c>
      <c r="I583" s="87">
        <f t="shared" si="48"/>
        <v>2445754.2999999998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497801</v>
      </c>
      <c r="I592" s="18">
        <v>266058.38</v>
      </c>
      <c r="J592" s="18">
        <v>361302.25</v>
      </c>
      <c r="K592" s="104">
        <f t="shared" ref="K592:K598" si="49">SUM(H592:J592)</f>
        <v>1125161.6299999999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32830.17</v>
      </c>
      <c r="I593" s="18">
        <v>71467.56</v>
      </c>
      <c r="J593" s="18">
        <v>9871.01</v>
      </c>
      <c r="K593" s="104">
        <f t="shared" si="49"/>
        <v>114168.73999999999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1463.92</v>
      </c>
      <c r="K595" s="104">
        <f t="shared" si="49"/>
        <v>1463.92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9"/>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530631.17000000004</v>
      </c>
      <c r="I599" s="108">
        <f>SUM(I592:I598)</f>
        <v>337525.94</v>
      </c>
      <c r="J599" s="108">
        <f>SUM(J592:J598)</f>
        <v>372637.18</v>
      </c>
      <c r="K599" s="108">
        <f>SUM(K592:K598)</f>
        <v>1240794.2899999998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104424.744+1143.27</f>
        <v>105568.01400000001</v>
      </c>
      <c r="I605" s="18">
        <f>82984.22+5170.56</f>
        <v>88154.78</v>
      </c>
      <c r="J605" s="18">
        <f>119447.36+6979.94</f>
        <v>126427.3</v>
      </c>
      <c r="K605" s="104">
        <f>SUM(H605:J605)</f>
        <v>320150.09399999998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105568.01400000001</v>
      </c>
      <c r="I606" s="108">
        <f>SUM(I603:I605)</f>
        <v>88154.78</v>
      </c>
      <c r="J606" s="108">
        <f>SUM(J603:J605)</f>
        <v>126427.3</v>
      </c>
      <c r="K606" s="108">
        <f>SUM(K603:K605)</f>
        <v>320150.09399999998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20840.330000000002</v>
      </c>
      <c r="G612" s="18">
        <v>3662.45</v>
      </c>
      <c r="H612" s="18">
        <v>0</v>
      </c>
      <c r="I612" s="18">
        <v>103.58</v>
      </c>
      <c r="J612" s="18">
        <v>0</v>
      </c>
      <c r="K612" s="18">
        <v>0</v>
      </c>
      <c r="L612" s="88">
        <f>SUM(F612:K612)</f>
        <v>24606.360000000004</v>
      </c>
      <c r="M612" s="8"/>
      <c r="N612" s="266"/>
    </row>
    <row r="613" spans="1:14" s="3" customFormat="1" ht="12.2" customHeight="1" x14ac:dyDescent="0.15">
      <c r="A613" s="22" t="s">
        <v>634</v>
      </c>
      <c r="B613" s="75">
        <v>23</v>
      </c>
      <c r="C613" s="75">
        <v>14</v>
      </c>
      <c r="D613" s="2" t="s">
        <v>432</v>
      </c>
      <c r="E613" s="75"/>
      <c r="F613" s="18">
        <v>11137.093050999998</v>
      </c>
      <c r="G613" s="18">
        <v>1957.2156820000002</v>
      </c>
      <c r="H613" s="18">
        <v>0</v>
      </c>
      <c r="I613" s="18">
        <v>55.351685000000003</v>
      </c>
      <c r="J613" s="18">
        <v>0</v>
      </c>
      <c r="K613" s="18">
        <v>0</v>
      </c>
      <c r="L613" s="88">
        <f>SUM(F613:K613)</f>
        <v>13149.660417999998</v>
      </c>
      <c r="M613" s="8"/>
      <c r="N613" s="266"/>
    </row>
    <row r="614" spans="1:14" s="3" customFormat="1" ht="12.2" customHeight="1" thickBot="1" x14ac:dyDescent="0.2">
      <c r="A614" s="22" t="s">
        <v>645</v>
      </c>
      <c r="B614" s="75">
        <v>23</v>
      </c>
      <c r="C614" s="75">
        <v>15</v>
      </c>
      <c r="D614" s="2" t="s">
        <v>432</v>
      </c>
      <c r="E614" s="75"/>
      <c r="F614" s="18">
        <v>15034.366948999994</v>
      </c>
      <c r="G614" s="18">
        <v>2642.1143180000008</v>
      </c>
      <c r="H614" s="18">
        <v>0</v>
      </c>
      <c r="I614" s="18">
        <v>74.71831499999999</v>
      </c>
      <c r="J614" s="18">
        <v>0</v>
      </c>
      <c r="K614" s="18">
        <v>0</v>
      </c>
      <c r="L614" s="88">
        <f>SUM(F614:K614)</f>
        <v>17751.199581999994</v>
      </c>
      <c r="M614" s="8"/>
      <c r="N614" s="266"/>
    </row>
    <row r="615" spans="1:14" s="3" customFormat="1" ht="12.2" customHeight="1" thickTop="1" x14ac:dyDescent="0.15">
      <c r="A615" s="98" t="s">
        <v>340</v>
      </c>
      <c r="B615" s="107">
        <v>23</v>
      </c>
      <c r="C615" s="107">
        <v>16</v>
      </c>
      <c r="D615" s="39" t="s">
        <v>432</v>
      </c>
      <c r="E615" s="107"/>
      <c r="F615" s="108">
        <f t="shared" ref="F615:L615" si="50">SUM(F612:F614)</f>
        <v>47011.789999999994</v>
      </c>
      <c r="G615" s="108">
        <f t="shared" si="50"/>
        <v>8261.7800000000007</v>
      </c>
      <c r="H615" s="108">
        <f t="shared" si="50"/>
        <v>0</v>
      </c>
      <c r="I615" s="108">
        <f t="shared" si="50"/>
        <v>233.65</v>
      </c>
      <c r="J615" s="108">
        <f t="shared" si="50"/>
        <v>0</v>
      </c>
      <c r="K615" s="108">
        <f t="shared" si="50"/>
        <v>0</v>
      </c>
      <c r="L615" s="89">
        <f t="shared" si="50"/>
        <v>55507.219999999994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3615097.0700000003</v>
      </c>
      <c r="H618" s="109">
        <f>SUM(F52)</f>
        <v>3615097.0700000003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125374.46</v>
      </c>
      <c r="H619" s="109">
        <f>SUM(G52)</f>
        <v>125374.45999999999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279387.99</v>
      </c>
      <c r="H620" s="109">
        <f>SUM(H52)</f>
        <v>279387.99000000011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7707430.0899999999</v>
      </c>
      <c r="H622" s="109">
        <f>SUM(J52)</f>
        <v>7707430.0899999999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2118441.56</v>
      </c>
      <c r="H623" s="109">
        <f>F477</f>
        <v>2118441.5599999987</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124336.4</v>
      </c>
      <c r="H624" s="109">
        <f>G477</f>
        <v>124336.40000000008</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-685952.32</v>
      </c>
      <c r="H625" s="109">
        <f>H477</f>
        <v>-685952.3200000003</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7707430.0899999999</v>
      </c>
      <c r="H627" s="109">
        <f>J477</f>
        <v>7707430.0899999999</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32085401.48</v>
      </c>
      <c r="H628" s="104">
        <f>SUM(F469)</f>
        <v>32085401.48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696840.65999999992</v>
      </c>
      <c r="H629" s="104">
        <f>SUM(G469)</f>
        <v>696840.66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2440815.0099999998</v>
      </c>
      <c r="H630" s="104">
        <f>SUM(H469)</f>
        <v>2440815.0099999998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1096655.25</v>
      </c>
      <c r="H632" s="104">
        <f>SUM(J469)</f>
        <v>1096655.25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31531121.869999997</v>
      </c>
      <c r="H633" s="104">
        <f>SUM(F473)</f>
        <v>31531121.870000001</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2855790.94</v>
      </c>
      <c r="H634" s="104">
        <f>SUM(H473)</f>
        <v>2855790.94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494502.19999999995</v>
      </c>
      <c r="H636" s="104">
        <f>SUM(G473)</f>
        <v>494502.2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1096655.25</v>
      </c>
      <c r="H638" s="164">
        <f>SUM(J469)</f>
        <v>1096655.25</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169852</v>
      </c>
      <c r="H639" s="164">
        <f>SUM(J473)</f>
        <v>169852</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7707430.0899999999</v>
      </c>
      <c r="H641" s="104">
        <f>SUM(G462)</f>
        <v>7707430.0899999999</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7707430.0899999999</v>
      </c>
      <c r="H643" s="104">
        <f>SUM(I462)</f>
        <v>7707430.0899999999</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446655.25</v>
      </c>
      <c r="H645" s="104">
        <f>H409</f>
        <v>446655.25</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650000</v>
      </c>
      <c r="H646" s="104">
        <f>G409</f>
        <v>650000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1096655.25</v>
      </c>
      <c r="H647" s="104">
        <f>L409</f>
        <v>1096655.25</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1240794.2899999998</v>
      </c>
      <c r="H648" s="104">
        <f>L209+L227+L245</f>
        <v>1240794.29</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320150.09399999998</v>
      </c>
      <c r="H649" s="104">
        <f>(J258+J339)-(J256+J337)</f>
        <v>320150.09000000003</v>
      </c>
      <c r="I649" s="140" t="s">
        <v>699</v>
      </c>
      <c r="J649" s="109">
        <f t="shared" si="51"/>
        <v>3.9999999571591616E-3</v>
      </c>
      <c r="K649" s="85"/>
      <c r="L649" s="88"/>
      <c r="M649" s="8"/>
    </row>
    <row r="650" spans="1:13" s="3" customFormat="1" ht="12.2" customHeight="1" x14ac:dyDescent="0.15">
      <c r="A650" s="22"/>
      <c r="B650" s="105"/>
      <c r="C650" s="105"/>
      <c r="D650" s="105"/>
      <c r="E650" s="105"/>
      <c r="F650" s="120" t="s">
        <v>387</v>
      </c>
      <c r="G650" s="109">
        <f>L209</f>
        <v>530631.17000000004</v>
      </c>
      <c r="H650" s="104">
        <f>H599</f>
        <v>530631.17000000004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337525.94</v>
      </c>
      <c r="H651" s="104">
        <f>I599</f>
        <v>337525.94</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372637.18</v>
      </c>
      <c r="H652" s="104">
        <f>J599</f>
        <v>372637.18</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65000</v>
      </c>
      <c r="H654" s="104">
        <f>K265</f>
        <v>65000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650000</v>
      </c>
      <c r="H656" s="104">
        <f>K267+K348</f>
        <v>650000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3.9999932050704956E-3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15257513.711661</v>
      </c>
      <c r="G661" s="19">
        <f>(L230+L310+L360)</f>
        <v>7307020.7853359254</v>
      </c>
      <c r="H661" s="19">
        <f>(L248+L329+L361)</f>
        <v>10390868.513003075</v>
      </c>
      <c r="I661" s="19">
        <f>SUM(F661:H661)</f>
        <v>32955403.009999998</v>
      </c>
      <c r="J661" s="13"/>
      <c r="K661" s="13"/>
      <c r="L661" s="13"/>
      <c r="M661" s="9"/>
    </row>
    <row r="662" spans="1:13" s="3" customFormat="1" ht="12.2" customHeight="1" x14ac:dyDescent="0.2">
      <c r="A662" s="1" t="s">
        <v>127</v>
      </c>
      <c r="F662" s="19">
        <f>(L359/IF(SUM(L359:L361)=0,1,SUM(L359:L361))*(SUM(G97:G110)))</f>
        <v>43371.665681925791</v>
      </c>
      <c r="G662" s="19">
        <f>(L360/IF(SUM(L359:L361)=0,1,SUM(L359:L361))*(SUM(G97:G110)))</f>
        <v>16749.716352598633</v>
      </c>
      <c r="H662" s="19">
        <f>(L361/IF(SUM(L359:L361)=0,1,SUM(L359:L361))*(SUM(G97:G110)))</f>
        <v>22425.097965475583</v>
      </c>
      <c r="I662" s="19">
        <f>SUM(F662:H662)</f>
        <v>82546.48000000001</v>
      </c>
      <c r="J662"/>
      <c r="K662" s="13"/>
      <c r="L662" s="13"/>
      <c r="M662" s="8"/>
    </row>
    <row r="663" spans="1:13" s="3" customFormat="1" ht="12.2" customHeight="1" x14ac:dyDescent="0.2">
      <c r="A663" s="1" t="s">
        <v>128</v>
      </c>
      <c r="F663" s="19">
        <f>(L209+L288)-(J209+J288)</f>
        <v>499445.19000000006</v>
      </c>
      <c r="G663" s="19">
        <f>(L227+L307)-(J227+J307)</f>
        <v>320860.12</v>
      </c>
      <c r="H663" s="19">
        <f>(L245+L326)-(J245+J326)</f>
        <v>350139.37</v>
      </c>
      <c r="I663" s="19">
        <f>SUM(F663:H663)</f>
        <v>1170444.6800000002</v>
      </c>
      <c r="J663"/>
      <c r="K663" s="13"/>
      <c r="L663" s="13"/>
      <c r="M663" s="9"/>
    </row>
    <row r="664" spans="1:13" s="3" customFormat="1" ht="12.2" customHeight="1" x14ac:dyDescent="0.15">
      <c r="A664" s="198" t="s">
        <v>129</v>
      </c>
      <c r="B664" s="169"/>
      <c r="C664" s="169"/>
      <c r="D664" s="169"/>
      <c r="E664" s="169"/>
      <c r="F664" s="199">
        <f>SUM(F576:F588)+SUM(H603:H605)+SUM(L612)</f>
        <v>892604.174</v>
      </c>
      <c r="G664" s="199">
        <f>SUM(G576:G588)+SUM(I603:I605)+L613</f>
        <v>816356.53041800007</v>
      </c>
      <c r="H664" s="199">
        <f>SUM(H576:H588)+SUM(J603:J605)+L614</f>
        <v>1191898.3095819999</v>
      </c>
      <c r="I664" s="19">
        <f>SUM(F664:H664)</f>
        <v>2900859.014</v>
      </c>
      <c r="J664" s="13"/>
      <c r="K664" s="13"/>
      <c r="L664" s="13"/>
      <c r="M664" s="9"/>
    </row>
    <row r="665" spans="1:13" s="3" customFormat="1" ht="12.2" customHeight="1" x14ac:dyDescent="0.15">
      <c r="A665" s="1" t="s">
        <v>130</v>
      </c>
      <c r="F665" s="19">
        <f>F661-SUM(F662:F664)</f>
        <v>13822092.681979073</v>
      </c>
      <c r="G665" s="19">
        <f>G661-SUM(G662:G664)</f>
        <v>6153054.4185653273</v>
      </c>
      <c r="H665" s="19">
        <f>H661-SUM(H662:H664)</f>
        <v>8826405.7354556005</v>
      </c>
      <c r="I665" s="19">
        <f>I661-SUM(I662:I664)</f>
        <v>28801552.835999999</v>
      </c>
      <c r="J665" s="13"/>
      <c r="K665" s="13"/>
      <c r="L665" s="13"/>
      <c r="M665" s="8"/>
    </row>
    <row r="666" spans="1:13" s="3" customFormat="1" ht="12.2" customHeight="1" x14ac:dyDescent="0.2">
      <c r="A666" s="1" t="s">
        <v>131</v>
      </c>
      <c r="F666" s="246">
        <f>25.68+105.11+617.82</f>
        <v>748.61</v>
      </c>
      <c r="G666" s="247">
        <v>400.04</v>
      </c>
      <c r="H666" s="247">
        <v>540.17999999999995</v>
      </c>
      <c r="I666" s="19">
        <f>SUM(F666:H666)</f>
        <v>1688.83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18463.68</v>
      </c>
      <c r="G668" s="19">
        <f>ROUND(G665/G666,2)</f>
        <v>15381.1</v>
      </c>
      <c r="H668" s="19">
        <f>ROUND(H665/H666,2)</f>
        <v>16339.75</v>
      </c>
      <c r="I668" s="19">
        <f>ROUND(I665/I666,2)</f>
        <v>17054.150000000001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-2.94</v>
      </c>
      <c r="I671" s="19">
        <f>SUM(F671:H671)</f>
        <v>-2.94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18463.68</v>
      </c>
      <c r="G673" s="19">
        <f>ROUND((G665+G670)/(G666+G671),2)</f>
        <v>15381.1</v>
      </c>
      <c r="H673" s="19">
        <f>ROUND((H665+H670)/(H666+H671),2)</f>
        <v>16429.169999999998</v>
      </c>
      <c r="I673" s="19">
        <f>ROUND((I665+I670)/(I666+I671),2)</f>
        <v>17083.89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acUKBG5GuyYK56vzeh+0rX+J00Il65dgsE9kI/sW4k8PHcOc2UUFtVqEzTx0MEd1CVwR70B9RXwZ+7BjKE9lA==" saltValue="kbxPjTkhx8Bb8fyXdIgk2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Claremont School District</v>
      </c>
      <c r="C5" s="344"/>
      <c r="D5" s="344"/>
      <c r="E5" s="344"/>
      <c r="F5" s="344"/>
    </row>
    <row r="8" spans="1:9" ht="18" x14ac:dyDescent="0.25">
      <c r="A8" s="323" t="s">
        <v>1591</v>
      </c>
      <c r="F8" s="330" t="s">
        <v>1609</v>
      </c>
    </row>
    <row r="9" spans="1:9" ht="15" x14ac:dyDescent="0.2">
      <c r="A9" s="321" t="s">
        <v>1592</v>
      </c>
      <c r="B9" s="324">
        <f>'DOE25'!G97</f>
        <v>82496.479999999996</v>
      </c>
      <c r="F9" s="321" t="s">
        <v>1605</v>
      </c>
    </row>
    <row r="10" spans="1:9" ht="15" x14ac:dyDescent="0.2">
      <c r="A10" s="321" t="s">
        <v>1593</v>
      </c>
      <c r="B10" s="324">
        <f>'DOE25'!G112-'DOE25'!G97</f>
        <v>50</v>
      </c>
      <c r="F10" s="321" t="s">
        <v>1606</v>
      </c>
    </row>
    <row r="11" spans="1:9" ht="15" x14ac:dyDescent="0.2">
      <c r="A11" s="321" t="s">
        <v>1594</v>
      </c>
      <c r="B11" s="324">
        <f>'DOE25'!G140</f>
        <v>10403.719999999999</v>
      </c>
      <c r="F11" s="321" t="s">
        <v>1607</v>
      </c>
    </row>
    <row r="12" spans="1:9" ht="15" x14ac:dyDescent="0.2">
      <c r="A12" s="321" t="s">
        <v>1595</v>
      </c>
      <c r="B12" s="324">
        <f>'DOE25'!G170</f>
        <v>603890.46</v>
      </c>
      <c r="F12" s="321" t="s">
        <v>1608</v>
      </c>
    </row>
    <row r="13" spans="1:9" ht="15" x14ac:dyDescent="0.2">
      <c r="A13" s="321" t="s">
        <v>1596</v>
      </c>
      <c r="B13" s="324">
        <f>'DOE25'!G193-'DOE25'!G180</f>
        <v>0</v>
      </c>
      <c r="F13" s="321" t="s">
        <v>1618</v>
      </c>
    </row>
    <row r="14" spans="1:9" ht="18" x14ac:dyDescent="0.25">
      <c r="A14" s="323" t="s">
        <v>732</v>
      </c>
      <c r="B14" s="325">
        <f>SUM(B9:B13)</f>
        <v>696840.65999999992</v>
      </c>
    </row>
    <row r="16" spans="1:9" ht="18" x14ac:dyDescent="0.25">
      <c r="A16" s="323" t="s">
        <v>786</v>
      </c>
      <c r="F16" s="330" t="s">
        <v>1610</v>
      </c>
    </row>
    <row r="17" spans="1:6" ht="15" x14ac:dyDescent="0.2">
      <c r="A17" s="321" t="s">
        <v>1597</v>
      </c>
      <c r="B17" s="324">
        <f>'DOE25'!L363-'DOE25'!L362</f>
        <v>494502.19999999995</v>
      </c>
      <c r="F17" s="321" t="s">
        <v>1611</v>
      </c>
    </row>
    <row r="18" spans="1:6" ht="15" x14ac:dyDescent="0.2">
      <c r="A18" s="321" t="s">
        <v>1598</v>
      </c>
      <c r="B18" s="338"/>
      <c r="F18" s="330" t="s">
        <v>1637</v>
      </c>
    </row>
    <row r="19" spans="1:6" ht="18" x14ac:dyDescent="0.25">
      <c r="A19" s="323" t="s">
        <v>725</v>
      </c>
      <c r="B19" s="325">
        <f>SUM(B17:B18)</f>
        <v>494502.19999999995</v>
      </c>
    </row>
    <row r="21" spans="1:6" ht="18.75" thickBot="1" x14ac:dyDescent="0.3">
      <c r="A21" s="323" t="s">
        <v>1599</v>
      </c>
    </row>
    <row r="22" spans="1:6" ht="18.75" thickTop="1" x14ac:dyDescent="0.25">
      <c r="A22" s="323" t="s">
        <v>1600</v>
      </c>
      <c r="B22" s="329">
        <f>B14-B19</f>
        <v>202338.45999999996</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-78002.06</v>
      </c>
      <c r="F31" s="321" t="s">
        <v>1615</v>
      </c>
    </row>
    <row r="33" spans="1:6" ht="15" x14ac:dyDescent="0.2">
      <c r="A33" s="321" t="s">
        <v>1641</v>
      </c>
      <c r="B33" s="324">
        <f>'DOE25'!G477</f>
        <v>124336.40000000008</v>
      </c>
      <c r="F33" s="321" t="s">
        <v>1616</v>
      </c>
    </row>
    <row r="36" spans="1:6" ht="15" x14ac:dyDescent="0.2">
      <c r="A36" s="321" t="s">
        <v>1602</v>
      </c>
      <c r="B36" s="339">
        <f>8422.13+10663.52+10050.32+15231.55+10302.42</f>
        <v>54669.94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22" sqref="E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Claremont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6764093.9399999995</v>
      </c>
      <c r="C9" s="229">
        <f>'DOE25'!G198+'DOE25'!G216+'DOE25'!G234+'DOE25'!G277+'DOE25'!G296+'DOE25'!G315</f>
        <v>3766144.3699999996</v>
      </c>
    </row>
    <row r="10" spans="1:3" x14ac:dyDescent="0.2">
      <c r="A10" t="s">
        <v>775</v>
      </c>
      <c r="B10" s="240">
        <f>5575336.13+16008</f>
        <v>5591344.1299999999</v>
      </c>
      <c r="C10" s="240">
        <f>ROUND(B10/B9*$C$9,2)</f>
        <v>3113175.16</v>
      </c>
    </row>
    <row r="11" spans="1:3" x14ac:dyDescent="0.2">
      <c r="A11" t="s">
        <v>776</v>
      </c>
      <c r="B11" s="240">
        <f>601130.06+75027</f>
        <v>676157.06</v>
      </c>
      <c r="C11" s="240">
        <f>ROUND(B11/B9*$C$9,2)</f>
        <v>376473.94</v>
      </c>
    </row>
    <row r="12" spans="1:3" x14ac:dyDescent="0.2">
      <c r="A12" t="s">
        <v>777</v>
      </c>
      <c r="B12" s="240">
        <v>496592.75</v>
      </c>
      <c r="C12" s="240">
        <f>ROUND(B12/B9*C9,2)</f>
        <v>276495.27</v>
      </c>
    </row>
    <row r="13" spans="1:3" x14ac:dyDescent="0.2">
      <c r="A13" t="str">
        <f>IF(B9=B13,IF(C9=C13,"Check Total OK","Check Total Error"),"Check Total Error")</f>
        <v>Check Total OK</v>
      </c>
      <c r="B13" s="231">
        <f>SUM(B10:B12)</f>
        <v>6764093.9399999995</v>
      </c>
      <c r="C13" s="231">
        <f>SUM(C10:C12)</f>
        <v>3766144.37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3864354.42</v>
      </c>
      <c r="C18" s="229">
        <f>'DOE25'!G199+'DOE25'!G217+'DOE25'!G235+'DOE25'!G278+'DOE25'!G297+'DOE25'!G316</f>
        <v>1663880.71</v>
      </c>
    </row>
    <row r="19" spans="1:3" x14ac:dyDescent="0.2">
      <c r="A19" t="s">
        <v>775</v>
      </c>
      <c r="B19" s="240">
        <v>1569659.1</v>
      </c>
      <c r="C19" s="240">
        <f>ROUND(B19/B18*$C$18,2)</f>
        <v>675850.4</v>
      </c>
    </row>
    <row r="20" spans="1:3" x14ac:dyDescent="0.2">
      <c r="A20" t="s">
        <v>776</v>
      </c>
      <c r="B20" s="240">
        <f>1514071.07+390312+375390.75+14921.5</f>
        <v>2294695.3200000003</v>
      </c>
      <c r="C20" s="240">
        <f>ROUND(B20/B18*$C$18,2)</f>
        <v>988030.31</v>
      </c>
    </row>
    <row r="21" spans="1:3" x14ac:dyDescent="0.2">
      <c r="A21" t="s">
        <v>777</v>
      </c>
      <c r="B21" s="240"/>
      <c r="C21" s="240">
        <f>ROUND(B21/B18*$C$18,2)</f>
        <v>0</v>
      </c>
    </row>
    <row r="22" spans="1:3" x14ac:dyDescent="0.2">
      <c r="A22" t="str">
        <f>IF(B18=B22,IF(C18=C22,"Check Total OK","Check Total Error"),"Check Total Error")</f>
        <v>Check Total OK</v>
      </c>
      <c r="B22" s="231">
        <f>SUM(B19:B21)</f>
        <v>3864354.4200000004</v>
      </c>
      <c r="C22" s="231">
        <f>SUM(C19:C21)</f>
        <v>1663880.71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457177.01</v>
      </c>
      <c r="C27" s="234">
        <f>'DOE25'!G200+'DOE25'!G218+'DOE25'!G236+'DOE25'!G279+'DOE25'!G298+'DOE25'!G317</f>
        <v>260894.46000000002</v>
      </c>
    </row>
    <row r="28" spans="1:3" x14ac:dyDescent="0.2">
      <c r="A28" t="s">
        <v>775</v>
      </c>
      <c r="B28" s="240">
        <v>450499.5</v>
      </c>
      <c r="C28" s="240">
        <f>ROUND(B28/$B$27*$C$27,2)</f>
        <v>257083.85</v>
      </c>
    </row>
    <row r="29" spans="1:3" x14ac:dyDescent="0.2">
      <c r="A29" t="s">
        <v>776</v>
      </c>
      <c r="B29" s="240">
        <v>6677.51</v>
      </c>
      <c r="C29" s="240">
        <f t="shared" ref="C29:C30" si="0">ROUND(B29/$B$27*$C$27,2)</f>
        <v>3810.61</v>
      </c>
    </row>
    <row r="30" spans="1:3" x14ac:dyDescent="0.2">
      <c r="A30" t="s">
        <v>777</v>
      </c>
      <c r="B30" s="240"/>
      <c r="C30" s="240">
        <f t="shared" si="0"/>
        <v>0</v>
      </c>
    </row>
    <row r="31" spans="1:3" x14ac:dyDescent="0.2">
      <c r="A31" t="str">
        <f>IF(B27=B31,IF(C27=C31,"Check Total OK","Check Total Error"),"Check Total Error")</f>
        <v>Check Total OK</v>
      </c>
      <c r="B31" s="231">
        <f>SUM(B28:B30)</f>
        <v>457177.01</v>
      </c>
      <c r="C31" s="231">
        <f>SUM(C28:C30)</f>
        <v>260894.46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237276.22</v>
      </c>
      <c r="C36" s="235">
        <f>'DOE25'!G201+'DOE25'!G219+'DOE25'!G237+'DOE25'!G280+'DOE25'!G299+'DOE25'!G318</f>
        <v>67533.850000000006</v>
      </c>
    </row>
    <row r="37" spans="1:3" x14ac:dyDescent="0.2">
      <c r="A37" t="s">
        <v>775</v>
      </c>
      <c r="B37" s="240">
        <f>3579.23+3463</f>
        <v>7042.23</v>
      </c>
      <c r="C37" s="240">
        <f>ROUND(B37/$B$36*$C$36,2)</f>
        <v>2004.37</v>
      </c>
    </row>
    <row r="38" spans="1:3" x14ac:dyDescent="0.2">
      <c r="A38" t="s">
        <v>776</v>
      </c>
      <c r="B38" s="240">
        <v>31636</v>
      </c>
      <c r="C38" s="240">
        <f t="shared" ref="C38:C39" si="1">ROUND(B38/$B$36*$C$36,2)</f>
        <v>9004.2800000000007</v>
      </c>
    </row>
    <row r="39" spans="1:3" x14ac:dyDescent="0.2">
      <c r="A39" t="s">
        <v>777</v>
      </c>
      <c r="B39" s="240">
        <v>198597.99</v>
      </c>
      <c r="C39" s="240">
        <f t="shared" si="1"/>
        <v>56525.2</v>
      </c>
    </row>
    <row r="40" spans="1:3" x14ac:dyDescent="0.2">
      <c r="A40" t="str">
        <f>IF(B36=B40,IF(C36=C40,"Check Total OK","Check Total Error"),"Check Total Error")</f>
        <v>Check Total OK</v>
      </c>
      <c r="B40" s="231">
        <f>SUM(B37:B39)</f>
        <v>237276.21999999997</v>
      </c>
      <c r="C40" s="231">
        <f>SUM(C37:C39)</f>
        <v>67533.850000000006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Claremont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19094242.559999999</v>
      </c>
      <c r="D5" s="20">
        <f>SUM('DOE25'!L198:L201)+SUM('DOE25'!L216:L219)+SUM('DOE25'!L234:L237)-F5-G5-H5</f>
        <v>19046338.77</v>
      </c>
      <c r="E5" s="243"/>
      <c r="F5" s="244"/>
      <c r="G5" s="53">
        <f>SUM('DOE25'!J198:J201)+SUM('DOE25'!J216:J219)+SUM('DOE25'!J234:J237)</f>
        <v>28829.96</v>
      </c>
      <c r="H5" s="53">
        <f>SUM('DOE25'!K198:K201)+SUM('DOE25'!K216:K219)+SUM('DOE25'!K234:K237)</f>
        <v>19073.829999999998</v>
      </c>
      <c r="I5" s="256"/>
    </row>
    <row r="6" spans="1:9" x14ac:dyDescent="0.2">
      <c r="A6" s="32">
        <v>2100</v>
      </c>
      <c r="B6" t="s">
        <v>796</v>
      </c>
      <c r="C6" s="276">
        <f t="shared" si="0"/>
        <v>1634846.5400000003</v>
      </c>
      <c r="D6" s="20">
        <f>'DOE25'!L203+'DOE25'!L221+'DOE25'!L239-F6-G6-H6</f>
        <v>1632058.5500000003</v>
      </c>
      <c r="E6" s="243"/>
      <c r="F6" s="244"/>
      <c r="G6" s="53">
        <f>'DOE25'!J203+'DOE25'!J221+'DOE25'!J239</f>
        <v>1743.99</v>
      </c>
      <c r="H6" s="53">
        <f>'DOE25'!K203+'DOE25'!K221+'DOE25'!K239</f>
        <v>1044</v>
      </c>
      <c r="I6" s="256"/>
    </row>
    <row r="7" spans="1:9" x14ac:dyDescent="0.2">
      <c r="A7" s="32">
        <v>2200</v>
      </c>
      <c r="B7" t="s">
        <v>821</v>
      </c>
      <c r="C7" s="276">
        <f t="shared" si="0"/>
        <v>844618.59999999986</v>
      </c>
      <c r="D7" s="20">
        <f>'DOE25'!L204+'DOE25'!L222+'DOE25'!L240-F7-G7-H7</f>
        <v>645872.0299999998</v>
      </c>
      <c r="E7" s="243"/>
      <c r="F7" s="244"/>
      <c r="G7" s="53">
        <f>'DOE25'!J204+'DOE25'!J222+'DOE25'!J240</f>
        <v>198746.57</v>
      </c>
      <c r="H7" s="53">
        <f>'DOE25'!K204+'DOE25'!K222+'DOE25'!K240</f>
        <v>0</v>
      </c>
      <c r="I7" s="256"/>
    </row>
    <row r="8" spans="1:9" x14ac:dyDescent="0.2">
      <c r="A8" s="32">
        <v>2300</v>
      </c>
      <c r="B8" t="s">
        <v>797</v>
      </c>
      <c r="C8" s="276">
        <f t="shared" si="0"/>
        <v>1510519.59</v>
      </c>
      <c r="D8" s="243"/>
      <c r="E8" s="20">
        <f>'DOE25'!L205+'DOE25'!L223+'DOE25'!L241-F8-G8-H8-D9-D11</f>
        <v>1484817.37</v>
      </c>
      <c r="F8" s="244"/>
      <c r="G8" s="53">
        <f>'DOE25'!J205+'DOE25'!J223+'DOE25'!J241</f>
        <v>0</v>
      </c>
      <c r="H8" s="53">
        <f>'DOE25'!K205+'DOE25'!K223+'DOE25'!K241</f>
        <v>25702.22</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2773001.6000000006</v>
      </c>
      <c r="D12" s="20">
        <f>'DOE25'!L206+'DOE25'!L224+'DOE25'!L242-F12-G12-H12</f>
        <v>2756601.1000000006</v>
      </c>
      <c r="E12" s="243"/>
      <c r="F12" s="244"/>
      <c r="G12" s="53">
        <f>'DOE25'!J206+'DOE25'!J224+'DOE25'!J242</f>
        <v>0</v>
      </c>
      <c r="H12" s="53">
        <f>'DOE25'!K206+'DOE25'!K224+'DOE25'!K242</f>
        <v>16400.5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2507086.69</v>
      </c>
      <c r="D14" s="20">
        <f>'DOE25'!L208+'DOE25'!L226+'DOE25'!L244-F14-G14-H14</f>
        <v>2499900.5</v>
      </c>
      <c r="E14" s="243"/>
      <c r="F14" s="244"/>
      <c r="G14" s="53">
        <f>'DOE25'!J208+'DOE25'!J226+'DOE25'!J244</f>
        <v>7186.19</v>
      </c>
      <c r="H14" s="53">
        <f>'DOE25'!K208+'DOE25'!K226+'DOE25'!K244</f>
        <v>0</v>
      </c>
      <c r="I14" s="256"/>
    </row>
    <row r="15" spans="1:9" x14ac:dyDescent="0.2">
      <c r="A15" s="32">
        <v>2700</v>
      </c>
      <c r="B15" t="s">
        <v>799</v>
      </c>
      <c r="C15" s="276">
        <f t="shared" si="0"/>
        <v>1240794.29</v>
      </c>
      <c r="D15" s="20">
        <f>'DOE25'!L209+'DOE25'!L227+'DOE25'!L245-F15-G15-H15</f>
        <v>1170444.68</v>
      </c>
      <c r="E15" s="243"/>
      <c r="F15" s="244"/>
      <c r="G15" s="53">
        <f>'DOE25'!J209+'DOE25'!J227+'DOE25'!J245</f>
        <v>70349.610000000015</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1211012</v>
      </c>
      <c r="D25" s="243"/>
      <c r="E25" s="243"/>
      <c r="F25" s="255"/>
      <c r="G25" s="253"/>
      <c r="H25" s="253"/>
      <c r="I25" s="254">
        <f>'DOE25'!L261+'DOE25'!L262+'DOE25'!L342+'DOE25'!L343</f>
        <v>1211012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494502.19999999995</v>
      </c>
      <c r="D29" s="284">
        <f>'DOE25'!L359+'DOE25'!L360+'DOE25'!L361-'DOE25'!I368-F29-G29-H29</f>
        <v>494502.19999999995</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2855790.94</v>
      </c>
      <c r="D31" s="20">
        <f>'DOE25'!L291+'DOE25'!L310+'DOE25'!L329+'DOE25'!L334+'DOE25'!L335+'DOE25'!L336-F31-G31-H31</f>
        <v>2829828.9</v>
      </c>
      <c r="E31" s="243"/>
      <c r="F31" s="244"/>
      <c r="G31" s="53">
        <f>'DOE25'!J291+'DOE25'!J310+'DOE25'!J329+'DOE25'!J334+'DOE25'!J335+'DOE25'!J336</f>
        <v>13293.77</v>
      </c>
      <c r="H31" s="53">
        <f>'DOE25'!K291+'DOE25'!K310+'DOE25'!K329+'DOE25'!K334+'DOE25'!K335+'DOE25'!K336</f>
        <v>12668.27</v>
      </c>
      <c r="I31" s="256"/>
    </row>
    <row r="32" spans="1:9" ht="12" thickBot="1" x14ac:dyDescent="0.25">
      <c r="C32" s="277"/>
      <c r="G32" s="251"/>
      <c r="H32" s="251"/>
      <c r="I32" s="258"/>
    </row>
    <row r="33" spans="1:9" ht="12" thickTop="1" x14ac:dyDescent="0.2">
      <c r="B33" t="s">
        <v>809</v>
      </c>
      <c r="D33" s="245">
        <f t="shared" ref="D33:I33" si="1">SUM(D5:D31)</f>
        <v>31075546.73</v>
      </c>
      <c r="E33" s="245">
        <f t="shared" si="1"/>
        <v>1484817.37</v>
      </c>
      <c r="F33" s="245">
        <f t="shared" si="1"/>
        <v>0</v>
      </c>
      <c r="G33" s="245">
        <f t="shared" si="1"/>
        <v>320150.09000000008</v>
      </c>
      <c r="H33" s="245">
        <f t="shared" si="1"/>
        <v>74888.820000000007</v>
      </c>
      <c r="I33" s="245">
        <f t="shared" si="1"/>
        <v>1211012</v>
      </c>
    </row>
    <row r="35" spans="1:9" ht="12" thickBot="1" x14ac:dyDescent="0.25">
      <c r="B35" s="251" t="s">
        <v>831</v>
      </c>
      <c r="D35" s="252">
        <f>E33</f>
        <v>1484817.37</v>
      </c>
      <c r="E35" s="248"/>
    </row>
    <row r="36" spans="1:9" ht="12" thickTop="1" x14ac:dyDescent="0.2">
      <c r="B36" t="s">
        <v>810</v>
      </c>
      <c r="D36" s="20">
        <f>D33</f>
        <v>31075546.73</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1" sqref="I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Claremont School District</v>
      </c>
      <c r="B2" s="126">
        <f>'DOE25'!B2</f>
        <v>101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14997691.801661</v>
      </c>
      <c r="G4" s="303">
        <f>'DOE25'!L212+'DOE25'!L291</f>
        <v>14997691.801661</v>
      </c>
      <c r="H4" s="337">
        <f>F4-G4</f>
        <v>0</v>
      </c>
      <c r="I4" s="309" t="str">
        <f>IF(H4=0,"","Does not match DOE25 page 7 and 11 Totals!!")</f>
        <v/>
      </c>
      <c r="N4"/>
    </row>
    <row r="5" spans="1:18" x14ac:dyDescent="0.2">
      <c r="A5" s="21" t="s">
        <v>970</v>
      </c>
      <c r="B5" s="304">
        <f>IFERROR(VLOOKUP(A5,'School Tables'!$C$3:$D$365,2,FALSE),"")</f>
        <v>20145</v>
      </c>
      <c r="C5" s="297" t="str">
        <f>IFERROR(INDEX('School Tables'!$B$3:$B$365,MATCH('School Level Expenditures'!B5,'School Tables'!$D$3:$D$365,0)),"")</f>
        <v>Claremont</v>
      </c>
      <c r="D5" s="294">
        <v>3530668.4375539366</v>
      </c>
      <c r="E5" s="294">
        <v>349956.80583664705</v>
      </c>
      <c r="F5" s="312">
        <f>D5+E5</f>
        <v>3880625.2433905834</v>
      </c>
      <c r="G5" s="297"/>
      <c r="H5" s="297"/>
      <c r="I5" s="126"/>
      <c r="N5"/>
    </row>
    <row r="6" spans="1:18" x14ac:dyDescent="0.2">
      <c r="A6" s="21" t="s">
        <v>971</v>
      </c>
      <c r="B6" s="304">
        <f>IFERROR(VLOOKUP(A6,'School Tables'!$C$3:$D$365,2,FALSE),"")</f>
        <v>20165</v>
      </c>
      <c r="C6" s="297" t="str">
        <f>IFERROR(INDEX('School Tables'!$B$3:$B$365,MATCH('School Level Expenditures'!B6,'School Tables'!$D$3:$D$365,0)),"")</f>
        <v>Claremont</v>
      </c>
      <c r="D6" s="294">
        <v>4535510.6474455111</v>
      </c>
      <c r="E6" s="294">
        <v>650375.09531147825</v>
      </c>
      <c r="F6" s="307">
        <f t="shared" ref="F6:F20" si="0">D6+E6</f>
        <v>5185885.7427569889</v>
      </c>
      <c r="G6" s="297"/>
      <c r="H6" s="297"/>
      <c r="I6" s="126"/>
      <c r="N6"/>
    </row>
    <row r="7" spans="1:18" x14ac:dyDescent="0.2">
      <c r="A7" s="21" t="s">
        <v>1626</v>
      </c>
      <c r="B7" s="304">
        <f>IFERROR(VLOOKUP(A7,'School Tables'!$C$3:$D$365,2,FALSE),"")</f>
        <v>20160</v>
      </c>
      <c r="C7" s="297" t="str">
        <f>IFERROR(INDEX('School Tables'!$B$3:$B$365,MATCH('School Level Expenditures'!B7,'School Tables'!$D$3:$D$365,0)),"")</f>
        <v>Claremont</v>
      </c>
      <c r="D7" s="294">
        <v>5266176.4950005524</v>
      </c>
      <c r="E7" s="294">
        <v>665004.32051287638</v>
      </c>
      <c r="F7" s="307">
        <f t="shared" si="0"/>
        <v>5931180.8155134283</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7206680.0853359252</v>
      </c>
      <c r="G24" s="303">
        <f>'DOE25'!L230+'DOE25'!L310</f>
        <v>7206680.0853359252</v>
      </c>
      <c r="H24" s="337">
        <f>F24-G24</f>
        <v>0</v>
      </c>
      <c r="I24" s="309" t="str">
        <f>IF(H24=0,"","Does not match DOE25 page 8 and 12 Totals!!")</f>
        <v/>
      </c>
      <c r="N24"/>
    </row>
    <row r="25" spans="1:14" x14ac:dyDescent="0.2">
      <c r="A25" s="21" t="s">
        <v>968</v>
      </c>
      <c r="B25" s="304">
        <f>IFERROR(VLOOKUP(A25,'School Tables'!$I$3:$J$80,2,FALSE),"")</f>
        <v>20115</v>
      </c>
      <c r="C25" s="297" t="str">
        <f t="array" ref="C25">IFERROR(INDEX('School Tables'!$H$3:$H$80,MATCH('School Level Expenditures'!B25,'School Tables'!$J$3:$J$80,0)),"")</f>
        <v>Claremont</v>
      </c>
      <c r="D25" s="294">
        <f>'DOE25'!L230</f>
        <v>6700089.9600000009</v>
      </c>
      <c r="E25" s="294">
        <f>'DOE25'!L310</f>
        <v>506590.12533592444</v>
      </c>
      <c r="F25" s="307">
        <f>D25+E25</f>
        <v>7206680.0853359252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10256528.923003076</v>
      </c>
      <c r="G36" s="303">
        <f>'DOE25'!L248+'DOE25'!L329</f>
        <v>10256528.923003076</v>
      </c>
      <c r="H36" s="337">
        <f>F36-G36</f>
        <v>0</v>
      </c>
      <c r="I36" s="309" t="str">
        <f>IF(H36=0,"","Does not match DOE25 page 9 and 13 Totals!!")</f>
        <v/>
      </c>
      <c r="N36"/>
    </row>
    <row r="37" spans="1:14" x14ac:dyDescent="0.2">
      <c r="A37" s="21" t="s">
        <v>969</v>
      </c>
      <c r="B37" s="304">
        <f>IFERROR(VLOOKUP(A37,'School Tables'!$O$3:$P$118,2,FALSE),"")</f>
        <v>20140</v>
      </c>
      <c r="C37" s="297" t="str">
        <f t="array" ref="C37">IFERROR(INDEX('School Tables'!$N$3:$N$118,MATCH('School Level Expenditures'!B37,'School Tables'!$P$3:$P$118,0)),"")</f>
        <v>Claremont</v>
      </c>
      <c r="D37" s="294">
        <f>+'DOE25'!L248</f>
        <v>9572664.3300000001</v>
      </c>
      <c r="E37" s="294">
        <f>'DOE25'!L329</f>
        <v>683864.59300307557</v>
      </c>
      <c r="F37" s="307">
        <f>D37+E37</f>
        <v>10256528.923003076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N48" sqref="N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Claremont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2107981.3100000005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7707430.0899999999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1448478.18</v>
      </c>
      <c r="D11" s="95">
        <f>'DOE25'!G12</f>
        <v>114275.16</v>
      </c>
      <c r="E11" s="95">
        <f>'DOE25'!H12</f>
        <v>0</v>
      </c>
      <c r="F11" s="95">
        <f>'DOE25'!I12</f>
        <v>0</v>
      </c>
      <c r="G11" s="95">
        <f>'DOE25'!J12</f>
        <v>0</v>
      </c>
      <c r="H11" s="124"/>
      <c r="I11" s="124"/>
    </row>
    <row r="12" spans="1:9" x14ac:dyDescent="0.2">
      <c r="A12" s="1" t="s">
        <v>143</v>
      </c>
      <c r="B12" s="6">
        <v>140</v>
      </c>
      <c r="C12" s="95">
        <f>'DOE25'!F13</f>
        <v>0</v>
      </c>
      <c r="D12" s="95">
        <f>'DOE25'!G13</f>
        <v>0</v>
      </c>
      <c r="E12" s="95">
        <f>'DOE25'!H13</f>
        <v>279456.99</v>
      </c>
      <c r="F12" s="95">
        <f>'DOE25'!I13</f>
        <v>0</v>
      </c>
      <c r="G12" s="95">
        <f>'DOE25'!J13</f>
        <v>0</v>
      </c>
      <c r="H12" s="124"/>
      <c r="I12" s="124"/>
    </row>
    <row r="13" spans="1:9" x14ac:dyDescent="0.2">
      <c r="A13" s="1" t="s">
        <v>144</v>
      </c>
      <c r="B13" s="6">
        <v>150</v>
      </c>
      <c r="C13" s="95">
        <f>'DOE25'!F14</f>
        <v>989.77</v>
      </c>
      <c r="D13" s="95">
        <f>'DOE25'!G14</f>
        <v>0</v>
      </c>
      <c r="E13" s="95">
        <f>'DOE25'!H14</f>
        <v>-69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11099.3</v>
      </c>
      <c r="E15" s="95">
        <f>'DOE25'!H16</f>
        <v>0</v>
      </c>
      <c r="F15" s="95">
        <f>'DOE25'!I16</f>
        <v>0</v>
      </c>
      <c r="G15" s="24" t="s">
        <v>288</v>
      </c>
      <c r="H15" s="124"/>
      <c r="I15" s="124"/>
    </row>
    <row r="16" spans="1:9" x14ac:dyDescent="0.2">
      <c r="A16" s="1" t="s">
        <v>147</v>
      </c>
      <c r="B16" s="6">
        <v>180</v>
      </c>
      <c r="C16" s="95">
        <f>'DOE25'!F17</f>
        <v>57647.81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3615097.0700000003</v>
      </c>
      <c r="D18" s="41">
        <f>SUM(D8:D17)</f>
        <v>125374.46</v>
      </c>
      <c r="E18" s="41">
        <f>SUM(E8:E17)</f>
        <v>279387.99</v>
      </c>
      <c r="F18" s="41">
        <f>SUM(F8:F17)</f>
        <v>0</v>
      </c>
      <c r="G18" s="41">
        <f>SUM(G8:G17)</f>
        <v>7707430.0899999999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629151.16</v>
      </c>
      <c r="F21" s="95">
        <f>'DOE25'!I22</f>
        <v>0</v>
      </c>
      <c r="G21" s="95">
        <f>'DOE25'!J22</f>
        <v>0</v>
      </c>
      <c r="H21" s="124"/>
      <c r="I21" s="124"/>
    </row>
    <row r="22" spans="1:9" x14ac:dyDescent="0.2">
      <c r="A22" s="1" t="s">
        <v>151</v>
      </c>
      <c r="B22" s="6">
        <v>410</v>
      </c>
      <c r="C22" s="95">
        <f>'DOE25'!F23</f>
        <v>23803.54</v>
      </c>
      <c r="D22" s="95">
        <f>'DOE25'!G23</f>
        <v>0</v>
      </c>
      <c r="E22" s="95">
        <f>'DOE25'!H23</f>
        <v>0</v>
      </c>
      <c r="F22" s="95">
        <f>'DOE25'!I23</f>
        <v>0</v>
      </c>
      <c r="G22" s="95">
        <f>'DOE25'!J23</f>
        <v>0</v>
      </c>
      <c r="H22" s="124"/>
      <c r="I22" s="124"/>
    </row>
    <row r="23" spans="1:9" x14ac:dyDescent="0.2">
      <c r="A23" s="1" t="s">
        <v>152</v>
      </c>
      <c r="B23" s="6">
        <v>420</v>
      </c>
      <c r="C23" s="95">
        <f>'DOE25'!F24</f>
        <v>965036.84</v>
      </c>
      <c r="D23" s="95">
        <f>'DOE25'!G24</f>
        <v>-4922.87</v>
      </c>
      <c r="E23" s="95">
        <f>'DOE25'!H24</f>
        <v>0</v>
      </c>
      <c r="F23" s="95">
        <f>'DOE25'!I24</f>
        <v>0</v>
      </c>
      <c r="G23" s="95">
        <f>'DOE25'!J24</f>
        <v>0</v>
      </c>
      <c r="H23" s="124"/>
      <c r="I23" s="124"/>
    </row>
    <row r="24" spans="1:9" x14ac:dyDescent="0.2">
      <c r="A24" s="1" t="s">
        <v>153</v>
      </c>
      <c r="B24" s="6">
        <v>430</v>
      </c>
      <c r="C24" s="95">
        <f>'DOE25'!F25</f>
        <v>6729</v>
      </c>
      <c r="D24" s="95">
        <f>'DOE25'!G25</f>
        <v>0</v>
      </c>
      <c r="E24" s="95">
        <f>'DOE25'!H25</f>
        <v>319059.34999999998</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-44112.21</v>
      </c>
      <c r="D27" s="95">
        <f>'DOE25'!G28</f>
        <v>0</v>
      </c>
      <c r="E27" s="95">
        <f>'DOE25'!H28</f>
        <v>0</v>
      </c>
      <c r="F27" s="95">
        <f>'DOE25'!I28</f>
        <v>0</v>
      </c>
      <c r="G27" s="24" t="s">
        <v>288</v>
      </c>
      <c r="H27" s="124"/>
      <c r="I27" s="124"/>
    </row>
    <row r="28" spans="1:9" x14ac:dyDescent="0.2">
      <c r="A28" s="1" t="s">
        <v>157</v>
      </c>
      <c r="B28" s="6">
        <v>470</v>
      </c>
      <c r="C28" s="95">
        <f>'DOE25'!F29</f>
        <v>508301.07999999996</v>
      </c>
      <c r="D28" s="95">
        <f>'DOE25'!G29</f>
        <v>0</v>
      </c>
      <c r="E28" s="95">
        <f>'DOE25'!H29</f>
        <v>0</v>
      </c>
      <c r="F28" s="95">
        <f>'DOE25'!I29</f>
        <v>0</v>
      </c>
      <c r="G28" s="24" t="s">
        <v>288</v>
      </c>
      <c r="H28" s="124"/>
      <c r="I28" s="124"/>
    </row>
    <row r="29" spans="1:9" x14ac:dyDescent="0.2">
      <c r="A29" s="1" t="s">
        <v>158</v>
      </c>
      <c r="B29" s="6">
        <v>480</v>
      </c>
      <c r="C29" s="95">
        <f>'DOE25'!F30</f>
        <v>0</v>
      </c>
      <c r="D29" s="95">
        <f>'DOE25'!G30</f>
        <v>5960.93</v>
      </c>
      <c r="E29" s="95">
        <f>'DOE25'!H30</f>
        <v>17129.8</v>
      </c>
      <c r="F29" s="95">
        <f>'DOE25'!I30</f>
        <v>0</v>
      </c>
      <c r="G29" s="24" t="s">
        <v>288</v>
      </c>
      <c r="H29" s="124"/>
      <c r="I29" s="124"/>
    </row>
    <row r="30" spans="1:9" ht="12" thickBot="1" x14ac:dyDescent="0.25">
      <c r="A30" s="1" t="s">
        <v>159</v>
      </c>
      <c r="B30" s="71">
        <v>490</v>
      </c>
      <c r="C30" s="95">
        <f>'DOE25'!F31</f>
        <v>36897.26</v>
      </c>
      <c r="D30" s="95">
        <f>'DOE25'!G31</f>
        <v>0</v>
      </c>
      <c r="E30" s="95">
        <f>'DOE25'!H31</f>
        <v>0</v>
      </c>
      <c r="F30" s="95">
        <f>'DOE25'!I31</f>
        <v>0</v>
      </c>
      <c r="G30" s="95">
        <f>'DOE25'!J31</f>
        <v>0</v>
      </c>
      <c r="H30" s="124"/>
      <c r="I30" s="124"/>
    </row>
    <row r="31" spans="1:9" ht="12" thickTop="1" x14ac:dyDescent="0.2">
      <c r="A31" s="38" t="s">
        <v>160</v>
      </c>
      <c r="B31" s="2"/>
      <c r="C31" s="41">
        <f>SUM(C21:C30)</f>
        <v>1496655.51</v>
      </c>
      <c r="D31" s="41">
        <f>SUM(D21:D30)</f>
        <v>1038.0600000000004</v>
      </c>
      <c r="E31" s="41">
        <f>SUM(E21:E30)</f>
        <v>965340.31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360000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386895</v>
      </c>
      <c r="D47" s="95">
        <f>'DOE25'!G48</f>
        <v>124336.4</v>
      </c>
      <c r="E47" s="95">
        <f>'DOE25'!H48</f>
        <v>-685952.32</v>
      </c>
      <c r="F47" s="95">
        <f>'DOE25'!I48</f>
        <v>0</v>
      </c>
      <c r="G47" s="95">
        <f>'DOE25'!J48</f>
        <v>7707430.0899999999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1371546.56</v>
      </c>
      <c r="D49" s="24" t="s">
        <v>288</v>
      </c>
      <c r="E49" s="24" t="s">
        <v>288</v>
      </c>
      <c r="F49" s="24" t="s">
        <v>288</v>
      </c>
      <c r="G49" s="24" t="s">
        <v>288</v>
      </c>
      <c r="H49" s="124"/>
      <c r="I49" s="124"/>
    </row>
    <row r="50" spans="1:9" ht="12.75" thickTop="1" thickBot="1" x14ac:dyDescent="0.25">
      <c r="A50" s="38" t="s">
        <v>884</v>
      </c>
      <c r="B50" s="48"/>
      <c r="C50" s="41">
        <f>SUM(C34:C49)</f>
        <v>2118441.56</v>
      </c>
      <c r="D50" s="41">
        <f>SUM(D34:D49)</f>
        <v>124336.4</v>
      </c>
      <c r="E50" s="41">
        <f>SUM(E34:E49)</f>
        <v>-685952.32</v>
      </c>
      <c r="F50" s="41">
        <f>SUM(F34:F49)</f>
        <v>0</v>
      </c>
      <c r="G50" s="41">
        <f>SUM(G34:G49)</f>
        <v>7707430.0899999999</v>
      </c>
      <c r="H50" s="124"/>
      <c r="I50" s="124"/>
    </row>
    <row r="51" spans="1:9" ht="12" thickTop="1" x14ac:dyDescent="0.2">
      <c r="A51" s="38" t="s">
        <v>885</v>
      </c>
      <c r="B51" s="2"/>
      <c r="C51" s="41">
        <f>C50+C31</f>
        <v>3615097.0700000003</v>
      </c>
      <c r="D51" s="41">
        <f>D50+D31</f>
        <v>125374.45999999999</v>
      </c>
      <c r="E51" s="41">
        <f>E50+E31</f>
        <v>279387.99000000011</v>
      </c>
      <c r="F51" s="41">
        <f>F50+F31</f>
        <v>0</v>
      </c>
      <c r="G51" s="41">
        <f>G50+G31</f>
        <v>7707430.0899999999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15475809</v>
      </c>
      <c r="D56" s="95">
        <f>'DOE25'!G60</f>
        <v>0</v>
      </c>
      <c r="E56" s="95">
        <f>'DOE25'!H60</f>
        <v>0</v>
      </c>
      <c r="F56" s="95">
        <f>'DOE25'!I60</f>
        <v>0</v>
      </c>
      <c r="G56" s="95">
        <f>'DOE25'!J60</f>
        <v>0</v>
      </c>
      <c r="H56"/>
      <c r="I56"/>
    </row>
    <row r="57" spans="1:9" x14ac:dyDescent="0.2">
      <c r="A57" s="1" t="s">
        <v>164</v>
      </c>
      <c r="B57" s="6" t="s">
        <v>165</v>
      </c>
      <c r="C57" s="95">
        <f>'DOE25'!F79</f>
        <v>802188.91000000015</v>
      </c>
      <c r="D57" s="24" t="s">
        <v>288</v>
      </c>
      <c r="E57" s="95">
        <f>'DOE25'!H79</f>
        <v>0</v>
      </c>
      <c r="F57" s="24" t="s">
        <v>288</v>
      </c>
      <c r="G57" s="24" t="s">
        <v>288</v>
      </c>
      <c r="H57"/>
      <c r="I57"/>
    </row>
    <row r="58" spans="1:9" x14ac:dyDescent="0.2">
      <c r="A58" s="1" t="s">
        <v>166</v>
      </c>
      <c r="B58" s="6" t="s">
        <v>167</v>
      </c>
      <c r="C58" s="95">
        <f>'DOE25'!F94</f>
        <v>2131.5</v>
      </c>
      <c r="D58" s="24" t="s">
        <v>288</v>
      </c>
      <c r="E58" s="95">
        <f>'DOE25'!H94</f>
        <v>0</v>
      </c>
      <c r="F58" s="24" t="s">
        <v>288</v>
      </c>
      <c r="G58" s="24" t="s">
        <v>288</v>
      </c>
      <c r="H58"/>
      <c r="I58"/>
    </row>
    <row r="59" spans="1:9" x14ac:dyDescent="0.2">
      <c r="A59" s="69" t="s">
        <v>168</v>
      </c>
      <c r="B59" s="37" t="s">
        <v>169</v>
      </c>
      <c r="C59" s="95">
        <f>'DOE25'!F96</f>
        <v>107283.07</v>
      </c>
      <c r="D59" s="95">
        <f>'DOE25'!G96</f>
        <v>0</v>
      </c>
      <c r="E59" s="95">
        <f>'DOE25'!H96</f>
        <v>0</v>
      </c>
      <c r="F59" s="95">
        <f>'DOE25'!I96</f>
        <v>0</v>
      </c>
      <c r="G59" s="95">
        <f>'DOE25'!J96</f>
        <v>446655.25</v>
      </c>
      <c r="H59"/>
      <c r="I59"/>
    </row>
    <row r="60" spans="1:9" x14ac:dyDescent="0.2">
      <c r="A60" s="1" t="s">
        <v>170</v>
      </c>
      <c r="B60" s="118" t="s">
        <v>171</v>
      </c>
      <c r="C60" s="24" t="s">
        <v>288</v>
      </c>
      <c r="D60" s="95">
        <f>'DOE25'!G97</f>
        <v>82496.479999999996</v>
      </c>
      <c r="E60" s="24" t="s">
        <v>288</v>
      </c>
      <c r="F60" s="24" t="s">
        <v>288</v>
      </c>
      <c r="G60" s="24" t="s">
        <v>288</v>
      </c>
      <c r="H60"/>
      <c r="I60"/>
    </row>
    <row r="61" spans="1:9" ht="12" thickBot="1" x14ac:dyDescent="0.25">
      <c r="A61" s="1" t="s">
        <v>172</v>
      </c>
      <c r="B61" s="118" t="s">
        <v>173</v>
      </c>
      <c r="C61" s="95">
        <f>SUM('DOE25'!F98:F110)</f>
        <v>90828.920000000013</v>
      </c>
      <c r="D61" s="95">
        <f>SUM('DOE25'!G98:G110)</f>
        <v>50</v>
      </c>
      <c r="E61" s="95">
        <f>SUM('DOE25'!H98:H110)</f>
        <v>0</v>
      </c>
      <c r="F61" s="95">
        <f>SUM('DOE25'!I98:I110)</f>
        <v>0</v>
      </c>
      <c r="G61" s="95">
        <f>SUM('DOE25'!J98:J110)</f>
        <v>0</v>
      </c>
      <c r="H61"/>
      <c r="I61"/>
    </row>
    <row r="62" spans="1:9" ht="12.75" thickTop="1" thickBot="1" x14ac:dyDescent="0.25">
      <c r="A62" s="29" t="s">
        <v>174</v>
      </c>
      <c r="B62" s="6"/>
      <c r="C62" s="130">
        <f>SUM(C57:C61)</f>
        <v>1002432.4000000003</v>
      </c>
      <c r="D62" s="130">
        <f>SUM(D57:D61)</f>
        <v>82546.48</v>
      </c>
      <c r="E62" s="130">
        <f>SUM(E57:E61)</f>
        <v>0</v>
      </c>
      <c r="F62" s="130">
        <f>SUM(F57:F61)</f>
        <v>0</v>
      </c>
      <c r="G62" s="130">
        <f>SUM(G57:G61)</f>
        <v>446655.25</v>
      </c>
      <c r="H62"/>
      <c r="I62"/>
    </row>
    <row r="63" spans="1:9" ht="12" thickTop="1" x14ac:dyDescent="0.2">
      <c r="A63" s="29" t="s">
        <v>175</v>
      </c>
      <c r="B63" s="6"/>
      <c r="C63" s="22">
        <f>C56+C62</f>
        <v>16478241.4</v>
      </c>
      <c r="D63" s="22">
        <f>D56+D62</f>
        <v>82546.48</v>
      </c>
      <c r="E63" s="22">
        <f>E56+E62</f>
        <v>0</v>
      </c>
      <c r="F63" s="22">
        <f>F56+F62</f>
        <v>0</v>
      </c>
      <c r="G63" s="22">
        <f>G56+G62</f>
        <v>446655.25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13432534</v>
      </c>
      <c r="D66" s="24" t="s">
        <v>288</v>
      </c>
      <c r="E66" s="24" t="s">
        <v>288</v>
      </c>
      <c r="F66" s="24" t="s">
        <v>288</v>
      </c>
      <c r="G66" s="24" t="s">
        <v>288</v>
      </c>
      <c r="H66"/>
      <c r="I66"/>
    </row>
    <row r="67" spans="1:9" x14ac:dyDescent="0.2">
      <c r="A67" s="1" t="s">
        <v>770</v>
      </c>
      <c r="B67" s="6">
        <v>3112</v>
      </c>
      <c r="C67" s="95">
        <f>'DOE25'!F118</f>
        <v>1413115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14845649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642316.43000000005</v>
      </c>
      <c r="D75" s="24" t="s">
        <v>288</v>
      </c>
      <c r="E75" s="24" t="s">
        <v>288</v>
      </c>
      <c r="F75" s="24" t="s">
        <v>288</v>
      </c>
      <c r="G75" s="24" t="s">
        <v>288</v>
      </c>
      <c r="H75"/>
      <c r="I75"/>
    </row>
    <row r="76" spans="1:9" x14ac:dyDescent="0.2">
      <c r="A76" s="1" t="s">
        <v>257</v>
      </c>
      <c r="B76" s="6" t="s">
        <v>179</v>
      </c>
      <c r="C76" s="95">
        <f>SUM('DOE25'!F127:F130)</f>
        <v>23866.28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10403.719999999999</v>
      </c>
      <c r="E77" s="95">
        <f>SUM('DOE25'!H131:H135)</f>
        <v>0</v>
      </c>
      <c r="F77" s="95">
        <f>SUM('DOE25'!I131:I135)</f>
        <v>0</v>
      </c>
      <c r="G77" s="95">
        <f>SUM('DOE25'!J131:J135)</f>
        <v>0</v>
      </c>
      <c r="H77"/>
      <c r="I77"/>
    </row>
    <row r="78" spans="1:9" ht="12.75" thickTop="1" thickBot="1" x14ac:dyDescent="0.25">
      <c r="A78" s="29" t="s">
        <v>259</v>
      </c>
      <c r="B78" s="6"/>
      <c r="C78" s="130">
        <f>SUM(C72:C77)</f>
        <v>666182.71000000008</v>
      </c>
      <c r="D78" s="130">
        <f>SUM(D72:D77)</f>
        <v>10403.719999999999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15511831.710000001</v>
      </c>
      <c r="D81" s="130">
        <f>SUM(D79:D80)+D78+D70</f>
        <v>10403.719999999999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95328.37</v>
      </c>
      <c r="D88" s="341">
        <f>SUM('DOE25'!G153:G162)</f>
        <v>603890.46</v>
      </c>
      <c r="E88" s="341">
        <f>SUM('DOE25'!H153:H162)</f>
        <v>2375815.0099999998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95328.37</v>
      </c>
      <c r="D91" s="131">
        <f>SUM(D85:D90)</f>
        <v>603890.46</v>
      </c>
      <c r="E91" s="131">
        <f>SUM(E85:E90)</f>
        <v>2375815.0099999998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65000</v>
      </c>
      <c r="F96" s="95">
        <f>'DOE25'!I180</f>
        <v>0</v>
      </c>
      <c r="G96" s="95">
        <f>'DOE25'!J180</f>
        <v>650000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65000</v>
      </c>
      <c r="F103" s="86">
        <f>SUM(F93:F102)</f>
        <v>0</v>
      </c>
      <c r="G103" s="86">
        <f>SUM(G93:G102)</f>
        <v>650000</v>
      </c>
    </row>
    <row r="104" spans="1:7" ht="12.75" thickTop="1" thickBot="1" x14ac:dyDescent="0.25">
      <c r="A104" s="33" t="s">
        <v>761</v>
      </c>
      <c r="C104" s="86">
        <f>C63+C81+C91+C103</f>
        <v>32085401.48</v>
      </c>
      <c r="D104" s="86">
        <f>D63+D81+D91+D103</f>
        <v>696840.65999999992</v>
      </c>
      <c r="E104" s="86">
        <f>E63+E81+E91+E103</f>
        <v>2440815.0099999998</v>
      </c>
      <c r="F104" s="86">
        <f>F63+F81+F91+F103</f>
        <v>0</v>
      </c>
      <c r="G104" s="86">
        <f>G63+G81+G103</f>
        <v>1096655.25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10261690.130000001</v>
      </c>
      <c r="D109" s="24" t="s">
        <v>288</v>
      </c>
      <c r="E109" s="95">
        <f>('DOE25'!L277)+('DOE25'!L296)+('DOE25'!L315)</f>
        <v>1010140.01</v>
      </c>
      <c r="F109" s="24" t="s">
        <v>288</v>
      </c>
      <c r="G109" s="24" t="s">
        <v>288</v>
      </c>
    </row>
    <row r="110" spans="1:7" x14ac:dyDescent="0.2">
      <c r="A110" t="s">
        <v>198</v>
      </c>
      <c r="B110" s="32" t="s">
        <v>199</v>
      </c>
      <c r="C110" s="95">
        <f>('DOE25'!L199)+('DOE25'!L217)+('DOE25'!L235)</f>
        <v>7663564.8100000005</v>
      </c>
      <c r="D110" s="24" t="s">
        <v>288</v>
      </c>
      <c r="E110" s="95">
        <f>('DOE25'!L278)+('DOE25'!L297)+('DOE25'!L316)</f>
        <v>1197715</v>
      </c>
      <c r="F110" s="24" t="s">
        <v>288</v>
      </c>
      <c r="G110" s="24" t="s">
        <v>288</v>
      </c>
    </row>
    <row r="111" spans="1:7" x14ac:dyDescent="0.2">
      <c r="A111" t="s">
        <v>200</v>
      </c>
      <c r="B111" s="32" t="s">
        <v>165</v>
      </c>
      <c r="C111" s="95">
        <f>('DOE25'!L200)+('DOE25'!L218)+('DOE25'!L236)</f>
        <v>756990.66999999993</v>
      </c>
      <c r="D111" s="24" t="s">
        <v>288</v>
      </c>
      <c r="E111" s="95">
        <f>('DOE25'!L279)+('DOE25'!L298)+('DOE25'!L317)</f>
        <v>37411.460000000006</v>
      </c>
      <c r="F111" s="24" t="s">
        <v>288</v>
      </c>
      <c r="G111" s="24" t="s">
        <v>288</v>
      </c>
    </row>
    <row r="112" spans="1:7" x14ac:dyDescent="0.2">
      <c r="A112" t="s">
        <v>201</v>
      </c>
      <c r="B112" s="32" t="s">
        <v>167</v>
      </c>
      <c r="C112" s="95">
        <f>('DOE25'!L201)+('DOE25'!L219)+('DOE25'!L237)</f>
        <v>411996.95</v>
      </c>
      <c r="D112" s="24" t="s">
        <v>288</v>
      </c>
      <c r="E112" s="95">
        <f>+('DOE25'!L280)+('DOE25'!L299)+('DOE25'!L318)</f>
        <v>49141.729999999996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19094242.559999999</v>
      </c>
      <c r="D115" s="86">
        <f>SUM(D109:D114)</f>
        <v>0</v>
      </c>
      <c r="E115" s="86">
        <f>SUM(E109:E114)</f>
        <v>2294408.1999999997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1634846.5400000003</v>
      </c>
      <c r="D118" s="24" t="s">
        <v>288</v>
      </c>
      <c r="E118" s="95">
        <f>+('DOE25'!L282)+('DOE25'!L301)+('DOE25'!L320)</f>
        <v>437445.82999999996</v>
      </c>
      <c r="F118" s="24" t="s">
        <v>288</v>
      </c>
      <c r="G118" s="24" t="s">
        <v>288</v>
      </c>
    </row>
    <row r="119" spans="1:7" x14ac:dyDescent="0.2">
      <c r="A119" t="s">
        <v>208</v>
      </c>
      <c r="B119" s="32" t="s">
        <v>209</v>
      </c>
      <c r="C119" s="95">
        <f>('DOE25'!L204)+('DOE25'!L222)+('DOE25'!L240)</f>
        <v>844618.59999999986</v>
      </c>
      <c r="D119" s="24" t="s">
        <v>288</v>
      </c>
      <c r="E119" s="95">
        <f>+('DOE25'!L283)+('DOE25'!L302)+('DOE25'!L321)</f>
        <v>0</v>
      </c>
      <c r="F119" s="24" t="s">
        <v>288</v>
      </c>
      <c r="G119" s="24" t="s">
        <v>288</v>
      </c>
    </row>
    <row r="120" spans="1:7" x14ac:dyDescent="0.2">
      <c r="A120" t="s">
        <v>210</v>
      </c>
      <c r="B120" s="32" t="s">
        <v>211</v>
      </c>
      <c r="C120" s="95">
        <f>('DOE25'!L205)+('DOE25'!L223)+('DOE25'!L241)</f>
        <v>1510519.59</v>
      </c>
      <c r="D120" s="24" t="s">
        <v>288</v>
      </c>
      <c r="E120" s="95">
        <f>+('DOE25'!L284)+('DOE25'!L303)+('DOE25'!L322)</f>
        <v>0</v>
      </c>
      <c r="F120" s="24" t="s">
        <v>288</v>
      </c>
      <c r="G120" s="24" t="s">
        <v>288</v>
      </c>
    </row>
    <row r="121" spans="1:7" x14ac:dyDescent="0.2">
      <c r="A121" t="s">
        <v>212</v>
      </c>
      <c r="B121" s="32" t="s">
        <v>213</v>
      </c>
      <c r="C121" s="95">
        <f>('DOE25'!L206)+('DOE25'!L224)+('DOE25'!L242)</f>
        <v>2773001.6000000006</v>
      </c>
      <c r="D121" s="24" t="s">
        <v>288</v>
      </c>
      <c r="E121" s="95">
        <f>+('DOE25'!L285)+('DOE25'!L304)+('DOE25'!L323)</f>
        <v>123936.90999999999</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2507086.69</v>
      </c>
      <c r="D123" s="24" t="s">
        <v>288</v>
      </c>
      <c r="E123" s="95">
        <f>+('DOE25'!L287)+('DOE25'!L306)+('DOE25'!L325)</f>
        <v>0</v>
      </c>
      <c r="F123" s="24" t="s">
        <v>288</v>
      </c>
      <c r="G123" s="24" t="s">
        <v>288</v>
      </c>
    </row>
    <row r="124" spans="1:7" x14ac:dyDescent="0.2">
      <c r="A124" t="s">
        <v>218</v>
      </c>
      <c r="B124" s="32" t="s">
        <v>219</v>
      </c>
      <c r="C124" s="95">
        <f>('DOE25'!L209)+('DOE25'!L227)+('DOE25'!L245+'DOE25'!L255)</f>
        <v>1240794.29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494502.19999999995</v>
      </c>
      <c r="E127" s="24" t="s">
        <v>288</v>
      </c>
      <c r="F127" s="24" t="s">
        <v>288</v>
      </c>
      <c r="G127" s="24" t="s">
        <v>288</v>
      </c>
    </row>
    <row r="128" spans="1:7" ht="12.75" thickTop="1" thickBot="1" x14ac:dyDescent="0.25">
      <c r="A128" s="33" t="s">
        <v>226</v>
      </c>
      <c r="C128" s="86">
        <f>SUM(C118:C127)</f>
        <v>10510867.310000002</v>
      </c>
      <c r="D128" s="86">
        <f>SUM(D118:D127)</f>
        <v>494502.19999999995</v>
      </c>
      <c r="E128" s="86">
        <f>SUM(E118:E127)</f>
        <v>561382.74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740914</v>
      </c>
      <c r="D131" s="24" t="s">
        <v>288</v>
      </c>
      <c r="E131" s="129">
        <f>'DOE25'!L342</f>
        <v>0</v>
      </c>
      <c r="F131" s="24" t="s">
        <v>288</v>
      </c>
      <c r="G131" s="24" t="s">
        <v>288</v>
      </c>
    </row>
    <row r="132" spans="1:7" x14ac:dyDescent="0.2">
      <c r="A132" t="s">
        <v>230</v>
      </c>
      <c r="B132" s="32">
        <v>5120</v>
      </c>
      <c r="C132" s="95">
        <f>'DOE25'!L262</f>
        <v>470098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65000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185889.83</v>
      </c>
      <c r="D138" s="24" t="s">
        <v>288</v>
      </c>
      <c r="E138" s="24" t="s">
        <v>288</v>
      </c>
      <c r="F138" s="24" t="s">
        <v>288</v>
      </c>
      <c r="G138" s="24" t="s">
        <v>288</v>
      </c>
    </row>
    <row r="139" spans="1:7" x14ac:dyDescent="0.2">
      <c r="A139" t="s">
        <v>239</v>
      </c>
      <c r="B139" s="32">
        <v>5252</v>
      </c>
      <c r="C139" s="95">
        <f>'DOE25'!L402</f>
        <v>910765.42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-446655.25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1926012</v>
      </c>
      <c r="D144" s="141">
        <f>SUM(D130:D143)</f>
        <v>0</v>
      </c>
      <c r="E144" s="141">
        <f>SUM(E130:E143)</f>
        <v>0</v>
      </c>
      <c r="F144" s="141">
        <f>SUM(F130:F143)</f>
        <v>0</v>
      </c>
      <c r="G144" s="141">
        <f>SUM(G130:G143)</f>
        <v>0</v>
      </c>
    </row>
    <row r="145" spans="1:9" ht="12.75" thickTop="1" thickBot="1" x14ac:dyDescent="0.25">
      <c r="A145" s="33" t="s">
        <v>244</v>
      </c>
      <c r="C145" s="86">
        <f>(C115+C128+C144)</f>
        <v>31531121.870000001</v>
      </c>
      <c r="D145" s="86">
        <f>(D115+D128+D144)</f>
        <v>494502.19999999995</v>
      </c>
      <c r="E145" s="86">
        <f>(E115+E128+E144)</f>
        <v>2855790.9399999995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8/13</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11195000</v>
      </c>
      <c r="C154" s="137">
        <f>'DOE25'!G494</f>
        <v>0</v>
      </c>
      <c r="D154" s="137">
        <f>'DOE25'!H494</f>
        <v>0</v>
      </c>
      <c r="E154" s="137">
        <f>'DOE25'!I494</f>
        <v>0</v>
      </c>
      <c r="F154" s="137">
        <f>'DOE25'!J494</f>
        <v>0</v>
      </c>
      <c r="G154" s="24" t="s">
        <v>288</v>
      </c>
    </row>
    <row r="155" spans="1:9" x14ac:dyDescent="0.2">
      <c r="A155" s="136" t="s">
        <v>31</v>
      </c>
      <c r="B155" s="137">
        <f>'DOE25'!F495</f>
        <v>3.58</v>
      </c>
      <c r="C155" s="137">
        <f>'DOE25'!G495</f>
        <v>0</v>
      </c>
      <c r="D155" s="137">
        <f>'DOE25'!H495</f>
        <v>0</v>
      </c>
      <c r="E155" s="137">
        <f>'DOE25'!I495</f>
        <v>0</v>
      </c>
      <c r="F155" s="137">
        <f>'DOE25'!J495</f>
        <v>0</v>
      </c>
      <c r="G155" s="24" t="s">
        <v>288</v>
      </c>
    </row>
    <row r="156" spans="1:9" x14ac:dyDescent="0.2">
      <c r="A156" s="22" t="s">
        <v>32</v>
      </c>
      <c r="B156" s="137">
        <f>'DOE25'!F496</f>
        <v>8390000</v>
      </c>
      <c r="C156" s="137">
        <f>'DOE25'!G496</f>
        <v>0</v>
      </c>
      <c r="D156" s="137">
        <f>'DOE25'!H496</f>
        <v>0</v>
      </c>
      <c r="E156" s="137">
        <f>'DOE25'!I496</f>
        <v>0</v>
      </c>
      <c r="F156" s="137">
        <f>'DOE25'!J496</f>
        <v>0</v>
      </c>
      <c r="G156" s="138">
        <f>SUM(B156:F156)</f>
        <v>8390000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560000</v>
      </c>
      <c r="C158" s="137">
        <f>'DOE25'!G498</f>
        <v>0</v>
      </c>
      <c r="D158" s="137">
        <f>'DOE25'!H498</f>
        <v>0</v>
      </c>
      <c r="E158" s="137">
        <f>'DOE25'!I498</f>
        <v>0</v>
      </c>
      <c r="F158" s="137">
        <f>'DOE25'!J498</f>
        <v>0</v>
      </c>
      <c r="G158" s="138">
        <f t="shared" si="0"/>
        <v>560000</v>
      </c>
    </row>
    <row r="159" spans="1:9" x14ac:dyDescent="0.2">
      <c r="A159" s="22" t="s">
        <v>35</v>
      </c>
      <c r="B159" s="137">
        <f>'DOE25'!F499</f>
        <v>7830000</v>
      </c>
      <c r="C159" s="137">
        <f>'DOE25'!G499</f>
        <v>0</v>
      </c>
      <c r="D159" s="137">
        <f>'DOE25'!H499</f>
        <v>0</v>
      </c>
      <c r="E159" s="137">
        <f>'DOE25'!I499</f>
        <v>0</v>
      </c>
      <c r="F159" s="137">
        <f>'DOE25'!J499</f>
        <v>0</v>
      </c>
      <c r="G159" s="138">
        <f t="shared" si="0"/>
        <v>7830000</v>
      </c>
    </row>
    <row r="160" spans="1:9" x14ac:dyDescent="0.2">
      <c r="A160" s="22" t="s">
        <v>36</v>
      </c>
      <c r="B160" s="137">
        <f>'DOE25'!F500</f>
        <v>2747149</v>
      </c>
      <c r="C160" s="137">
        <f>'DOE25'!G500</f>
        <v>0</v>
      </c>
      <c r="D160" s="137">
        <f>'DOE25'!H500</f>
        <v>0</v>
      </c>
      <c r="E160" s="137">
        <f>'DOE25'!I500</f>
        <v>0</v>
      </c>
      <c r="F160" s="137">
        <f>'DOE25'!J500</f>
        <v>0</v>
      </c>
      <c r="G160" s="138">
        <f t="shared" si="0"/>
        <v>2747149</v>
      </c>
    </row>
    <row r="161" spans="1:7" x14ac:dyDescent="0.2">
      <c r="A161" s="22" t="s">
        <v>37</v>
      </c>
      <c r="B161" s="137">
        <f>'DOE25'!F501</f>
        <v>10577149</v>
      </c>
      <c r="C161" s="137">
        <f>'DOE25'!G501</f>
        <v>0</v>
      </c>
      <c r="D161" s="137">
        <f>'DOE25'!H501</f>
        <v>0</v>
      </c>
      <c r="E161" s="137">
        <f>'DOE25'!I501</f>
        <v>0</v>
      </c>
      <c r="F161" s="137">
        <f>'DOE25'!J501</f>
        <v>0</v>
      </c>
      <c r="G161" s="138">
        <f t="shared" si="0"/>
        <v>10577149</v>
      </c>
    </row>
    <row r="162" spans="1:7" x14ac:dyDescent="0.2">
      <c r="A162" s="22" t="s">
        <v>38</v>
      </c>
      <c r="B162" s="137">
        <f>'DOE25'!F502</f>
        <v>560000</v>
      </c>
      <c r="C162" s="137">
        <f>'DOE25'!G502</f>
        <v>0</v>
      </c>
      <c r="D162" s="137">
        <f>'DOE25'!H502</f>
        <v>0</v>
      </c>
      <c r="E162" s="137">
        <f>'DOE25'!I502</f>
        <v>0</v>
      </c>
      <c r="F162" s="137">
        <f>'DOE25'!J502</f>
        <v>0</v>
      </c>
      <c r="G162" s="138">
        <f t="shared" si="0"/>
        <v>560000</v>
      </c>
    </row>
    <row r="163" spans="1:7" x14ac:dyDescent="0.2">
      <c r="A163" s="22" t="s">
        <v>39</v>
      </c>
      <c r="B163" s="137">
        <f>'DOE25'!F503</f>
        <v>378750</v>
      </c>
      <c r="C163" s="137">
        <f>'DOE25'!G503</f>
        <v>0</v>
      </c>
      <c r="D163" s="137">
        <f>'DOE25'!H503</f>
        <v>0</v>
      </c>
      <c r="E163" s="137">
        <f>'DOE25'!I503</f>
        <v>0</v>
      </c>
      <c r="F163" s="137">
        <f>'DOE25'!J503</f>
        <v>0</v>
      </c>
      <c r="G163" s="138">
        <f t="shared" si="0"/>
        <v>378750</v>
      </c>
    </row>
    <row r="164" spans="1:7" x14ac:dyDescent="0.2">
      <c r="A164" s="22" t="s">
        <v>246</v>
      </c>
      <c r="B164" s="137">
        <f>'DOE25'!F504</f>
        <v>938750</v>
      </c>
      <c r="C164" s="137">
        <f>'DOE25'!G504</f>
        <v>0</v>
      </c>
      <c r="D164" s="137">
        <f>'DOE25'!H504</f>
        <v>0</v>
      </c>
      <c r="E164" s="137">
        <f>'DOE25'!I504</f>
        <v>0</v>
      </c>
      <c r="F164" s="137">
        <f>'DOE25'!J504</f>
        <v>0</v>
      </c>
      <c r="G164" s="138">
        <f t="shared" si="0"/>
        <v>938750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Claremont School District</v>
      </c>
    </row>
    <row r="3" spans="1:4" x14ac:dyDescent="0.2">
      <c r="B3" s="188" t="s">
        <v>1587</v>
      </c>
    </row>
    <row r="4" spans="1:4" x14ac:dyDescent="0.2">
      <c r="B4" t="s">
        <v>61</v>
      </c>
      <c r="C4" s="179">
        <f>IF('DOE25'!F666+'DOE25'!F671=0,0,ROUND('DOE25'!F673,0))</f>
        <v>18464</v>
      </c>
    </row>
    <row r="5" spans="1:4" x14ac:dyDescent="0.2">
      <c r="B5" t="s">
        <v>700</v>
      </c>
      <c r="C5" s="179">
        <f>IF('DOE25'!G666+'DOE25'!G671=0,0,ROUND('DOE25'!G673,0))</f>
        <v>15381</v>
      </c>
    </row>
    <row r="6" spans="1:4" x14ac:dyDescent="0.2">
      <c r="B6" t="s">
        <v>62</v>
      </c>
      <c r="C6" s="179">
        <f>IF('DOE25'!H666+'DOE25'!H671=0,0,ROUND('DOE25'!H673,0))</f>
        <v>16429</v>
      </c>
    </row>
    <row r="7" spans="1:4" x14ac:dyDescent="0.2">
      <c r="B7" t="s">
        <v>701</v>
      </c>
      <c r="C7" s="179">
        <f>IF('DOE25'!I666+'DOE25'!I671=0,0,ROUND('DOE25'!I673,0))</f>
        <v>17084</v>
      </c>
    </row>
    <row r="9" spans="1:4" x14ac:dyDescent="0.2">
      <c r="A9" s="187" t="s">
        <v>94</v>
      </c>
      <c r="B9" s="188" t="s">
        <v>1588</v>
      </c>
      <c r="C9" s="181" t="s">
        <v>720</v>
      </c>
      <c r="D9" s="181" t="s">
        <v>721</v>
      </c>
    </row>
    <row r="10" spans="1:4" x14ac:dyDescent="0.2">
      <c r="A10">
        <v>1100</v>
      </c>
      <c r="B10" t="s">
        <v>702</v>
      </c>
      <c r="C10" s="179">
        <f>ROUND('DOE25'!L198+'DOE25'!L216+'DOE25'!L234+'DOE25'!L277+'DOE25'!L296+'DOE25'!L315,0)</f>
        <v>11271830</v>
      </c>
      <c r="D10" s="182">
        <f>ROUND((C10/$C$28)*100,1)</f>
        <v>33.799999999999997</v>
      </c>
    </row>
    <row r="11" spans="1:4" x14ac:dyDescent="0.2">
      <c r="A11">
        <v>1200</v>
      </c>
      <c r="B11" t="s">
        <v>703</v>
      </c>
      <c r="C11" s="179">
        <f>ROUND('DOE25'!L199+'DOE25'!L217+'DOE25'!L235+'DOE25'!L278+'DOE25'!L297+'DOE25'!L316,0)</f>
        <v>8861280</v>
      </c>
      <c r="D11" s="182">
        <f>ROUND((C11/$C$28)*100,1)</f>
        <v>26.6</v>
      </c>
    </row>
    <row r="12" spans="1:4" x14ac:dyDescent="0.2">
      <c r="A12">
        <v>1300</v>
      </c>
      <c r="B12" t="s">
        <v>704</v>
      </c>
      <c r="C12" s="179">
        <f>ROUND('DOE25'!L200+'DOE25'!L218+'DOE25'!L236+'DOE25'!L279+'DOE25'!L298+'DOE25'!L317,0)</f>
        <v>794402</v>
      </c>
      <c r="D12" s="182">
        <f>ROUND((C12/$C$28)*100,1)</f>
        <v>2.4</v>
      </c>
    </row>
    <row r="13" spans="1:4" x14ac:dyDescent="0.2">
      <c r="A13">
        <v>1400</v>
      </c>
      <c r="B13" t="s">
        <v>705</v>
      </c>
      <c r="C13" s="179">
        <f>ROUND('DOE25'!L201+'DOE25'!L219+'DOE25'!L237+'DOE25'!L280+'DOE25'!L299+'DOE25'!L318,0)</f>
        <v>461139</v>
      </c>
      <c r="D13" s="182">
        <f>ROUND((C13/$C$28)*100,1)</f>
        <v>1.4</v>
      </c>
    </row>
    <row r="14" spans="1:4" x14ac:dyDescent="0.2">
      <c r="D14" s="182"/>
    </row>
    <row r="15" spans="1:4" x14ac:dyDescent="0.2">
      <c r="A15">
        <v>2100</v>
      </c>
      <c r="B15" t="s">
        <v>706</v>
      </c>
      <c r="C15" s="179">
        <f>ROUND('DOE25'!L203+'DOE25'!L221+'DOE25'!L239+'DOE25'!L282+'DOE25'!L301+'DOE25'!L320,0)</f>
        <v>2072292</v>
      </c>
      <c r="D15" s="182">
        <f t="shared" ref="D15:D27" si="0">ROUND((C15/$C$28)*100,1)</f>
        <v>6.2</v>
      </c>
    </row>
    <row r="16" spans="1:4" x14ac:dyDescent="0.2">
      <c r="A16">
        <v>2200</v>
      </c>
      <c r="B16" t="s">
        <v>707</v>
      </c>
      <c r="C16" s="179">
        <f>ROUND('DOE25'!L204+'DOE25'!L222+'DOE25'!L240+'DOE25'!L283+'DOE25'!L302+'DOE25'!L321,0)</f>
        <v>844619</v>
      </c>
      <c r="D16" s="182">
        <f t="shared" si="0"/>
        <v>2.5</v>
      </c>
    </row>
    <row r="17" spans="1:4" x14ac:dyDescent="0.2">
      <c r="A17" s="183" t="s">
        <v>723</v>
      </c>
      <c r="B17" t="s">
        <v>738</v>
      </c>
      <c r="C17" s="179">
        <f>ROUND('DOE25'!L205+'DOE25'!L210+'DOE25'!L223+'DOE25'!L228+'DOE25'!L241+'DOE25'!L246+'DOE25'!L284+'DOE25'!L289+'DOE25'!L303+'DOE25'!L308+'DOE25'!L322+'DOE25'!L327,0)</f>
        <v>1510520</v>
      </c>
      <c r="D17" s="182">
        <f t="shared" si="0"/>
        <v>4.5</v>
      </c>
    </row>
    <row r="18" spans="1:4" x14ac:dyDescent="0.2">
      <c r="A18">
        <v>2400</v>
      </c>
      <c r="B18" t="s">
        <v>711</v>
      </c>
      <c r="C18" s="179">
        <f>ROUND('DOE25'!L206+'DOE25'!L224+'DOE25'!L242+'DOE25'!L285+'DOE25'!L304+'DOE25'!L323,0)</f>
        <v>2896939</v>
      </c>
      <c r="D18" s="182">
        <f t="shared" si="0"/>
        <v>8.6999999999999993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2507087</v>
      </c>
      <c r="D20" s="182">
        <f t="shared" si="0"/>
        <v>7.5</v>
      </c>
    </row>
    <row r="21" spans="1:4" x14ac:dyDescent="0.2">
      <c r="A21">
        <v>2700</v>
      </c>
      <c r="B21" t="s">
        <v>710</v>
      </c>
      <c r="C21" s="179">
        <f>ROUND('DOE25'!L209+'DOE25'!L227+'DOE25'!L245+'DOE25'!L288+'DOE25'!L307+'DOE25'!L326,0)</f>
        <v>1240794</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470098</v>
      </c>
      <c r="D25" s="182">
        <f t="shared" si="0"/>
        <v>1.4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411955.52</v>
      </c>
      <c r="D27" s="182">
        <f t="shared" si="0"/>
        <v>1.2</v>
      </c>
    </row>
    <row r="28" spans="1:4" x14ac:dyDescent="0.2">
      <c r="B28" s="187" t="s">
        <v>719</v>
      </c>
      <c r="C28" s="180">
        <f>SUM(C10:C27)</f>
        <v>33342955.52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33342955.52</v>
      </c>
    </row>
    <row r="31" spans="1:4" x14ac:dyDescent="0.2">
      <c r="B31" s="33"/>
      <c r="C31" s="180"/>
    </row>
    <row r="32" spans="1:4" x14ac:dyDescent="0.2">
      <c r="A32">
        <v>5100</v>
      </c>
      <c r="B32" s="33" t="s">
        <v>726</v>
      </c>
      <c r="C32" s="180">
        <f>ROUND('DOE25'!L261+'DOE25'!L342,0)</f>
        <v>740914</v>
      </c>
    </row>
    <row r="34" spans="1:4" x14ac:dyDescent="0.2">
      <c r="A34" s="187" t="s">
        <v>94</v>
      </c>
      <c r="B34" s="188" t="s">
        <v>1589</v>
      </c>
      <c r="C34" s="181" t="s">
        <v>720</v>
      </c>
      <c r="D34" s="181" t="s">
        <v>721</v>
      </c>
    </row>
    <row r="35" spans="1:4" x14ac:dyDescent="0.2">
      <c r="A35">
        <v>1100</v>
      </c>
      <c r="B35" s="185" t="s">
        <v>727</v>
      </c>
      <c r="C35" s="179">
        <f>ROUND('DOE25'!F60+'DOE25'!G60+'DOE25'!H60+'DOE25'!I60+'DOE25'!J60,0)</f>
        <v>15475809</v>
      </c>
      <c r="D35" s="182">
        <f t="shared" ref="D35:D40" si="1">ROUND((C35/$C$41)*100,1)</f>
        <v>43.6</v>
      </c>
    </row>
    <row r="36" spans="1:4" x14ac:dyDescent="0.2">
      <c r="B36" s="185" t="s">
        <v>739</v>
      </c>
      <c r="C36" s="179">
        <f>SUM('DOE25'!F112:J112)-SUM('DOE25'!G97:G110)+('DOE25'!F175+'DOE25'!F176+'DOE25'!I175+'DOE25'!I176)-C35</f>
        <v>1449087.6500000022</v>
      </c>
      <c r="D36" s="182">
        <f t="shared" si="1"/>
        <v>4.0999999999999996</v>
      </c>
    </row>
    <row r="37" spans="1:4" x14ac:dyDescent="0.2">
      <c r="A37" s="183" t="s">
        <v>835</v>
      </c>
      <c r="B37" s="185" t="s">
        <v>728</v>
      </c>
      <c r="C37" s="179">
        <f>ROUND('DOE25'!F117+'DOE25'!F118,0)</f>
        <v>14845649</v>
      </c>
      <c r="D37" s="182">
        <f t="shared" si="1"/>
        <v>41.8</v>
      </c>
    </row>
    <row r="38" spans="1:4" x14ac:dyDescent="0.2">
      <c r="A38" s="183" t="s">
        <v>734</v>
      </c>
      <c r="B38" s="185" t="s">
        <v>729</v>
      </c>
      <c r="C38" s="179">
        <f>ROUND(SUM('DOE25'!F140:J140)-SUM('DOE25'!F117:F119),0)</f>
        <v>676586</v>
      </c>
      <c r="D38" s="182">
        <f t="shared" si="1"/>
        <v>1.9</v>
      </c>
    </row>
    <row r="39" spans="1:4" x14ac:dyDescent="0.2">
      <c r="A39">
        <v>4000</v>
      </c>
      <c r="B39" s="185" t="s">
        <v>730</v>
      </c>
      <c r="C39" s="179">
        <f>ROUND('DOE25'!F170+'DOE25'!G170+'DOE25'!H170+'DOE25'!I170,0)</f>
        <v>3075034</v>
      </c>
      <c r="D39" s="182">
        <f t="shared" si="1"/>
        <v>8.6999999999999993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35522165.650000006</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Claremont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2020-12-01T15:49:45Z</cp:lastPrinted>
  <dcterms:created xsi:type="dcterms:W3CDTF">1997-12-04T19:04:30Z</dcterms:created>
  <dcterms:modified xsi:type="dcterms:W3CDTF">2020-12-11T14:41:21Z</dcterms:modified>
</cp:coreProperties>
</file>