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50" i="1" l="1"/>
  <c r="D5" i="14" l="1"/>
  <c r="D37" i="14"/>
  <c r="F6" i="13"/>
  <c r="B37" i="12"/>
  <c r="B20" i="12"/>
  <c r="B19" i="12"/>
  <c r="B11" i="12"/>
  <c r="K239" i="1"/>
  <c r="G245" i="1"/>
  <c r="F245" i="1"/>
  <c r="G612" i="1"/>
  <c r="F612" i="1"/>
  <c r="J597" i="1"/>
  <c r="J605" i="1"/>
  <c r="H605" i="1"/>
  <c r="H529" i="1"/>
  <c r="I527" i="1"/>
  <c r="H527" i="1"/>
  <c r="G474" i="1"/>
  <c r="H361" i="1"/>
  <c r="H359" i="1"/>
  <c r="K359" i="1"/>
  <c r="G359" i="1"/>
  <c r="F359" i="1"/>
  <c r="H245" i="1"/>
  <c r="H244" i="1"/>
  <c r="H242" i="1"/>
  <c r="H241" i="1"/>
  <c r="K240" i="1"/>
  <c r="H237" i="1"/>
  <c r="H234" i="1"/>
  <c r="H209" i="1"/>
  <c r="H208" i="1"/>
  <c r="H206" i="1"/>
  <c r="H205" i="1"/>
  <c r="K204" i="1"/>
  <c r="H203" i="1"/>
  <c r="H135" i="1"/>
  <c r="H155" i="1"/>
  <c r="H154" i="1"/>
  <c r="H110" i="1"/>
  <c r="F117" i="1"/>
  <c r="F110" i="1"/>
  <c r="G440" i="1" l="1"/>
  <c r="H401" i="1"/>
  <c r="H397" i="1"/>
  <c r="H22" i="1"/>
  <c r="H30" i="1"/>
  <c r="H24" i="1"/>
  <c r="G24" i="1"/>
  <c r="G48" i="1"/>
  <c r="F2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0" i="14"/>
  <c r="C13" i="14"/>
  <c r="C14" i="14"/>
  <c r="C17" i="14"/>
  <c r="C18" i="14"/>
  <c r="B6" i="14"/>
  <c r="C6" i="14" s="1"/>
  <c r="B7" i="14"/>
  <c r="C7" i="14" s="1"/>
  <c r="B8" i="14"/>
  <c r="C8" i="14" s="1"/>
  <c r="B9" i="14"/>
  <c r="B10" i="14"/>
  <c r="B11" i="14"/>
  <c r="C11" i="14" s="1"/>
  <c r="B12" i="14"/>
  <c r="C12" i="14" s="1"/>
  <c r="B13" i="14"/>
  <c r="B14" i="14"/>
  <c r="B15" i="14"/>
  <c r="C15" i="14" s="1"/>
  <c r="B16" i="14"/>
  <c r="C16" i="14" s="1"/>
  <c r="B17" i="14"/>
  <c r="B18" i="14"/>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3" i="2"/>
  <c r="E124"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G339" i="1" s="1"/>
  <c r="G353" i="1" s="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3" i="1"/>
  <c r="H653" i="1"/>
  <c r="G654" i="1"/>
  <c r="H654" i="1"/>
  <c r="G655" i="1"/>
  <c r="H655" i="1"/>
  <c r="H656" i="1"/>
  <c r="J656" i="1" s="1"/>
  <c r="G62" i="2"/>
  <c r="I170" i="1"/>
  <c r="H140" i="1"/>
  <c r="C91" i="2" l="1"/>
  <c r="D50" i="2"/>
  <c r="C131" i="2"/>
  <c r="E120" i="2"/>
  <c r="J652" i="1"/>
  <c r="G553" i="1"/>
  <c r="G477" i="1"/>
  <c r="G662" i="1"/>
  <c r="K339" i="1"/>
  <c r="K353" i="1" s="1"/>
  <c r="H663" i="1"/>
  <c r="D6" i="13"/>
  <c r="C6" i="13" s="1"/>
  <c r="F258" i="1"/>
  <c r="F272" i="1" s="1"/>
  <c r="C110" i="2"/>
  <c r="J258" i="1"/>
  <c r="J272" i="1" s="1"/>
  <c r="L257" i="1"/>
  <c r="D15" i="13"/>
  <c r="C15" i="13" s="1"/>
  <c r="C20" i="10"/>
  <c r="C121" i="2"/>
  <c r="C120" i="2"/>
  <c r="C11" i="10"/>
  <c r="H477" i="1"/>
  <c r="H625" i="1" s="1"/>
  <c r="J625" i="1" s="1"/>
  <c r="H112" i="1"/>
  <c r="H462" i="1"/>
  <c r="H642" i="1" s="1"/>
  <c r="J642" i="1" s="1"/>
  <c r="L402" i="1"/>
  <c r="C139" i="2" s="1"/>
  <c r="F339" i="1"/>
  <c r="F353" i="1" s="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L572" i="1" l="1"/>
  <c r="C141" i="2"/>
  <c r="G24" i="14"/>
  <c r="I663" i="1"/>
  <c r="H661" i="1"/>
  <c r="H665" i="1" s="1"/>
  <c r="H668" i="1" s="1"/>
  <c r="F661" i="1"/>
  <c r="F665" i="1" s="1"/>
  <c r="F668" i="1" s="1"/>
  <c r="E145" i="2"/>
  <c r="H649" i="1"/>
  <c r="J649" i="1" s="1"/>
  <c r="G36" i="14"/>
  <c r="H36" i="14" s="1"/>
  <c r="I36" i="14" s="1"/>
  <c r="F194" i="1"/>
  <c r="G628" i="1" s="1"/>
  <c r="J628" i="1" s="1"/>
  <c r="C81" i="2"/>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<sst xmlns="http://schemas.openxmlformats.org/spreadsheetml/2006/main" count="5551" uniqueCount="1647">
  <si>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</si>
  <si>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</si>
  <si>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</si>
  <si>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</si>
  <si>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</si>
  <si>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</si>
  <si>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</si>
  <si>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</si>
  <si>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</si>
  <si>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</si>
  <si>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</si>
  <si>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</si>
  <si>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</si>
  <si>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</si>
  <si>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</si>
  <si>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</si>
  <si>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</si>
  <si>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</si>
  <si>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</si>
  <si>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</si>
  <si>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</si>
  <si>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</si>
  <si>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</si>
  <si>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</si>
  <si>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</si>
  <si>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</si>
  <si>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</si>
  <si>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</si>
  <si>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</si>
  <si>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</si>
  <si>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</si>
  <si>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</si>
  <si>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</si>
  <si>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</si>
  <si>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</si>
  <si>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</si>
  <si>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</si>
  <si>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</si>
  <si>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</si>
  <si>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</si>
  <si>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</si>
  <si>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</si>
  <si>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</si>
  <si>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</si>
  <si>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</si>
  <si>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</si>
  <si>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</si>
  <si>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</si>
  <si>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</si>
  <si>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</si>
  <si>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</si>
  <si>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</si>
  <si>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</si>
  <si>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</si>
  <si>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</si>
  <si>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</si>
  <si>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</si>
  <si>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</si>
  <si>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</si>
  <si>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</si>
  <si>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</si>
  <si>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</si>
  <si>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</si>
  <si>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</si>
  <si>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</si>
  <si>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</si>
  <si>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</si>
  <si>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</si>
  <si>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</si>
  <si>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</si>
  <si>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</si>
  <si>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</si>
  <si>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</si>
  <si>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</si>
  <si>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</si>
  <si>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</si>
  <si>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</si>
  <si>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</si>
  <si>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</si>
  <si>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</si>
  <si>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</si>
  <si>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</si>
  <si>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</si>
  <si>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</si>
  <si>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</si>
  <si>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</si>
  <si>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</si>
  <si>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</si>
  <si>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</si>
  <si>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</si>
  <si>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</si>
  <si>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</si>
  <si>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</si>
  <si>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</si>
  <si>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</si>
  <si>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</si>
  <si>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</si>
  <si>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</si>
  <si>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</si>
  <si>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</si>
  <si>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</si>
  <si>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</si>
  <si>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</si>
  <si>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</si>
  <si>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</si>
  <si>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</si>
  <si>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</si>
  <si>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</si>
  <si>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</si>
  <si>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</si>
  <si>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</si>
  <si>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</si>
  <si>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</si>
  <si>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</si>
  <si>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</si>
  <si>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</si>
  <si>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</si>
  <si>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</si>
  <si>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</si>
  <si>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</si>
  <si>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</si>
  <si>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</si>
  <si>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</si>
  <si>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</si>
  <si>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</si>
  <si>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</si>
  <si>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</si>
  <si>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</si>
  <si>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</si>
  <si>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</si>
  <si>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</si>
  <si>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</si>
  <si>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</si>
  <si>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</si>
  <si>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</si>
  <si>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</si>
  <si>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</si>
  <si>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</si>
  <si>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</si>
  <si>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</si>
  <si>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</si>
  <si>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</si>
  <si>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</si>
  <si>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</si>
  <si>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</si>
  <si>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</si>
  <si>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</si>
  <si>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</si>
  <si>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</si>
  <si>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</si>
  <si>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</si>
  <si>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</si>
  <si>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</si>
  <si>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</si>
  <si>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</si>
  <si>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</si>
  <si>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</si>
  <si>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</si>
  <si>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</si>
  <si>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</si>
  <si>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</si>
  <si>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</si>
  <si>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</si>
  <si>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</si>
  <si>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</si>
  <si>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</si>
  <si>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</si>
  <si>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</si>
  <si>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</si>
  <si>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</si>
  <si>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</si>
  <si>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</si>
  <si>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</si>
  <si>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</si>
  <si>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</si>
  <si>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</si>
  <si>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</si>
  <si>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</si>
  <si>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</si>
  <si>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</si>
  <si>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</si>
  <si>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</si>
  <si>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</si>
  <si>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</si>
  <si>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</si>
  <si>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</si>
  <si>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</si>
  <si>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</si>
  <si>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</si>
  <si>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</si>
  <si>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</si>
  <si>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</si>
  <si>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</si>
  <si>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</si>
  <si>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</si>
  <si>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</si>
  <si>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</si>
  <si>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</si>
  <si>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</si>
  <si>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</si>
  <si>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</si>
  <si>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</si>
  <si>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</si>
  <si>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</si>
  <si>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</si>
  <si>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</si>
  <si>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</si>
  <si>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</si>
  <si>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</si>
  <si>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</si>
  <si>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</si>
  <si>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</si>
  <si>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</si>
  <si>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</si>
  <si>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</si>
  <si>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</si>
  <si>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</si>
  <si>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</si>
  <si>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</si>
  <si>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</si>
  <si>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</si>
  <si>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</si>
  <si>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</si>
  <si>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</si>
  <si>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</si>
  <si>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</si>
  <si>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</si>
  <si>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</si>
  <si>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</si>
  <si>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</si>
  <si>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</si>
  <si>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</si>
  <si>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</si>
  <si>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</si>
  <si>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</si>
  <si>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</si>
  <si>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</si>
  <si>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</si>
  <si>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</si>
  <si>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</si>
  <si>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</si>
  <si>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</si>
  <si>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</si>
  <si>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</si>
  <si>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</si>
  <si>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</si>
  <si>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</si>
  <si>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</si>
  <si>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</si>
  <si>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</si>
  <si>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</si>
  <si>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</si>
  <si>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</si>
  <si>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</si>
  <si>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</si>
  <si>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</si>
  <si>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</si>
  <si>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</si>
  <si>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</si>
  <si>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</si>
  <si>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</si>
  <si>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</si>
  <si>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</si>
  <si>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</si>
  <si>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</si>
  <si>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</si>
  <si>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</si>
  <si>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</si>
  <si>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</si>
  <si>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</si>
  <si>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</si>
  <si>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</si>
  <si>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</si>
  <si>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</si>
  <si>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</si>
  <si>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</si>
  <si>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</si>
  <si>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</si>
  <si>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</si>
  <si>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</si>
  <si>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</si>
  <si>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</si>
  <si>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</si>
  <si>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</si>
  <si>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</si>
  <si>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</si>
  <si>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</si>
  <si>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</si>
  <si>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</si>
  <si>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</si>
  <si>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</si>
  <si>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</si>
  <si>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</si>
  <si>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</si>
  <si>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</si>
  <si>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</si>
  <si>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</si>
  <si>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</si>
  <si>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</si>
  <si>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</si>
  <si>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</si>
  <si>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</si>
  <si>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</si>
  <si>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</si>
  <si>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</si>
  <si>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</si>
  <si>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</si>
  <si>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</si>
  <si>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</si>
  <si>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</si>
  <si>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</si>
  <si>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</si>
  <si>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</si>
  <si>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</si>
  <si>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</si>
  <si>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</si>
  <si>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</si>
  <si>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</si>
  <si>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</si>
  <si>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</si>
  <si>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</si>
  <si>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</si>
  <si>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</si>
  <si>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</si>
  <si>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</si>
  <si>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</si>
  <si>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</si>
  <si>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</si>
  <si>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</si>
  <si>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</si>
  <si>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</si>
  <si>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</si>
  <si>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</si>
  <si>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</si>
  <si>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</si>
  <si>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</si>
  <si>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</si>
  <si>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</si>
  <si>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</si>
  <si>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</si>
  <si>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</si>
  <si>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</si>
  <si>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</si>
  <si>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</si>
  <si>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</si>
  <si>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</si>
  <si>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</si>
  <si>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</si>
  <si>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</si>
  <si>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</si>
  <si>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</si>
  <si>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</si>
  <si>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</si>
  <si>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</si>
  <si>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</si>
  <si>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</si>
  <si>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</si>
  <si>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</si>
  <si>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</si>
  <si>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</si>
  <si>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</si>
  <si>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</si>
  <si>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</si>
  <si>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</si>
  <si>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</si>
  <si>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</si>
  <si>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</si>
  <si>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</si>
  <si>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</si>
  <si>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</si>
  <si>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</si>
  <si>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</si>
  <si>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</si>
  <si>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</si>
  <si>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</si>
  <si>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</si>
  <si>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</si>
  <si>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</si>
  <si>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</si>
  <si>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</si>
  <si>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</si>
  <si>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</si>
  <si>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</si>
  <si>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</si>
  <si>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</si>
  <si>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</si>
  <si>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</si>
  <si>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</si>
  <si>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</si>
  <si>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</si>
  <si>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</si>
  <si>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</si>
  <si>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</si>
  <si>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</si>
  <si>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</si>
  <si>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</si>
  <si>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</si>
  <si>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</si>
  <si>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</si>
  <si>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</si>
  <si>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</si>
  <si>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</si>
  <si>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</si>
  <si>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</si>
  <si>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</si>
  <si>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</si>
  <si>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</si>
  <si>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</si>
  <si>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</si>
  <si>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</si>
  <si>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</si>
  <si>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</si>
  <si>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</si>
  <si>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</si>
  <si>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</si>
  <si>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</si>
  <si>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</si>
  <si>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</si>
  <si>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</si>
  <si>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</si>
  <si>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</si>
  <si>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</si>
  <si>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</si>
  <si>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</si>
  <si>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</si>
  <si>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</si>
  <si>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</si>
  <si>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</si>
  <si>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</si>
  <si>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</si>
  <si>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</si>
  <si>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</si>
  <si>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</si>
  <si>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</si>
  <si>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</si>
  <si>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</si>
  <si>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</si>
  <si>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</si>
  <si>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</si>
  <si>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</si>
  <si>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</si>
  <si>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</si>
  <si>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</si>
  <si>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</si>
  <si>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</si>
  <si>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</si>
  <si>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</si>
  <si>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</si>
  <si>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</si>
  <si>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</si>
  <si>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</si>
  <si>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</si>
  <si>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</si>
  <si>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</si>
  <si>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</si>
  <si>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</si>
  <si>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</si>
  <si>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</si>
  <si>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</si>
  <si>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</si>
  <si>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</si>
  <si>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</si>
  <si>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</si>
  <si>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</si>
  <si>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</si>
  <si>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</si>
  <si>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</si>
  <si>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</si>
  <si>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</si>
  <si>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</si>
  <si>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</si>
  <si>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</si>
  <si>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</si>
  <si>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</si>
  <si>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</si>
  <si>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</si>
  <si>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</si>
  <si>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</si>
  <si>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</si>
  <si>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</si>
  <si>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</si>
  <si>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</si>
  <si>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</si>
  <si>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</si>
  <si>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</si>
  <si>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</si>
  <si>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</si>
  <si>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</si>
  <si>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</si>
  <si>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</si>
  <si>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</si>
  <si>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</si>
  <si>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</si>
  <si>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</si>
  <si>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</si>
  <si>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</si>
  <si>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</si>
  <si>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</si>
  <si>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</si>
  <si>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</si>
  <si>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</si>
  <si>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</si>
  <si>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</si>
  <si>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</si>
  <si>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</si>
  <si>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</si>
  <si>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</si>
  <si>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</si>
  <si>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</si>
  <si>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</si>
  <si>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</si>
  <si>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</si>
  <si>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</si>
  <si>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</si>
  <si>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</si>
  <si>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</si>
  <si>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</si>
  <si>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</si>
  <si>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</si>
  <si>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</si>
  <si>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</si>
  <si>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</si>
  <si>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</si>
  <si>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</si>
  <si>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</si>
  <si>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</si>
  <si>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</si>
  <si>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</si>
  <si>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</si>
  <si>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</si>
  <si>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</si>
  <si>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</si>
  <si>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</si>
  <si>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</si>
  <si>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</si>
  <si>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</si>
  <si>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</si>
  <si>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</si>
  <si>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</si>
  <si>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</si>
  <si>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</si>
  <si>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</si>
  <si>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</si>
  <si>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</si>
  <si>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</si>
  <si>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</si>
  <si>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</si>
  <si>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</si>
  <si>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</si>
  <si>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</si>
  <si>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</si>
  <si>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</si>
  <si>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</si>
  <si>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</si>
  <si>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</si>
  <si>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</si>
  <si>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</si>
  <si>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</si>
  <si>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</si>
  <si>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</si>
  <si>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</si>
  <si>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</si>
  <si>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</si>
  <si>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</si>
  <si>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</si>
  <si>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</si>
  <si>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</si>
  <si>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</si>
  <si>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</si>
  <si>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</si>
  <si>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</si>
  <si>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</si>
  <si>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</si>
  <si>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</si>
  <si>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</si>
  <si>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</si>
  <si>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</si>
  <si>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</si>
  <si>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</si>
  <si>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</si>
  <si>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</si>
  <si>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</si>
  <si>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</si>
  <si>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</si>
  <si>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</si>
  <si>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</si>
  <si>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</si>
  <si>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</si>
  <si>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</si>
  <si>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</si>
  <si>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</si>
  <si>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</si>
  <si>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</si>
  <si>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</si>
  <si>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</si>
  <si>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</si>
  <si>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</si>
  <si>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</si>
  <si>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</si>
  <si>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</si>
  <si>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</si>
  <si>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</si>
  <si>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</si>
  <si>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</si>
  <si>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</si>
  <si>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</si>
  <si>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</si>
  <si>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</si>
  <si>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</si>
  <si>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</si>
  <si>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</si>
  <si>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</si>
  <si>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</si>
  <si>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</si>
  <si>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</si>
  <si>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</si>
  <si>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</si>
  <si>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</si>
  <si>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</si>
  <si>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</si>
  <si>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</si>
  <si>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</si>
  <si>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</si>
  <si>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</si>
  <si>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</si>
  <si>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</si>
  <si>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</si>
  <si>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</si>
  <si>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</si>
  <si>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</si>
  <si>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</si>
  <si>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</si>
  <si>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</si>
  <si>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</si>
  <si>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</si>
  <si>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</si>
  <si>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</si>
  <si>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</si>
  <si>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</si>
  <si>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</si>
  <si>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</si>
  <si>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</si>
  <si>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</si>
  <si>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</si>
  <si>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</si>
  <si>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</si>
  <si>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</si>
  <si>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</si>
  <si>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</si>
  <si>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</si>
  <si>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</si>
  <si>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</si>
  <si>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</si>
  <si>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</si>
  <si>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</si>
  <si>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</si>
  <si>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</si>
  <si>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</si>
  <si>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</si>
  <si>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</si>
  <si>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</si>
  <si>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</si>
  <si>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</si>
  <si>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</si>
  <si>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</si>
  <si>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</si>
  <si>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</si>
  <si>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</si>
  <si>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</si>
  <si>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</si>
  <si>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</si>
  <si>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</si>
  <si>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</si>
  <si>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</si>
  <si>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</si>
  <si>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</si>
  <si>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</si>
  <si>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</si>
  <si>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</si>
  <si>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</si>
  <si>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</si>
  <si>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</si>
  <si>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</si>
  <si>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</si>
  <si>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</si>
  <si>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</si>
  <si>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</si>
  <si>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</si>
  <si>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</si>
  <si>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</si>
  <si>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</si>
  <si>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</si>
  <si>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</si>
  <si>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</si>
  <si>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</si>
  <si>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</si>
  <si>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</si>
  <si>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</si>
  <si>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</si>
  <si>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</si>
  <si>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</si>
  <si>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</si>
  <si>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</si>
  <si>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</si>
  <si>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</si>
  <si>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</si>
  <si>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</si>
  <si>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</si>
  <si>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</si>
  <si>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</si>
  <si>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</si>
  <si>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</si>
  <si>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</si>
  <si>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</si>
  <si>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</si>
  <si>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</si>
  <si>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</si>
  <si>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</si>
  <si>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</si>
  <si>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</si>
  <si>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</si>
  <si>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</si>
  <si>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</si>
  <si>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</si>
  <si>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</si>
  <si>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</si>
  <si>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</si>
  <si>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</si>
  <si>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</si>
  <si>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</si>
  <si>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</si>
  <si>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</si>
  <si>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</si>
  <si>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</si>
  <si>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</si>
  <si>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</si>
  <si>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</si>
  <si>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</si>
  <si>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</si>
  <si>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</si>
  <si>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</si>
  <si>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</si>
  <si>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</si>
  <si>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</si>
  <si>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</si>
  <si>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</si>
  <si>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</si>
  <si>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</si>
  <si>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</si>
  <si>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</si>
  <si>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</si>
  <si>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</si>
  <si>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</si>
  <si>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</si>
  <si>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</si>
  <si>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</si>
  <si>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</si>
  <si>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</si>
  <si>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</si>
  <si>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</si>
  <si>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</si>
  <si>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</si>
  <si>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</si>
  <si>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</si>
  <si>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</si>
  <si>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</si>
  <si>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</si>
  <si>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</si>
  <si>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</si>
  <si>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</si>
  <si>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</si>
  <si>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</si>
  <si>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</si>
  <si>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</si>
  <si>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</si>
  <si>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</si>
  <si>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</si>
  <si>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</si>
  <si>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</si>
  <si>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</si>
  <si>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</si>
  <si>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</si>
  <si>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</si>
  <si>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</si>
  <si>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</si>
  <si>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</si>
  <si>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</si>
  <si>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</si>
  <si>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</si>
  <si>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</si>
  <si>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</si>
  <si>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</si>
  <si>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</si>
  <si>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</si>
  <si>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</si>
  <si>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</si>
  <si>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</si>
  <si>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</si>
  <si>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</si>
  <si>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</si>
  <si>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</si>
  <si>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</si>
  <si>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</si>
  <si>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</si>
  <si>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</si>
  <si>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</si>
  <si>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</si>
  <si>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</si>
  <si>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</si>
  <si>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</si>
  <si>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</si>
  <si>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</si>
  <si>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</si>
  <si>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</si>
  <si>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</si>
  <si>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</si>
  <si>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</si>
  <si>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</si>
  <si>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</si>
  <si>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</si>
  <si>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</si>
  <si>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</si>
  <si>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</si>
  <si>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</si>
  <si>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</si>
  <si>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</si>
  <si>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</si>
  <si>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</si>
  <si>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</si>
  <si>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</si>
  <si>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</si>
  <si>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</si>
  <si>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</si>
  <si>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</si>
  <si>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</si>
  <si>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</si>
  <si>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</si>
  <si>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</si>
  <si>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</si>
  <si>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</si>
  <si>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</si>
  <si>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</si>
  <si>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</si>
  <si>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</si>
  <si>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</si>
  <si>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</si>
  <si>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</si>
  <si>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</si>
  <si>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</si>
  <si>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</si>
  <si>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</si>
  <si>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</si>
  <si>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</si>
  <si>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</si>
  <si>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</si>
  <si>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</si>
  <si>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</si>
  <si>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</si>
  <si>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</si>
  <si>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</si>
  <si>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</si>
  <si>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</si>
  <si>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</si>
  <si>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</si>
  <si>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</si>
  <si>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</si>
  <si>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</si>
  <si>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</si>
  <si>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</si>
  <si>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</si>
  <si>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</si>
  <si>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</si>
  <si>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</si>
  <si>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</si>
  <si>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</si>
  <si>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</si>
  <si>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</si>
  <si>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</si>
  <si>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</si>
  <si>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</si>
  <si>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</si>
  <si>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</si>
  <si>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</si>
  <si>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</si>
  <si>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</si>
  <si>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</si>
  <si>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</si>
  <si>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</si>
  <si>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</si>
  <si>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</si>
  <si>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</si>
  <si>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</si>
  <si>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</si>
  <si>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</si>
  <si>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</si>
  <si>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</si>
  <si>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</si>
  <si>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</si>
  <si>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</si>
  <si>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</si>
  <si>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</si>
  <si>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</si>
  <si>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</si>
  <si>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</si>
  <si>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</si>
  <si>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</si>
  <si>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</si>
  <si>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</si>
  <si>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</si>
  <si>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</si>
  <si>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</si>
  <si>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</si>
  <si>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</si>
  <si>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</si>
  <si>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</si>
  <si>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</si>
  <si>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</si>
  <si>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</si>
  <si>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</si>
  <si>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</si>
  <si>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</si>
  <si>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</si>
  <si>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</si>
  <si>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</si>
  <si>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</si>
  <si>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</si>
  <si>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</si>
  <si>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</si>
  <si>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</si>
  <si>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</si>
  <si>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</si>
  <si>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</si>
  <si>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</si>
  <si>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</si>
  <si>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</si>
  <si>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</si>
  <si>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</si>
  <si>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</si>
  <si>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</si>
  <si>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</si>
  <si>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</si>
  <si>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</si>
  <si>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</si>
  <si>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</si>
  <si>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</si>
  <si>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</si>
  <si>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</si>
  <si>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</si>
  <si>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</si>
  <si>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</si>
  <si>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</si>
  <si>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</si>
  <si>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</si>
  <si>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</si>
  <si>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</si>
  <si>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</si>
  <si>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</si>
  <si>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</si>
  <si>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</si>
  <si>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</si>
  <si>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</si>
  <si>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</si>
  <si>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</si>
  <si>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</si>
  <si>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</si>
  <si>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</si>
  <si>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</si>
  <si>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</si>
  <si>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</si>
  <si>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</si>
  <si>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</si>
  <si>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</si>
  <si>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</si>
  <si>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</si>
  <si>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</si>
  <si>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</si>
  <si>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</si>
  <si>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</si>
  <si>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</si>
  <si>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</si>
  <si>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</si>
  <si>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</si>
  <si>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</si>
  <si>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</si>
  <si>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</si>
  <si>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</si>
  <si>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</si>
  <si>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</si>
  <si>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</si>
  <si>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</si>
  <si>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</si>
  <si>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</si>
  <si>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</si>
  <si>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</si>
  <si>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</si>
  <si>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</si>
  <si>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</si>
  <si>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</si>
  <si>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</si>
  <si>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</si>
  <si>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</si>
  <si>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</si>
  <si>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</si>
  <si>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</si>
  <si>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</si>
  <si>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</si>
  <si>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</si>
  <si>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</si>
  <si>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</si>
  <si>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</si>
  <si>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</si>
  <si>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</si>
  <si>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</si>
  <si>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</si>
  <si>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</si>
  <si>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</si>
  <si>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</si>
  <si>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</si>
  <si>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</si>
  <si>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</si>
  <si>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</si>
  <si>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</si>
  <si>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</si>
  <si>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</si>
  <si>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</si>
  <si>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</si>
  <si>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</si>
  <si>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</si>
  <si>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</si>
  <si>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</si>
  <si>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</si>
  <si>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</si>
  <si>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</si>
  <si>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</si>
  <si>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</si>
  <si>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</si>
  <si>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</si>
  <si>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</si>
  <si>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</si>
  <si>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</si>
  <si>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</si>
  <si>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</si>
  <si>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</si>
  <si>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</si>
  <si>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</si>
  <si>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</si>
  <si>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</si>
  <si>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</si>
  <si>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</si>
  <si>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</si>
  <si>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</si>
  <si>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</si>
  <si>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</si>
  <si>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</si>
  <si>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</si>
  <si>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</si>
  <si>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</si>
  <si>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</si>
  <si>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</si>
  <si>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</si>
  <si>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</si>
  <si>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</si>
  <si>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</si>
  <si>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</si>
  <si>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</si>
  <si>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</si>
  <si>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</si>
  <si>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</si>
  <si>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</si>
  <si>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</si>
  <si>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</si>
  <si>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</si>
  <si>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</si>
  <si>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</si>
  <si>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</si>
  <si>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</si>
  <si>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</si>
  <si>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</si>
  <si>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</si>
  <si>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</si>
  <si>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</si>
  <si>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</si>
  <si>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</si>
  <si>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</si>
  <si>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</si>
  <si>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</si>
  <si>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</si>
  <si>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</si>
  <si>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</si>
  <si>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</si>
  <si>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</si>
  <si>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</si>
  <si>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</si>
  <si>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</si>
  <si>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</si>
  <si>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</si>
  <si>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</si>
  <si>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</si>
  <si>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</si>
  <si>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</si>
  <si>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</si>
  <si>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</si>
  <si>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</si>
  <si>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</si>
  <si>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</si>
  <si>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</si>
  <si>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</si>
  <si>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</si>
  <si>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</si>
  <si>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</si>
  <si>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</si>
  <si>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</si>
  <si>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</si>
  <si>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</si>
  <si>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</si>
  <si>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</si>
  <si>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</si>
  <si>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</si>
  <si>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</si>
  <si>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</si>
  <si>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</si>
  <si>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</si>
  <si>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</si>
  <si>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</si>
  <si>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</si>
  <si>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</si>
  <si>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</si>
  <si>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</si>
  <si>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</si>
  <si>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</si>
  <si>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</si>
  <si>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</si>
  <si>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</si>
  <si>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</si>
  <si>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</si>
  <si>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</si>
  <si>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</si>
  <si>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</si>
  <si>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</si>
  <si>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</si>
  <si>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</si>
  <si>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</si>
  <si>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</si>
  <si>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</si>
  <si>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</si>
  <si>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</si>
  <si>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</si>
  <si>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</si>
  <si>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</si>
  <si>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</si>
  <si>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</si>
  <si>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</si>
  <si>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</si>
  <si>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</si>
  <si>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</si>
  <si>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</si>
  <si>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</si>
  <si>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</si>
  <si>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</si>
  <si>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</si>
  <si>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</si>
  <si>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</si>
  <si>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</si>
  <si>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</si>
  <si>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</si>
  <si>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</si>
  <si>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</si>
  <si>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</si>
  <si>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</si>
  <si>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</si>
  <si>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</si>
  <si>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</si>
  <si>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</si>
  <si>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</si>
  <si>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</si>
  <si>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</si>
  <si>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</si>
  <si>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</si>
  <si>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</si>
  <si>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</si>
  <si>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</si>
  <si>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</si>
  <si>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</si>
  <si>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</si>
  <si>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</si>
  <si>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</si>
  <si>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</si>
  <si>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</si>
  <si>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</si>
  <si>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</si>
  <si>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</si>
  <si>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</si>
  <si>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</si>
  <si>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</si>
  <si>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</si>
  <si>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</si>
  <si>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</si>
  <si>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</si>
  <si>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</si>
  <si>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</si>
  <si>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</si>
  <si>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</si>
  <si>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</si>
  <si>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</si>
  <si>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</si>
  <si>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</si>
  <si>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</si>
  <si>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</si>
  <si>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</si>
  <si>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</si>
  <si>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</si>
  <si>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</si>
  <si>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</si>
  <si>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</si>
  <si>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</si>
  <si>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</si>
  <si>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</si>
  <si>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</si>
  <si>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</si>
  <si>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</si>
  <si>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</si>
  <si>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</si>
  <si>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</si>
  <si>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</si>
  <si>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</si>
  <si>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</si>
  <si>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</si>
  <si>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</si>
  <si>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</si>
  <si>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</si>
  <si>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</si>
  <si>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</si>
  <si>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</si>
  <si>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</si>
  <si>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</si>
  <si>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</si>
  <si>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</si>
  <si>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</si>
  <si>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</si>
  <si>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</si>
  <si>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</si>
  <si>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</si>
  <si>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</si>
  <si>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</si>
  <si>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</si>
  <si>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</si>
  <si>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</si>
  <si>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</si>
  <si>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</si>
  <si>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</si>
  <si>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</si>
  <si>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</si>
  <si>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</si>
  <si>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</si>
  <si>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</si>
  <si>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</si>
  <si>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</si>
  <si>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</si>
  <si>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</si>
  <si>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</si>
  <si>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</si>
  <si>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</si>
  <si>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</si>
  <si>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</si>
  <si>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</si>
  <si>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</si>
  <si>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</si>
  <si>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</si>
  <si>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</si>
  <si>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</si>
  <si>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</si>
  <si>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</si>
  <si>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</si>
  <si>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</si>
  <si>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</si>
  <si>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</si>
  <si>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</si>
  <si>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</si>
  <si>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</si>
  <si>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</si>
  <si>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</si>
  <si>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</si>
  <si>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</si>
  <si>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</si>
  <si>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</si>
  <si>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</si>
  <si>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</si>
  <si>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</si>
  <si>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</si>
  <si>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</si>
  <si>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</si>
  <si>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</si>
  <si>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</si>
  <si>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</si>
  <si>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</si>
  <si>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</si>
  <si>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</si>
  <si>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</si>
  <si>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</si>
  <si>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</si>
  <si>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</si>
  <si>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</si>
  <si>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</si>
  <si>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</si>
  <si>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</si>
  <si>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</si>
  <si>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</si>
  <si>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</si>
  <si>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</si>
  <si>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</si>
  <si>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</si>
  <si>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</si>
  <si>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</si>
  <si>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</si>
  <si>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</si>
  <si>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</si>
  <si>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</si>
  <si>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</si>
  <si>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</si>
  <si>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</si>
  <si>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</si>
  <si>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</si>
  <si>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</si>
  <si>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</si>
  <si>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</si>
  <si>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</si>
  <si>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</si>
  <si>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</si>
  <si>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</si>
  <si>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</si>
  <si>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</si>
  <si>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</si>
  <si>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</si>
  <si>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</si>
  <si>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</si>
  <si>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</si>
  <si>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</si>
  <si>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</si>
  <si>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</si>
  <si>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</si>
  <si>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</si>
  <si>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</si>
  <si>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</si>
  <si>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</si>
  <si>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</si>
  <si>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</si>
  <si>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</si>
  <si>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</si>
  <si>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</si>
  <si>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</si>
  <si>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</si>
  <si>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</si>
  <si>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</si>
  <si>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</si>
  <si>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</si>
  <si>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</si>
  <si>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</si>
  <si>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</si>
  <si>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</si>
  <si>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</si>
  <si>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</si>
  <si>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</si>
  <si>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</si>
  <si>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</si>
  <si>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</si>
  <si>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</si>
  <si>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</si>
  <si>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</si>
  <si>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</si>
  <si>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</si>
  <si>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</si>
  <si>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</si>
  <si>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</si>
  <si>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</si>
  <si>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</si>
  <si>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</si>
  <si>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</si>
  <si>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</si>
  <si>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</si>
  <si>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</si>
  <si>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</si>
  <si>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</si>
  <si>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</si>
  <si>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</si>
  <si>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</si>
  <si>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</si>
  <si>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</si>
  <si>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</si>
  <si>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</si>
  <si>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</si>
  <si>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</si>
  <si>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</si>
  <si>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</si>
  <si>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</si>
  <si>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</si>
  <si>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</si>
  <si>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</si>
  <si>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</si>
  <si>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</si>
  <si>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</si>
  <si>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</si>
  <si>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</si>
  <si>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</si>
  <si>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</si>
  <si>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</si>
  <si>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</si>
  <si>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</si>
  <si>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</si>
  <si>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</si>
  <si>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</si>
  <si>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</si>
  <si>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</si>
  <si>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</si>
  <si>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</si>
  <si>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</si>
  <si>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</si>
  <si>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</si>
  <si>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</si>
  <si>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</si>
  <si>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</si>
  <si>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</si>
  <si>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</si>
  <si>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</si>
  <si>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</si>
  <si>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</si>
  <si>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</si>
  <si>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</si>
  <si>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</si>
  <si>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</si>
  <si>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</si>
  <si>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</si>
  <si>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</si>
  <si>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</si>
  <si>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</si>
  <si>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</si>
  <si>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</si>
  <si>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</si>
  <si>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</si>
  <si>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</si>
  <si>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</si>
  <si>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</si>
  <si>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</si>
  <si>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</si>
  <si>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</si>
  <si>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</si>
  <si>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</si>
  <si>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</si>
  <si>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</si>
  <si>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</si>
  <si>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</si>
  <si>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</si>
  <si>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</si>
  <si>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</si>
  <si>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</si>
  <si>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</si>
  <si>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</si>
  <si>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</si>
  <si>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</si>
  <si>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</si>
  <si>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</si>
  <si>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</si>
  <si>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</si>
  <si>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</si>
  <si>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</si>
  <si>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</si>
  <si>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</si>
  <si>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</si>
  <si>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</si>
  <si>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</si>
  <si>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</si>
  <si>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</si>
  <si>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</si>
  <si>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</si>
  <si>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</si>
  <si>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</si>
  <si>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</si>
  <si>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</si>
  <si>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</si>
  <si>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</si>
  <si>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</si>
  <si>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</si>
  <si>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</si>
  <si>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</si>
  <si>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</si>
  <si>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</si>
  <si>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</si>
  <si>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</si>
  <si>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</si>
  <si>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</si>
  <si>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</si>
  <si>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</si>
  <si>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</si>
  <si>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</si>
  <si>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</si>
  <si>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</si>
  <si>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</si>
  <si>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</si>
  <si>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</si>
  <si>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</si>
  <si>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</si>
  <si>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</si>
  <si>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</si>
  <si>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</si>
  <si>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</si>
  <si>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</si>
  <si>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</si>
  <si>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</si>
  <si>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</si>
  <si>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</si>
  <si>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</si>
  <si>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</si>
  <si>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</si>
  <si>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</si>
  <si>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</si>
  <si>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</si>
  <si>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</si>
  <si>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</si>
  <si>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</si>
  <si>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</si>
  <si>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</si>
  <si>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</si>
  <si>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</si>
  <si>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</si>
  <si>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</si>
  <si>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</si>
  <si>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</si>
  <si>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</si>
  <si>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</si>
  <si>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</si>
  <si>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</si>
  <si>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</si>
  <si>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</si>
  <si>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</si>
  <si>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</si>
  <si>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</si>
  <si>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</si>
  <si>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</si>
  <si>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</si>
  <si>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</si>
  <si>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</si>
  <si>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</si>
  <si>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</si>
  <si>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</si>
  <si>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</si>
  <si>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</si>
  <si>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</si>
  <si>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</si>
  <si>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</si>
  <si>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</si>
  <si>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</si>
  <si>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</si>
  <si>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</si>
  <si>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</si>
  <si>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</si>
  <si>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</si>
  <si>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</si>
  <si>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</si>
  <si>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</si>
  <si>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</si>
  <si>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</si>
  <si>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</si>
  <si>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</si>
  <si>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</si>
  <si>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</si>
  <si>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</si>
  <si>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</si>
  <si>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</si>
  <si>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</si>
  <si>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</si>
  <si>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</si>
  <si>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</si>
  <si>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</si>
  <si>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</si>
  <si>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</si>
  <si>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</si>
  <si>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</si>
  <si>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</si>
  <si>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</si>
  <si>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</si>
  <si>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</si>
  <si>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</si>
  <si>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</si>
  <si>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</si>
  <si>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</si>
  <si>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</si>
  <si>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</si>
  <si>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</si>
  <si>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</si>
  <si>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</si>
  <si>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</si>
  <si>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</si>
  <si>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</si>
  <si>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</si>
  <si>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</si>
  <si>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</si>
  <si>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</si>
  <si>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</si>
  <si>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</si>
  <si>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</si>
  <si>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</si>
  <si>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</si>
  <si>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</si>
  <si>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</si>
  <si>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</si>
  <si>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</si>
  <si>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</si>
  <si>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</si>
  <si>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</si>
  <si>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</si>
  <si>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</si>
  <si>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</si>
  <si>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</si>
  <si>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</si>
  <si>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</si>
  <si>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</si>
  <si>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</si>
  <si>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</si>
  <si>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</si>
  <si>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</si>
  <si>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</si>
  <si>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</si>
  <si>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</si>
  <si>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</si>
  <si>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</si>
  <si>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</si>
  <si>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</si>
  <si>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</si>
  <si>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</si>
  <si>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</si>
  <si>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</si>
  <si>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</si>
  <si>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</si>
  <si>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</si>
  <si>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</si>
  <si>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</si>
  <si>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</si>
  <si>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</si>
  <si>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</si>
  <si>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</si>
  <si>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</si>
  <si>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</si>
  <si>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</si>
  <si>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COLEBROOK SCHOOL DISTRICT</t>
  </si>
  <si>
    <t>Trust fund has not been updated for 2 years in the DOE 25</t>
  </si>
  <si>
    <t>Other Additions - a/p to Canaan was booked in FY 19 which was incorrect</t>
  </si>
  <si>
    <t xml:space="preserve">A/r missing for reimbursement on colebrook purchasing clothing, </t>
  </si>
  <si>
    <t>Voied check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</si>
</sst>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105</v>
      </c>
      <c r="C2" s="21">
        <v>105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827021.49</v>
      </c>
      <c r="G9" s="18">
        <v>21205.22</v>
      </c>
      <c r="H9" s="18"/>
      <c r="I9" s="18"/>
      <c r="J9" s="67">
        <f>SUM(I440)</f>
        <v>657761.67000000004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62518.28</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111803.31</v>
      </c>
      <c r="G13" s="18">
        <v>12082.36</v>
      </c>
      <c r="H13" s="18">
        <v>68456.960000000006</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179.15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3861.15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1001343.0800000001</v>
      </c>
      <c r="G19" s="41">
        <f>SUM(G9:G18)</f>
        <v>37327.880000000005</v>
      </c>
      <c r="H19" s="41">
        <f>SUM(H9:H18)</f>
        <v>68456.960000000006</v>
      </c>
      <c r="I19" s="41">
        <f>SUM(I9:I18)</f>
        <v>0</v>
      </c>
      <c r="J19" s="41">
        <f>SUM(J9:J18)</f>
        <v>657761.67000000004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22.52</v>
      </c>
      <c r="H22" s="18">
        <f>52697.36+14578.78-2604-351.38-1300-525</f>
        <v>62495.76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59016.91</v>
      </c>
      <c r="G24" s="18">
        <f>11877.98+3732.33</f>
        <v>15610.31</v>
      </c>
      <c r="H24" s="18">
        <f>1180.82</f>
        <v>1180.82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1303.68+2568.18+334.2+13859.4+122.58</f>
        <v>18188.04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11587.28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3712.5</v>
      </c>
      <c r="G30" s="18">
        <v>1795.03</v>
      </c>
      <c r="H30" s="18">
        <f>2604+351.38+1300+525</f>
        <v>4780.38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92504.73000000001</v>
      </c>
      <c r="G32" s="41">
        <f>SUM(G22:G31)</f>
        <v>17427.86</v>
      </c>
      <c r="H32" s="41">
        <f>SUM(H22:H31)</f>
        <v>68456.960000000006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3861.15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25000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1000</v>
      </c>
      <c r="G48" s="18">
        <f>30490.84+152511.85-166963.82</f>
        <v>16038.869999999995</v>
      </c>
      <c r="H48" s="18"/>
      <c r="I48" s="18"/>
      <c r="J48" s="13">
        <f>SUM(I460)</f>
        <v>632761.67000000004</v>
      </c>
      <c r="K48" s="24" t="s">
        <v>288</v>
      </c>
      <c r="L48" s="24" t="s">
        <v>288</v>
      </c>
      <c r="M48" s="8"/>
      <c r="N48" s="266"/>
    </row>
    <row r="49" spans="1:14" s="3" customFormat="1" ht="12.2" customHeight="1" x14ac:dyDescent="0.15">
      <c r="A49" s="1" t="s">
        <v>859</v>
      </c>
      <c r="B49" s="2" t="s">
        <v>289</v>
      </c>
      <c r="C49" s="6">
        <v>34</v>
      </c>
      <c r="D49" s="2"/>
      <c r="E49" s="6">
        <v>753</v>
      </c>
      <c r="F49" s="18">
        <v>159615</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288139.16+6291528.42-5831444.23</f>
        <v>748223.34999999963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908838.34999999963</v>
      </c>
      <c r="G51" s="41">
        <f>SUM(G35:G50)</f>
        <v>19900.019999999997</v>
      </c>
      <c r="H51" s="41">
        <f>SUM(H35:H50)</f>
        <v>0</v>
      </c>
      <c r="I51" s="41">
        <f>SUM(I35:I50)</f>
        <v>0</v>
      </c>
      <c r="J51" s="41">
        <f>SUM(J35:J50)</f>
        <v>657761.67000000004</v>
      </c>
      <c r="K51" s="45" t="s">
        <v>288</v>
      </c>
      <c r="L51" s="45" t="s">
        <v>288</v>
      </c>
      <c r="N51" s="264"/>
    </row>
    <row r="52" spans="1:14" s="3" customFormat="1" ht="12.2" customHeight="1" thickTop="1" x14ac:dyDescent="0.15">
      <c r="A52" s="38" t="s">
        <v>455</v>
      </c>
      <c r="B52" s="39" t="s">
        <v>289</v>
      </c>
      <c r="C52" s="6">
        <v>37</v>
      </c>
      <c r="D52" s="39" t="s">
        <v>653</v>
      </c>
      <c r="E52" s="39"/>
      <c r="F52" s="41">
        <f>F51+F32</f>
        <v>1001343.0799999996</v>
      </c>
      <c r="G52" s="41">
        <f>G51+G32</f>
        <v>37327.879999999997</v>
      </c>
      <c r="H52" s="41">
        <f>H51+H32</f>
        <v>68456.960000000006</v>
      </c>
      <c r="I52" s="41">
        <f>I51+I32</f>
        <v>0</v>
      </c>
      <c r="J52" s="41">
        <f>J51+J32</f>
        <v>657761.67000000004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2227389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2227389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15187.5</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1325067.9099999999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175242.39</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1515497.7999999998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61.12</v>
      </c>
      <c r="G96" s="18"/>
      <c r="H96" s="18"/>
      <c r="I96" s="18"/>
      <c r="J96" s="18">
        <v>8425.94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41421.64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39725.5</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12434.34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428.78+17102.51+3135.99</f>
        <v>20667.28</v>
      </c>
      <c r="G110" s="18"/>
      <c r="H110" s="18">
        <f>835+1474</f>
        <v>2309</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90888.239999999991</v>
      </c>
      <c r="G111" s="41">
        <f>SUM(G96:G110)</f>
        <v>41421.64</v>
      </c>
      <c r="H111" s="41">
        <f>SUM(H96:H110)</f>
        <v>2309</v>
      </c>
      <c r="I111" s="41">
        <f>SUM(I96:I110)</f>
        <v>0</v>
      </c>
      <c r="J111" s="41">
        <f>SUM(J96:J110)</f>
        <v>8425.94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3833775.04</v>
      </c>
      <c r="G112" s="41">
        <f>G60+G111</f>
        <v>41421.64</v>
      </c>
      <c r="H112" s="41">
        <f>H60+H79+H94+H111</f>
        <v>2309</v>
      </c>
      <c r="I112" s="41">
        <f>I60+I111</f>
        <v>0</v>
      </c>
      <c r="J112" s="41">
        <f>J60+J111</f>
        <v>8425.94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1938092.13+5323</f>
        <v>1943415.13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315873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v>4565.83</v>
      </c>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2259288.13</v>
      </c>
      <c r="G121" s="41">
        <f>SUM(G117:G120)</f>
        <v>0</v>
      </c>
      <c r="H121" s="41">
        <f>SUM(H117:H120)</f>
        <v>4565.83</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181936.48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15200.22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1328.55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2767.53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12582.4+3900</f>
        <v>16482.400000000001</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198465.25</v>
      </c>
      <c r="G136" s="41">
        <f>SUM(G123:G135)</f>
        <v>2767.53</v>
      </c>
      <c r="H136" s="41">
        <f>SUM(H123:H135)</f>
        <v>16482.400000000001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2457753.38</v>
      </c>
      <c r="G140" s="41">
        <f>G121+SUM(G136:G137)</f>
        <v>2767.53</v>
      </c>
      <c r="H140" s="41">
        <f>H121+SUM(H136:H139)</f>
        <v>21048.230000000003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1190</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1190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128975.47+7870.78</f>
        <v>136846.25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1180.82+1577.44</f>
        <v>2758.26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108322.68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66595.44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108322.68</v>
      </c>
      <c r="H163" s="41">
        <f>SUM(H150:H162)</f>
        <v>206199.95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108322.68</v>
      </c>
      <c r="H170" s="41">
        <f>H147+H163+SUM(H164:H169)</f>
        <v>207389.95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v>0</v>
      </c>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6291528.4199999999</v>
      </c>
      <c r="G194" s="47">
        <f>G112+G140+G170+G193</f>
        <v>152511.84999999998</v>
      </c>
      <c r="H194" s="47">
        <f>H112+H140+H170+H193</f>
        <v>230747.18000000002</v>
      </c>
      <c r="I194" s="47">
        <f>I112+I140+I170+I193</f>
        <v>0</v>
      </c>
      <c r="J194" s="47">
        <f>J112+J140+J193</f>
        <v>8425.94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743228.84</v>
      </c>
      <c r="G198" s="18">
        <v>397867.79</v>
      </c>
      <c r="H198" s="18">
        <v>4500.4799999999996</v>
      </c>
      <c r="I198" s="18">
        <v>25989.38</v>
      </c>
      <c r="J198" s="18">
        <v>2134.5</v>
      </c>
      <c r="K198" s="18">
        <v>5794.33</v>
      </c>
      <c r="L198" s="19">
        <f>SUM(F198:K198)</f>
        <v>1179515.3199999998</v>
      </c>
      <c r="M198" s="8"/>
      <c r="N198" s="266"/>
    </row>
    <row r="199" spans="1:14" s="3" customFormat="1" ht="12.2" customHeight="1" x14ac:dyDescent="0.15">
      <c r="A199" s="1" t="s">
        <v>439</v>
      </c>
      <c r="B199" s="2" t="s">
        <v>341</v>
      </c>
      <c r="C199" s="2" t="s">
        <v>291</v>
      </c>
      <c r="D199" s="2" t="s">
        <v>431</v>
      </c>
      <c r="E199" s="6">
        <v>1200</v>
      </c>
      <c r="F199" s="18">
        <v>413711.2</v>
      </c>
      <c r="G199" s="18">
        <v>103740.77</v>
      </c>
      <c r="H199" s="18">
        <v>191985.26</v>
      </c>
      <c r="I199" s="18">
        <v>795.76</v>
      </c>
      <c r="J199" s="18">
        <v>3347.49</v>
      </c>
      <c r="K199" s="18">
        <v>495.1</v>
      </c>
      <c r="L199" s="19">
        <f>SUM(F199:K199)</f>
        <v>714075.58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20470.400000000001</v>
      </c>
      <c r="G201" s="18">
        <v>4212.76</v>
      </c>
      <c r="H201" s="18">
        <v>3081</v>
      </c>
      <c r="I201" s="18"/>
      <c r="J201" s="18"/>
      <c r="K201" s="18">
        <v>696.4</v>
      </c>
      <c r="L201" s="19">
        <f>SUM(F201:K201)</f>
        <v>28460.560000000005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186629.92</v>
      </c>
      <c r="G203" s="18">
        <v>39771.599999999999</v>
      </c>
      <c r="H203" s="18">
        <f>103239.01+239.43</f>
        <v>103478.43999999999</v>
      </c>
      <c r="I203" s="18">
        <v>3173.05</v>
      </c>
      <c r="J203" s="18">
        <v>7074.25</v>
      </c>
      <c r="K203" s="18">
        <v>6676.97</v>
      </c>
      <c r="L203" s="19">
        <f t="shared" ref="L203:L209" si="0">SUM(F203:K203)</f>
        <v>346804.23</v>
      </c>
      <c r="M203" s="8"/>
      <c r="N203" s="266"/>
    </row>
    <row r="204" spans="1:14" s="3" customFormat="1" ht="12.2" customHeight="1" x14ac:dyDescent="0.15">
      <c r="A204" s="1" t="s">
        <v>443</v>
      </c>
      <c r="B204" s="2" t="s">
        <v>341</v>
      </c>
      <c r="C204" s="2" t="s">
        <v>295</v>
      </c>
      <c r="D204" s="2" t="s">
        <v>431</v>
      </c>
      <c r="E204" s="6">
        <v>2200</v>
      </c>
      <c r="F204" s="18">
        <v>38786.43</v>
      </c>
      <c r="G204" s="18">
        <v>17344.45</v>
      </c>
      <c r="H204" s="18"/>
      <c r="I204" s="18">
        <v>6014.08</v>
      </c>
      <c r="J204" s="18">
        <v>0</v>
      </c>
      <c r="K204" s="18">
        <f>2318.86+5703.04</f>
        <v>8021.9</v>
      </c>
      <c r="L204" s="19">
        <f t="shared" si="0"/>
        <v>70166.86</v>
      </c>
      <c r="M204" s="8"/>
      <c r="N204" s="266"/>
    </row>
    <row r="205" spans="1:14" s="3" customFormat="1" ht="12.2" customHeight="1" x14ac:dyDescent="0.15">
      <c r="A205" s="1" t="s">
        <v>444</v>
      </c>
      <c r="B205" s="2" t="s">
        <v>341</v>
      </c>
      <c r="C205" s="2" t="s">
        <v>296</v>
      </c>
      <c r="D205" s="2" t="s">
        <v>431</v>
      </c>
      <c r="E205" s="6">
        <v>2300</v>
      </c>
      <c r="F205" s="18">
        <v>10944.54</v>
      </c>
      <c r="G205" s="18">
        <v>1503.58</v>
      </c>
      <c r="H205" s="18">
        <f>307735.76+7717.43</f>
        <v>315453.19</v>
      </c>
      <c r="I205" s="18">
        <v>1138.26</v>
      </c>
      <c r="J205" s="18"/>
      <c r="K205" s="18">
        <v>3530.68</v>
      </c>
      <c r="L205" s="19">
        <f t="shared" si="0"/>
        <v>332570.25</v>
      </c>
      <c r="M205" s="8"/>
      <c r="N205" s="266"/>
    </row>
    <row r="206" spans="1:14" s="3" customFormat="1" ht="12.2" customHeight="1" x14ac:dyDescent="0.15">
      <c r="A206" s="1" t="s">
        <v>445</v>
      </c>
      <c r="B206" s="2" t="s">
        <v>341</v>
      </c>
      <c r="C206" s="2" t="s">
        <v>297</v>
      </c>
      <c r="D206" s="2" t="s">
        <v>431</v>
      </c>
      <c r="E206" s="6">
        <v>2400</v>
      </c>
      <c r="F206" s="18">
        <v>107365.87</v>
      </c>
      <c r="G206" s="18">
        <v>52215.02</v>
      </c>
      <c r="H206" s="18">
        <f>371.83+77.12+11836.02</f>
        <v>12284.970000000001</v>
      </c>
      <c r="I206" s="18">
        <v>2104.65</v>
      </c>
      <c r="J206" s="18">
        <v>116.7</v>
      </c>
      <c r="K206" s="18">
        <v>436.3</v>
      </c>
      <c r="L206" s="19">
        <f t="shared" si="0"/>
        <v>174523.50999999998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71630.720000000001</v>
      </c>
      <c r="G208" s="18">
        <v>36447.33</v>
      </c>
      <c r="H208" s="18">
        <f>30777.29+48060.91+18707.18</f>
        <v>97545.38</v>
      </c>
      <c r="I208" s="18">
        <v>165409.10999999999</v>
      </c>
      <c r="J208" s="18">
        <v>4062.8</v>
      </c>
      <c r="K208" s="18">
        <v>852.55</v>
      </c>
      <c r="L208" s="19">
        <f t="shared" si="0"/>
        <v>375947.88999999996</v>
      </c>
      <c r="M208" s="8"/>
      <c r="N208" s="266"/>
    </row>
    <row r="209" spans="1:14" s="3" customFormat="1" ht="12.2" customHeight="1" x14ac:dyDescent="0.15">
      <c r="A209" s="1" t="s">
        <v>448</v>
      </c>
      <c r="B209" s="2" t="s">
        <v>341</v>
      </c>
      <c r="C209" s="2" t="s">
        <v>300</v>
      </c>
      <c r="D209" s="2" t="s">
        <v>431</v>
      </c>
      <c r="E209" s="6">
        <v>2700</v>
      </c>
      <c r="F209" s="18">
        <v>7053.12</v>
      </c>
      <c r="G209" s="18">
        <v>869.93</v>
      </c>
      <c r="H209" s="18">
        <f>5697+109678.89</f>
        <v>115375.89</v>
      </c>
      <c r="I209" s="18">
        <v>1173.6500000000001</v>
      </c>
      <c r="J209" s="18">
        <v>0</v>
      </c>
      <c r="K209" s="18">
        <v>525.04999999999995</v>
      </c>
      <c r="L209" s="19">
        <f t="shared" si="0"/>
        <v>124997.64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1599821.0399999998</v>
      </c>
      <c r="G212" s="41">
        <f t="shared" si="1"/>
        <v>653973.23</v>
      </c>
      <c r="H212" s="41">
        <f t="shared" si="1"/>
        <v>843704.61</v>
      </c>
      <c r="I212" s="41">
        <f t="shared" si="1"/>
        <v>205797.93999999997</v>
      </c>
      <c r="J212" s="41">
        <f t="shared" si="1"/>
        <v>16735.740000000002</v>
      </c>
      <c r="K212" s="41">
        <f t="shared" si="1"/>
        <v>27029.279999999995</v>
      </c>
      <c r="L212" s="41">
        <f t="shared" si="1"/>
        <v>3347061.84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686232.72</v>
      </c>
      <c r="G234" s="18">
        <v>354581.33</v>
      </c>
      <c r="H234" s="18">
        <f>11812.5+1586.14-192.97+5660.67</f>
        <v>18866.34</v>
      </c>
      <c r="I234" s="18">
        <v>14387.65</v>
      </c>
      <c r="J234" s="18">
        <v>17113.8</v>
      </c>
      <c r="K234" s="18">
        <v>6088.66</v>
      </c>
      <c r="L234" s="19">
        <f>SUM(F234:K234)</f>
        <v>1097270.5</v>
      </c>
      <c r="M234" s="8"/>
      <c r="N234" s="266"/>
    </row>
    <row r="235" spans="1:14" s="3" customFormat="1" ht="12.2" customHeight="1" x14ac:dyDescent="0.15">
      <c r="A235" s="1" t="s">
        <v>439</v>
      </c>
      <c r="B235" s="2" t="s">
        <v>350</v>
      </c>
      <c r="C235" s="2" t="s">
        <v>291</v>
      </c>
      <c r="D235" s="2" t="s">
        <v>431</v>
      </c>
      <c r="E235" s="6">
        <v>1200</v>
      </c>
      <c r="F235" s="18">
        <v>70357.490000000005</v>
      </c>
      <c r="G235" s="18">
        <v>29477.68</v>
      </c>
      <c r="H235" s="18">
        <v>559.44000000000005</v>
      </c>
      <c r="I235" s="18"/>
      <c r="J235" s="18"/>
      <c r="K235" s="18"/>
      <c r="L235" s="19">
        <f>SUM(F235:K235)</f>
        <v>100394.61000000002</v>
      </c>
      <c r="M235" s="8"/>
      <c r="N235" s="266"/>
    </row>
    <row r="236" spans="1:14" s="3" customFormat="1" ht="12.2" customHeight="1" x14ac:dyDescent="0.15">
      <c r="A236" s="1" t="s">
        <v>440</v>
      </c>
      <c r="B236" s="2" t="s">
        <v>350</v>
      </c>
      <c r="C236" s="2" t="s">
        <v>292</v>
      </c>
      <c r="D236" s="2" t="s">
        <v>431</v>
      </c>
      <c r="E236" s="6">
        <v>1300</v>
      </c>
      <c r="F236" s="18"/>
      <c r="G236" s="18"/>
      <c r="H236" s="18">
        <v>14400</v>
      </c>
      <c r="I236" s="18"/>
      <c r="J236" s="18"/>
      <c r="K236" s="18"/>
      <c r="L236" s="19">
        <f>SUM(F236:K236)</f>
        <v>14400</v>
      </c>
      <c r="M236" s="8"/>
      <c r="N236" s="266"/>
    </row>
    <row r="237" spans="1:14" s="3" customFormat="1" ht="12.2" customHeight="1" x14ac:dyDescent="0.15">
      <c r="A237" s="1" t="s">
        <v>441</v>
      </c>
      <c r="B237" s="2" t="s">
        <v>350</v>
      </c>
      <c r="C237" s="2" t="s">
        <v>293</v>
      </c>
      <c r="D237" s="2" t="s">
        <v>431</v>
      </c>
      <c r="E237" s="6">
        <v>1400</v>
      </c>
      <c r="F237" s="18">
        <v>64009.35</v>
      </c>
      <c r="G237" s="18">
        <v>11538.65</v>
      </c>
      <c r="H237" s="18">
        <f>8533+628.2</f>
        <v>9161.2000000000007</v>
      </c>
      <c r="I237" s="18">
        <v>2617.92</v>
      </c>
      <c r="J237" s="18">
        <v>8807.19</v>
      </c>
      <c r="K237" s="18">
        <v>4435.63</v>
      </c>
      <c r="L237" s="19">
        <f>SUM(F237:K237)</f>
        <v>100569.94</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92249.15</v>
      </c>
      <c r="G239" s="18">
        <v>35761.64</v>
      </c>
      <c r="H239" s="18">
        <v>20882.63</v>
      </c>
      <c r="I239" s="18">
        <v>841.19</v>
      </c>
      <c r="J239" s="18">
        <v>8852.9</v>
      </c>
      <c r="K239" s="18">
        <f>4928.97+148.8</f>
        <v>5077.7700000000004</v>
      </c>
      <c r="L239" s="19">
        <f t="shared" ref="L239:L245" si="4">SUM(F239:K239)</f>
        <v>163665.27999999997</v>
      </c>
      <c r="M239" s="8"/>
      <c r="N239" s="266"/>
    </row>
    <row r="240" spans="1:14" s="3" customFormat="1" ht="12.2" customHeight="1" x14ac:dyDescent="0.15">
      <c r="A240" s="1" t="s">
        <v>443</v>
      </c>
      <c r="B240" s="2" t="s">
        <v>350</v>
      </c>
      <c r="C240" s="2" t="s">
        <v>295</v>
      </c>
      <c r="D240" s="2" t="s">
        <v>431</v>
      </c>
      <c r="E240" s="6">
        <v>2200</v>
      </c>
      <c r="F240" s="18">
        <v>23076.78</v>
      </c>
      <c r="G240" s="18">
        <v>13149.86</v>
      </c>
      <c r="H240" s="18"/>
      <c r="I240" s="18">
        <v>3954.46</v>
      </c>
      <c r="J240" s="18">
        <v>7466.57</v>
      </c>
      <c r="K240" s="18">
        <f>1796.51+3207.96</f>
        <v>5004.47</v>
      </c>
      <c r="L240" s="19">
        <f t="shared" si="4"/>
        <v>52652.14</v>
      </c>
      <c r="M240" s="8"/>
      <c r="N240" s="266"/>
    </row>
    <row r="241" spans="1:14" s="3" customFormat="1" ht="12.2" customHeight="1" x14ac:dyDescent="0.15">
      <c r="A241" s="1" t="s">
        <v>444</v>
      </c>
      <c r="B241" s="2" t="s">
        <v>350</v>
      </c>
      <c r="C241" s="2" t="s">
        <v>296</v>
      </c>
      <c r="D241" s="2" t="s">
        <v>431</v>
      </c>
      <c r="E241" s="6">
        <v>2300</v>
      </c>
      <c r="F241" s="18">
        <v>5086.82</v>
      </c>
      <c r="G241" s="18">
        <v>674.75</v>
      </c>
      <c r="H241" s="18">
        <f>173701.22+4297.1</f>
        <v>177998.32</v>
      </c>
      <c r="I241" s="18">
        <v>516.46</v>
      </c>
      <c r="J241" s="18"/>
      <c r="K241" s="18">
        <v>1985.73</v>
      </c>
      <c r="L241" s="19">
        <f t="shared" si="4"/>
        <v>186262.08000000002</v>
      </c>
      <c r="M241" s="8"/>
      <c r="N241" s="266"/>
    </row>
    <row r="242" spans="1:14" s="3" customFormat="1" ht="12.2" customHeight="1" x14ac:dyDescent="0.15">
      <c r="A242" s="1" t="s">
        <v>445</v>
      </c>
      <c r="B242" s="2" t="s">
        <v>350</v>
      </c>
      <c r="C242" s="2" t="s">
        <v>297</v>
      </c>
      <c r="D242" s="2" t="s">
        <v>431</v>
      </c>
      <c r="E242" s="6">
        <v>2400</v>
      </c>
      <c r="F242" s="18">
        <v>65354.9</v>
      </c>
      <c r="G242" s="18">
        <v>30659.17</v>
      </c>
      <c r="H242" s="18">
        <f>157.4+43.38+8680.69</f>
        <v>8881.4700000000012</v>
      </c>
      <c r="I242" s="18">
        <v>3289.49</v>
      </c>
      <c r="J242" s="18">
        <v>69.150000000000006</v>
      </c>
      <c r="K242" s="18">
        <v>1245.42</v>
      </c>
      <c r="L242" s="19">
        <f t="shared" si="4"/>
        <v>109499.6</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114904.95</v>
      </c>
      <c r="G244" s="18">
        <v>53546.99</v>
      </c>
      <c r="H244" s="18">
        <f>23930.95+26715.14+10522.82</f>
        <v>61168.909999999996</v>
      </c>
      <c r="I244" s="18">
        <v>37191.43</v>
      </c>
      <c r="J244" s="18">
        <v>1025.27</v>
      </c>
      <c r="K244" s="18">
        <v>497.44</v>
      </c>
      <c r="L244" s="19">
        <f t="shared" si="4"/>
        <v>268334.99000000005</v>
      </c>
      <c r="M244" s="8"/>
      <c r="N244" s="266"/>
    </row>
    <row r="245" spans="1:14" s="3" customFormat="1" ht="12.2" customHeight="1" x14ac:dyDescent="0.15">
      <c r="A245" s="1" t="s">
        <v>448</v>
      </c>
      <c r="B245" s="2" t="s">
        <v>350</v>
      </c>
      <c r="C245" s="2" t="s">
        <v>300</v>
      </c>
      <c r="D245" s="2" t="s">
        <v>431</v>
      </c>
      <c r="E245" s="6">
        <v>2700</v>
      </c>
      <c r="F245" s="18">
        <f>6773.43+5657.68</f>
        <v>12431.11</v>
      </c>
      <c r="G245" s="18">
        <f>1058.15+432.82</f>
        <v>1490.97</v>
      </c>
      <c r="H245" s="18">
        <f>790.01+73536.41</f>
        <v>74326.42</v>
      </c>
      <c r="I245" s="18">
        <v>2868.73</v>
      </c>
      <c r="J245" s="18"/>
      <c r="K245" s="18">
        <v>258.82</v>
      </c>
      <c r="L245" s="19">
        <f t="shared" si="4"/>
        <v>91376.05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1133703.27</v>
      </c>
      <c r="G248" s="41">
        <f t="shared" si="5"/>
        <v>530881.04</v>
      </c>
      <c r="H248" s="41">
        <f t="shared" si="5"/>
        <v>386244.73</v>
      </c>
      <c r="I248" s="41">
        <f t="shared" si="5"/>
        <v>65667.33</v>
      </c>
      <c r="J248" s="41">
        <f t="shared" si="5"/>
        <v>43334.879999999997</v>
      </c>
      <c r="K248" s="41">
        <f t="shared" si="5"/>
        <v>24593.94</v>
      </c>
      <c r="L248" s="41">
        <f t="shared" si="5"/>
        <v>2184425.19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271980</v>
      </c>
      <c r="I256" s="18"/>
      <c r="J256" s="18"/>
      <c r="K256" s="18"/>
      <c r="L256" s="19">
        <f t="shared" si="6"/>
        <v>271980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271980</v>
      </c>
      <c r="I257" s="41">
        <f t="shared" si="7"/>
        <v>0</v>
      </c>
      <c r="J257" s="41">
        <f t="shared" si="7"/>
        <v>0</v>
      </c>
      <c r="K257" s="41">
        <f t="shared" si="7"/>
        <v>0</v>
      </c>
      <c r="L257" s="41">
        <f>SUM(F257:K257)</f>
        <v>271980</v>
      </c>
      <c r="M257" s="8"/>
      <c r="N257" s="266"/>
    </row>
    <row r="258" spans="1:14" s="3" customFormat="1" ht="12.2" customHeight="1" thickTop="1" x14ac:dyDescent="0.15">
      <c r="A258" s="38" t="s">
        <v>462</v>
      </c>
      <c r="B258" s="40">
        <v>10</v>
      </c>
      <c r="C258" s="40">
        <v>8</v>
      </c>
      <c r="D258" s="39" t="s">
        <v>431</v>
      </c>
      <c r="E258" s="40"/>
      <c r="F258" s="41">
        <f t="shared" ref="F258:L258" si="8">F212+F230+F248+F257</f>
        <v>2733524.3099999996</v>
      </c>
      <c r="G258" s="41">
        <f t="shared" si="8"/>
        <v>1184854.27</v>
      </c>
      <c r="H258" s="41">
        <f t="shared" si="8"/>
        <v>1501929.3399999999</v>
      </c>
      <c r="I258" s="41">
        <f t="shared" si="8"/>
        <v>271465.26999999996</v>
      </c>
      <c r="J258" s="41">
        <f t="shared" si="8"/>
        <v>60070.619999999995</v>
      </c>
      <c r="K258" s="41">
        <f t="shared" si="8"/>
        <v>51623.219999999994</v>
      </c>
      <c r="L258" s="41">
        <f t="shared" si="8"/>
        <v>5803467.0299999993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27977.200000000001</v>
      </c>
      <c r="L269" s="19">
        <f t="shared" si="9"/>
        <v>27977.200000000001</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27977.200000000001</v>
      </c>
      <c r="L271" s="41">
        <f t="shared" si="9"/>
        <v>27977.200000000001</v>
      </c>
      <c r="M271" s="8"/>
      <c r="N271" s="266"/>
    </row>
    <row r="272" spans="1:14" s="34" customFormat="1" ht="12.2" customHeight="1" thickTop="1" x14ac:dyDescent="0.2">
      <c r="A272" s="43" t="s">
        <v>464</v>
      </c>
      <c r="B272" s="40">
        <v>10</v>
      </c>
      <c r="C272" s="40">
        <v>18</v>
      </c>
      <c r="D272" s="39" t="s">
        <v>431</v>
      </c>
      <c r="E272" s="40"/>
      <c r="F272" s="42">
        <f t="shared" ref="F272:L272" si="11">F258+F271</f>
        <v>2733524.3099999996</v>
      </c>
      <c r="G272" s="42">
        <f t="shared" si="11"/>
        <v>1184854.27</v>
      </c>
      <c r="H272" s="42">
        <f t="shared" si="11"/>
        <v>1501929.3399999999</v>
      </c>
      <c r="I272" s="42">
        <f t="shared" si="11"/>
        <v>271465.26999999996</v>
      </c>
      <c r="J272" s="42">
        <f t="shared" si="11"/>
        <v>60070.619999999995</v>
      </c>
      <c r="K272" s="42">
        <f t="shared" si="11"/>
        <v>79600.42</v>
      </c>
      <c r="L272" s="42">
        <f t="shared" si="11"/>
        <v>5831444.2299999995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71529.490000000005</v>
      </c>
      <c r="G277" s="18">
        <v>22406.6</v>
      </c>
      <c r="H277" s="18">
        <v>31275.84</v>
      </c>
      <c r="I277" s="18"/>
      <c r="J277" s="18">
        <v>2013.34</v>
      </c>
      <c r="K277" s="18"/>
      <c r="L277" s="19">
        <f>SUM(F277:K277)</f>
        <v>127225.26999999999</v>
      </c>
      <c r="M277" s="8"/>
      <c r="N277" s="266"/>
    </row>
    <row r="278" spans="1:14" s="3" customFormat="1" ht="12.2" customHeight="1" x14ac:dyDescent="0.15">
      <c r="A278" s="1" t="s">
        <v>439</v>
      </c>
      <c r="B278" s="2" t="s">
        <v>357</v>
      </c>
      <c r="C278" s="2" t="s">
        <v>291</v>
      </c>
      <c r="D278" s="2" t="s">
        <v>431</v>
      </c>
      <c r="E278" s="6">
        <v>1200</v>
      </c>
      <c r="F278" s="18">
        <v>56350</v>
      </c>
      <c r="G278" s="18">
        <v>10245.44</v>
      </c>
      <c r="H278" s="18"/>
      <c r="I278" s="18"/>
      <c r="J278" s="18">
        <v>971.82</v>
      </c>
      <c r="K278" s="18"/>
      <c r="L278" s="19">
        <f>SUM(F278:K278)</f>
        <v>67567.260000000009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5300.07</v>
      </c>
      <c r="G280" s="18">
        <v>1139.71</v>
      </c>
      <c r="H280" s="18"/>
      <c r="I280" s="18"/>
      <c r="J280" s="18"/>
      <c r="K280" s="18">
        <v>75</v>
      </c>
      <c r="L280" s="19">
        <f>SUM(F280:K280)</f>
        <v>6514.78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377.14</v>
      </c>
      <c r="I282" s="18">
        <v>333.12</v>
      </c>
      <c r="J282" s="18"/>
      <c r="K282" s="18">
        <v>12582.4</v>
      </c>
      <c r="L282" s="19">
        <f t="shared" ref="L282:L288" si="12">SUM(F282:K282)</f>
        <v>13292.66</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v>3650</v>
      </c>
      <c r="G284" s="18">
        <v>813.54</v>
      </c>
      <c r="H284" s="18"/>
      <c r="I284" s="18"/>
      <c r="J284" s="18"/>
      <c r="K284" s="18"/>
      <c r="L284" s="19">
        <f t="shared" si="12"/>
        <v>4463.54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656</v>
      </c>
      <c r="I288" s="18"/>
      <c r="J288" s="18"/>
      <c r="K288" s="18"/>
      <c r="L288" s="19">
        <f t="shared" si="12"/>
        <v>656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136829.56</v>
      </c>
      <c r="G291" s="42">
        <f t="shared" si="13"/>
        <v>34605.29</v>
      </c>
      <c r="H291" s="42">
        <f t="shared" si="13"/>
        <v>32308.98</v>
      </c>
      <c r="I291" s="42">
        <f t="shared" si="13"/>
        <v>333.12</v>
      </c>
      <c r="J291" s="42">
        <f t="shared" si="13"/>
        <v>2985.16</v>
      </c>
      <c r="K291" s="42">
        <f t="shared" si="13"/>
        <v>12657.4</v>
      </c>
      <c r="L291" s="41">
        <f t="shared" si="13"/>
        <v>219719.51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v>1284.9100000000001</v>
      </c>
      <c r="J315" s="18">
        <v>1267.58</v>
      </c>
      <c r="K315" s="18">
        <v>509</v>
      </c>
      <c r="L315" s="19">
        <f>SUM(F315:K315)</f>
        <v>3061.49</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v>965</v>
      </c>
      <c r="L318" s="19">
        <f>SUM(F318:K318)</f>
        <v>965</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v>195</v>
      </c>
      <c r="L320" s="19">
        <f t="shared" ref="L320:L326" si="16">SUM(F320:K320)</f>
        <v>195</v>
      </c>
      <c r="M320" s="8"/>
      <c r="N320" s="266"/>
    </row>
    <row r="321" spans="1:14" s="3" customFormat="1" ht="12.2" customHeight="1" x14ac:dyDescent="0.15">
      <c r="A321" s="1" t="s">
        <v>443</v>
      </c>
      <c r="B321" s="2" t="s">
        <v>359</v>
      </c>
      <c r="C321" s="2" t="s">
        <v>295</v>
      </c>
      <c r="D321" s="2" t="s">
        <v>431</v>
      </c>
      <c r="E321" s="6">
        <v>2200</v>
      </c>
      <c r="F321" s="18">
        <v>150</v>
      </c>
      <c r="G321" s="18">
        <v>37.44</v>
      </c>
      <c r="H321" s="18">
        <v>1190</v>
      </c>
      <c r="I321" s="18"/>
      <c r="J321" s="18"/>
      <c r="K321" s="18">
        <v>1390</v>
      </c>
      <c r="L321" s="19">
        <f t="shared" si="16"/>
        <v>2767.44</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v>3900</v>
      </c>
      <c r="I325" s="18"/>
      <c r="J325" s="18"/>
      <c r="K325" s="18"/>
      <c r="L325" s="19">
        <f t="shared" si="16"/>
        <v>3900</v>
      </c>
      <c r="M325" s="8"/>
      <c r="N325" s="266"/>
    </row>
    <row r="326" spans="1:14" s="3" customFormat="1" ht="12.2" customHeight="1" x14ac:dyDescent="0.15">
      <c r="A326" s="1" t="s">
        <v>448</v>
      </c>
      <c r="B326" s="2" t="s">
        <v>359</v>
      </c>
      <c r="C326" s="2" t="s">
        <v>300</v>
      </c>
      <c r="D326" s="2" t="s">
        <v>431</v>
      </c>
      <c r="E326" s="6">
        <v>2700</v>
      </c>
      <c r="F326" s="18">
        <v>41.76</v>
      </c>
      <c r="G326" s="18">
        <v>24.38</v>
      </c>
      <c r="H326" s="18">
        <v>72.599999999999994</v>
      </c>
      <c r="I326" s="18"/>
      <c r="J326" s="18"/>
      <c r="K326" s="18"/>
      <c r="L326" s="19">
        <f t="shared" si="16"/>
        <v>138.74</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191.76</v>
      </c>
      <c r="G329" s="42">
        <f t="shared" si="17"/>
        <v>61.819999999999993</v>
      </c>
      <c r="H329" s="42">
        <f t="shared" si="17"/>
        <v>5162.6000000000004</v>
      </c>
      <c r="I329" s="42">
        <f t="shared" si="17"/>
        <v>1284.9100000000001</v>
      </c>
      <c r="J329" s="42">
        <f t="shared" si="17"/>
        <v>1267.58</v>
      </c>
      <c r="K329" s="42">
        <f t="shared" si="17"/>
        <v>3059</v>
      </c>
      <c r="L329" s="41">
        <f t="shared" si="17"/>
        <v>11027.67</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137021.32</v>
      </c>
      <c r="G339" s="41">
        <f t="shared" si="20"/>
        <v>34667.11</v>
      </c>
      <c r="H339" s="41">
        <f t="shared" si="20"/>
        <v>37471.58</v>
      </c>
      <c r="I339" s="41">
        <f t="shared" si="20"/>
        <v>1618.0300000000002</v>
      </c>
      <c r="J339" s="41">
        <f t="shared" si="20"/>
        <v>4252.74</v>
      </c>
      <c r="K339" s="41">
        <f t="shared" si="20"/>
        <v>15716.4</v>
      </c>
      <c r="L339" s="41">
        <f t="shared" si="20"/>
        <v>230747.18000000002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137021.32</v>
      </c>
      <c r="G353" s="41">
        <f>G339</f>
        <v>34667.11</v>
      </c>
      <c r="H353" s="41">
        <f>H339</f>
        <v>37471.58</v>
      </c>
      <c r="I353" s="41">
        <f>I339</f>
        <v>1618.0300000000002</v>
      </c>
      <c r="J353" s="41">
        <f>J339</f>
        <v>4252.74</v>
      </c>
      <c r="K353" s="47">
        <f>K339+K352</f>
        <v>15716.4</v>
      </c>
      <c r="L353" s="41">
        <f>L339+L352</f>
        <v>230747.18000000002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129.5+1712.66</f>
        <v>1842.16</v>
      </c>
      <c r="G359" s="18">
        <f>9.91+131.01</f>
        <v>140.91999999999999</v>
      </c>
      <c r="H359" s="18">
        <f>582.84+85441.92+19068.98</f>
        <v>105093.73999999999</v>
      </c>
      <c r="I359" s="18">
        <v>500</v>
      </c>
      <c r="J359" s="18"/>
      <c r="K359" s="18">
        <f>14+342.9</f>
        <v>356.9</v>
      </c>
      <c r="L359" s="13">
        <f>SUM(F359:K359)</f>
        <v>107933.71999999999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f>649.76+56372.62+1619.27</f>
        <v>58641.65</v>
      </c>
      <c r="I361" s="18">
        <v>219.8</v>
      </c>
      <c r="J361" s="18"/>
      <c r="K361" s="18">
        <v>168.65</v>
      </c>
      <c r="L361" s="19">
        <f>SUM(F361:K361)</f>
        <v>59030.100000000006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1842.16</v>
      </c>
      <c r="G363" s="47">
        <f t="shared" si="22"/>
        <v>140.91999999999999</v>
      </c>
      <c r="H363" s="47">
        <f t="shared" si="22"/>
        <v>163735.38999999998</v>
      </c>
      <c r="I363" s="47">
        <f t="shared" si="22"/>
        <v>719.8</v>
      </c>
      <c r="J363" s="47">
        <f t="shared" si="22"/>
        <v>0</v>
      </c>
      <c r="K363" s="47">
        <f t="shared" si="22"/>
        <v>525.54999999999995</v>
      </c>
      <c r="L363" s="47">
        <f t="shared" si="22"/>
        <v>166963.82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500</v>
      </c>
      <c r="G369" s="63"/>
      <c r="H369" s="63">
        <v>219.8</v>
      </c>
      <c r="I369" s="56">
        <f>SUM(F369:H369)</f>
        <v>719.8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500</v>
      </c>
      <c r="G370" s="47">
        <f>SUM(G368:G369)</f>
        <v>0</v>
      </c>
      <c r="H370" s="47">
        <f>SUM(H368:H369)</f>
        <v>219.8</v>
      </c>
      <c r="I370" s="47">
        <f>SUM(I368:I369)</f>
        <v>719.8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0</v>
      </c>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f>1178+0.28</f>
        <v>1178.28</v>
      </c>
      <c r="I397" s="18"/>
      <c r="J397" s="24" t="s">
        <v>288</v>
      </c>
      <c r="K397" s="24" t="s">
        <v>288</v>
      </c>
      <c r="L397" s="56">
        <f t="shared" si="26"/>
        <v>1178.28</v>
      </c>
      <c r="M397" s="8"/>
      <c r="N397" s="266"/>
    </row>
    <row r="398" spans="1:14" s="3" customFormat="1" ht="12.2" customHeight="1" x14ac:dyDescent="0.15">
      <c r="A398" s="79" t="s">
        <v>515</v>
      </c>
      <c r="B398" s="2" t="s">
        <v>381</v>
      </c>
      <c r="C398" s="6">
        <v>10</v>
      </c>
      <c r="D398" s="2" t="s">
        <v>432</v>
      </c>
      <c r="E398" s="6"/>
      <c r="F398" s="18"/>
      <c r="G398" s="18"/>
      <c r="H398" s="18">
        <v>2184.7399999999998</v>
      </c>
      <c r="I398" s="18"/>
      <c r="J398" s="24" t="s">
        <v>288</v>
      </c>
      <c r="K398" s="24" t="s">
        <v>288</v>
      </c>
      <c r="L398" s="56">
        <f t="shared" si="26"/>
        <v>2184.7399999999998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307.19</v>
      </c>
      <c r="I400" s="18"/>
      <c r="J400" s="24" t="s">
        <v>288</v>
      </c>
      <c r="K400" s="24" t="s">
        <v>288</v>
      </c>
      <c r="L400" s="56">
        <f t="shared" si="26"/>
        <v>307.19</v>
      </c>
      <c r="M400" s="8"/>
      <c r="N400" s="266"/>
    </row>
    <row r="401" spans="1:21" s="3" customFormat="1" ht="12.2" customHeight="1" thickBot="1" x14ac:dyDescent="0.2">
      <c r="A401" s="79" t="s">
        <v>510</v>
      </c>
      <c r="B401" s="2" t="s">
        <v>381</v>
      </c>
      <c r="C401" s="6">
        <v>13</v>
      </c>
      <c r="D401" s="2" t="s">
        <v>432</v>
      </c>
      <c r="E401" s="6"/>
      <c r="F401" s="18"/>
      <c r="G401" s="18"/>
      <c r="H401" s="18">
        <f>8425.94-3670.21</f>
        <v>4755.7300000000005</v>
      </c>
      <c r="I401" s="18"/>
      <c r="J401" s="24" t="s">
        <v>288</v>
      </c>
      <c r="K401" s="24" t="s">
        <v>288</v>
      </c>
      <c r="L401" s="56">
        <f t="shared" si="26"/>
        <v>4755.7300000000005</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8425.94</v>
      </c>
      <c r="I402" s="47">
        <f>SUM(I396:I401)</f>
        <v>0</v>
      </c>
      <c r="J402" s="45" t="s">
        <v>288</v>
      </c>
      <c r="K402" s="45" t="s">
        <v>288</v>
      </c>
      <c r="L402" s="47">
        <f>SUM(L396:L401)</f>
        <v>8425.94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8425.94</v>
      </c>
      <c r="I409" s="47">
        <f>I394+I402+I408</f>
        <v>0</v>
      </c>
      <c r="J409" s="24" t="s">
        <v>288</v>
      </c>
      <c r="K409" s="24" t="s">
        <v>288</v>
      </c>
      <c r="L409" s="47">
        <f>L394+L402+L408</f>
        <v>8425.94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f>657761.67-25000</f>
        <v>632761.67000000004</v>
      </c>
      <c r="H440" s="18">
        <v>25000</v>
      </c>
      <c r="I440" s="56">
        <f t="shared" ref="I440:I446" si="33">SUM(F440:H440)</f>
        <v>657761.67000000004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632761.67000000004</v>
      </c>
      <c r="H447" s="13">
        <f>SUM(H440:H446)</f>
        <v>25000</v>
      </c>
      <c r="I447" s="13">
        <f>SUM(I440:I446)</f>
        <v>657761.67000000004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25000</v>
      </c>
      <c r="I458" s="56">
        <f t="shared" si="34"/>
        <v>25000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632761.67000000004</v>
      </c>
      <c r="H460" s="18"/>
      <c r="I460" s="56">
        <f t="shared" si="34"/>
        <v>632761.67000000004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632761.67000000004</v>
      </c>
      <c r="H461" s="83">
        <f>SUM(H455:H460)</f>
        <v>25000</v>
      </c>
      <c r="I461" s="83">
        <f>SUM(I455:I460)</f>
        <v>657761.67000000004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632761.67000000004</v>
      </c>
      <c r="H462" s="42">
        <f>H453+H461</f>
        <v>25000</v>
      </c>
      <c r="I462" s="42">
        <f>I453+I461</f>
        <v>657761.67000000004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444355.78</v>
      </c>
      <c r="G466" s="18">
        <v>36593.74</v>
      </c>
      <c r="H466" s="18"/>
      <c r="I466" s="18"/>
      <c r="J466" s="18">
        <v>711087.72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6291528.4199999999</v>
      </c>
      <c r="G469" s="18">
        <v>152511.85</v>
      </c>
      <c r="H469" s="18">
        <v>230747.18</v>
      </c>
      <c r="I469" s="18">
        <v>0</v>
      </c>
      <c r="J469" s="18">
        <v>8425.94</v>
      </c>
      <c r="K469" s="24" t="s">
        <v>288</v>
      </c>
      <c r="L469" s="24" t="s">
        <v>288</v>
      </c>
      <c r="N469" s="265"/>
    </row>
    <row r="470" spans="1:14" s="52" customFormat="1" ht="12.2" customHeight="1" x14ac:dyDescent="0.2">
      <c r="A470" s="93" t="s">
        <v>611</v>
      </c>
      <c r="B470" s="75">
        <v>19</v>
      </c>
      <c r="C470" s="80">
        <v>3</v>
      </c>
      <c r="D470" s="2" t="s">
        <v>432</v>
      </c>
      <c r="E470" s="80"/>
      <c r="F470" s="18">
        <v>4398.38</v>
      </c>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6295926.7999999998</v>
      </c>
      <c r="G471" s="53">
        <f>SUM(G469:G470)</f>
        <v>152511.85</v>
      </c>
      <c r="H471" s="53">
        <f>SUM(H469:H470)</f>
        <v>230747.18</v>
      </c>
      <c r="I471" s="53">
        <f>SUM(I469:I470)</f>
        <v>0</v>
      </c>
      <c r="J471" s="53">
        <f>SUM(J469:J470)</f>
        <v>8425.94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5831444.2300000004</v>
      </c>
      <c r="G473" s="18">
        <v>166963.82</v>
      </c>
      <c r="H473" s="18">
        <v>230747.18</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c r="G474" s="18">
        <f>2241.5+0.25</f>
        <v>2241.75</v>
      </c>
      <c r="H474" s="18"/>
      <c r="I474" s="18"/>
      <c r="J474" s="18">
        <v>61751.99</v>
      </c>
      <c r="K474" s="24" t="s">
        <v>288</v>
      </c>
      <c r="L474" s="24" t="s">
        <v>288</v>
      </c>
      <c r="N474" s="265"/>
    </row>
    <row r="475" spans="1:14" s="52" customFormat="1" ht="12.2" customHeight="1" x14ac:dyDescent="0.2">
      <c r="A475" s="92" t="s">
        <v>426</v>
      </c>
      <c r="B475" s="75">
        <v>19</v>
      </c>
      <c r="C475" s="80">
        <v>7</v>
      </c>
      <c r="D475" s="2" t="s">
        <v>432</v>
      </c>
      <c r="E475" s="80"/>
      <c r="F475" s="53">
        <f>SUM(F473:F474)</f>
        <v>5831444.2300000004</v>
      </c>
      <c r="G475" s="53">
        <f>SUM(G473:G474)</f>
        <v>169205.57</v>
      </c>
      <c r="H475" s="53">
        <f>SUM(H473:H474)</f>
        <v>230747.18</v>
      </c>
      <c r="I475" s="53">
        <f>SUM(I473:I474)</f>
        <v>0</v>
      </c>
      <c r="J475" s="53">
        <f>SUM(J473:J474)</f>
        <v>61751.99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908838.34999999963</v>
      </c>
      <c r="G477" s="53">
        <f>(G466+G471)- G475</f>
        <v>19900.01999999999</v>
      </c>
      <c r="H477" s="53">
        <f>(H466+H471)- H475</f>
        <v>0</v>
      </c>
      <c r="I477" s="53">
        <f>(I466+I471)- I475</f>
        <v>0</v>
      </c>
      <c r="J477" s="53">
        <f>(J466+J471)- J475</f>
        <v>657761.66999999993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413711.2</v>
      </c>
      <c r="G522" s="18">
        <v>103662.57</v>
      </c>
      <c r="H522" s="18">
        <v>191985.26</v>
      </c>
      <c r="I522" s="18">
        <v>795.76</v>
      </c>
      <c r="J522" s="18">
        <v>971.82</v>
      </c>
      <c r="K522" s="18"/>
      <c r="L522" s="88">
        <f>SUM(F522:K522)</f>
        <v>711126.61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70357.490000000005</v>
      </c>
      <c r="G524" s="18">
        <v>29477.68</v>
      </c>
      <c r="H524" s="18">
        <v>559.44000000000005</v>
      </c>
      <c r="I524" s="18"/>
      <c r="J524" s="18"/>
      <c r="K524" s="18"/>
      <c r="L524" s="88">
        <f>SUM(F524:K524)</f>
        <v>100394.61000000002</v>
      </c>
      <c r="N524" s="265"/>
    </row>
    <row r="525" spans="1:14" s="52" customFormat="1" ht="12.2" customHeight="1" thickTop="1" x14ac:dyDescent="0.2">
      <c r="A525" s="139" t="s">
        <v>63</v>
      </c>
      <c r="B525" s="107">
        <v>21</v>
      </c>
      <c r="C525" s="195">
        <v>4</v>
      </c>
      <c r="D525" s="196" t="s">
        <v>432</v>
      </c>
      <c r="E525" s="195"/>
      <c r="F525" s="108">
        <f>SUM(F522:F524)</f>
        <v>484068.69</v>
      </c>
      <c r="G525" s="108">
        <f t="shared" ref="G525:L525" si="36">SUM(G522:G524)</f>
        <v>133140.25</v>
      </c>
      <c r="H525" s="108">
        <f t="shared" si="36"/>
        <v>192544.7</v>
      </c>
      <c r="I525" s="108">
        <f t="shared" si="36"/>
        <v>795.76</v>
      </c>
      <c r="J525" s="108">
        <f t="shared" si="36"/>
        <v>971.82</v>
      </c>
      <c r="K525" s="108">
        <f t="shared" si="36"/>
        <v>0</v>
      </c>
      <c r="L525" s="89">
        <f t="shared" si="36"/>
        <v>811521.22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74075.47</v>
      </c>
      <c r="G527" s="18">
        <v>6024.38</v>
      </c>
      <c r="H527" s="18">
        <f>19507.96+14430.98+159.39</f>
        <v>34098.33</v>
      </c>
      <c r="I527" s="18">
        <f>850.28+209</f>
        <v>1059.28</v>
      </c>
      <c r="J527" s="18">
        <v>425.25</v>
      </c>
      <c r="K527" s="18">
        <v>694.35</v>
      </c>
      <c r="L527" s="88">
        <f>SUM(F527:K527)</f>
        <v>116377.06000000001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2473.7829999999999</v>
      </c>
      <c r="G529" s="18">
        <v>199.87</v>
      </c>
      <c r="H529" s="18">
        <f>8360.56+3585.94</f>
        <v>11946.5</v>
      </c>
      <c r="I529" s="18"/>
      <c r="J529" s="18"/>
      <c r="K529" s="18"/>
      <c r="L529" s="88">
        <f>SUM(F529:K529)</f>
        <v>14620.153</v>
      </c>
      <c r="M529" s="8"/>
      <c r="N529" s="266"/>
    </row>
    <row r="530" spans="1:14" s="3" customFormat="1" ht="12.2" customHeight="1" thickTop="1" x14ac:dyDescent="0.15">
      <c r="A530" s="139" t="s">
        <v>65</v>
      </c>
      <c r="B530" s="107">
        <v>21</v>
      </c>
      <c r="C530" s="107">
        <v>8</v>
      </c>
      <c r="D530" s="158" t="s">
        <v>432</v>
      </c>
      <c r="E530" s="107"/>
      <c r="F530" s="89">
        <f>SUM(F527:F529)</f>
        <v>76549.252999999997</v>
      </c>
      <c r="G530" s="89">
        <f t="shared" ref="G530:L530" si="37">SUM(G527:G529)</f>
        <v>6224.25</v>
      </c>
      <c r="H530" s="89">
        <f t="shared" si="37"/>
        <v>46044.83</v>
      </c>
      <c r="I530" s="89">
        <f t="shared" si="37"/>
        <v>1059.28</v>
      </c>
      <c r="J530" s="89">
        <f t="shared" si="37"/>
        <v>425.25</v>
      </c>
      <c r="K530" s="89">
        <f t="shared" si="37"/>
        <v>694.35</v>
      </c>
      <c r="L530" s="89">
        <f t="shared" si="37"/>
        <v>130997.21300000002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27990.87</v>
      </c>
      <c r="I532" s="18"/>
      <c r="J532" s="18"/>
      <c r="K532" s="18"/>
      <c r="L532" s="88">
        <f>SUM(F532:K532)</f>
        <v>27990.87</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11996.86</v>
      </c>
      <c r="I534" s="18"/>
      <c r="J534" s="18"/>
      <c r="K534" s="18"/>
      <c r="L534" s="88">
        <f>SUM(F534:K534)</f>
        <v>11996.86</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39987.729999999996</v>
      </c>
      <c r="I535" s="89">
        <f t="shared" si="38"/>
        <v>0</v>
      </c>
      <c r="J535" s="89">
        <f t="shared" si="38"/>
        <v>0</v>
      </c>
      <c r="K535" s="89">
        <f t="shared" si="38"/>
        <v>0</v>
      </c>
      <c r="L535" s="89">
        <f t="shared" si="38"/>
        <v>39987.729999999996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5352.38</v>
      </c>
      <c r="G542" s="18">
        <v>576.6099999999999</v>
      </c>
      <c r="H542" s="18">
        <v>6866</v>
      </c>
      <c r="I542" s="18">
        <v>1246.25</v>
      </c>
      <c r="J542" s="18"/>
      <c r="K542" s="18"/>
      <c r="L542" s="88">
        <f>SUM(F542:K542)</f>
        <v>14041.24</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v>1550</v>
      </c>
      <c r="G544" s="18">
        <v>218.32</v>
      </c>
      <c r="H544" s="18"/>
      <c r="I544" s="18"/>
      <c r="J544" s="18"/>
      <c r="K544" s="18"/>
      <c r="L544" s="88">
        <f>SUM(F544:K544)</f>
        <v>1768.32</v>
      </c>
      <c r="M544" s="8"/>
      <c r="N544" s="266"/>
    </row>
    <row r="545" spans="1:14" s="3" customFormat="1" ht="12.2" customHeight="1" thickTop="1" thickBot="1" x14ac:dyDescent="0.2">
      <c r="A545" s="130" t="s">
        <v>71</v>
      </c>
      <c r="B545" s="191">
        <v>21</v>
      </c>
      <c r="C545" s="191">
        <v>20</v>
      </c>
      <c r="D545" s="192" t="s">
        <v>432</v>
      </c>
      <c r="E545" s="191"/>
      <c r="F545" s="193">
        <f>SUM(F542:F544)</f>
        <v>6902.38</v>
      </c>
      <c r="G545" s="193">
        <f t="shared" ref="G545:L545" si="40">SUM(G542:G544)</f>
        <v>794.92999999999984</v>
      </c>
      <c r="H545" s="193">
        <f t="shared" si="40"/>
        <v>6866</v>
      </c>
      <c r="I545" s="193">
        <f t="shared" si="40"/>
        <v>1246.25</v>
      </c>
      <c r="J545" s="193">
        <f t="shared" si="40"/>
        <v>0</v>
      </c>
      <c r="K545" s="193">
        <f t="shared" si="40"/>
        <v>0</v>
      </c>
      <c r="L545" s="193">
        <f t="shared" si="40"/>
        <v>15809.56</v>
      </c>
      <c r="M545" s="8"/>
      <c r="N545" s="266"/>
    </row>
    <row r="546" spans="1:14" s="3" customFormat="1" ht="12.2" customHeight="1" thickTop="1" x14ac:dyDescent="0.15">
      <c r="A546" s="98" t="s">
        <v>72</v>
      </c>
      <c r="B546" s="107">
        <v>21</v>
      </c>
      <c r="C546" s="107">
        <v>21</v>
      </c>
      <c r="D546" s="158" t="s">
        <v>432</v>
      </c>
      <c r="E546" s="107"/>
      <c r="F546" s="89">
        <f>F525+F530+F535+F540+F545</f>
        <v>567520.32299999997</v>
      </c>
      <c r="G546" s="89">
        <f t="shared" ref="G546:L546" si="41">G525+G530+G535+G540+G545</f>
        <v>140159.43</v>
      </c>
      <c r="H546" s="89">
        <f t="shared" si="41"/>
        <v>285443.26</v>
      </c>
      <c r="I546" s="89">
        <f t="shared" si="41"/>
        <v>3101.29</v>
      </c>
      <c r="J546" s="89">
        <f t="shared" si="41"/>
        <v>1397.0700000000002</v>
      </c>
      <c r="K546" s="89">
        <f t="shared" si="41"/>
        <v>694.35</v>
      </c>
      <c r="L546" s="89">
        <f t="shared" si="41"/>
        <v>998315.723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711126.61</v>
      </c>
      <c r="G550" s="87">
        <f>L527</f>
        <v>116377.06000000001</v>
      </c>
      <c r="H550" s="87">
        <f>L532</f>
        <v>27990.87</v>
      </c>
      <c r="I550" s="87">
        <f>L537</f>
        <v>0</v>
      </c>
      <c r="J550" s="87">
        <f>L542</f>
        <v>14041.24</v>
      </c>
      <c r="K550" s="87">
        <f>SUM(F550:J550)</f>
        <v>869535.78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100394.61000000002</v>
      </c>
      <c r="G552" s="87">
        <f>L529</f>
        <v>14620.153</v>
      </c>
      <c r="H552" s="87">
        <f>L534</f>
        <v>11996.86</v>
      </c>
      <c r="I552" s="87">
        <f>L539</f>
        <v>0</v>
      </c>
      <c r="J552" s="87">
        <f>L544</f>
        <v>1768.32</v>
      </c>
      <c r="K552" s="87">
        <f>SUM(F552:J552)</f>
        <v>128779.94300000003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811521.22</v>
      </c>
      <c r="G553" s="89">
        <f t="shared" si="42"/>
        <v>130997.21300000002</v>
      </c>
      <c r="H553" s="89">
        <f t="shared" si="42"/>
        <v>39987.729999999996</v>
      </c>
      <c r="I553" s="89">
        <f t="shared" si="42"/>
        <v>0</v>
      </c>
      <c r="J553" s="89">
        <f t="shared" si="42"/>
        <v>15809.56</v>
      </c>
      <c r="K553" s="89">
        <f t="shared" si="42"/>
        <v>998315.723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9652.76</v>
      </c>
      <c r="G576" s="18"/>
      <c r="H576" s="18" t="s">
        <v>286</v>
      </c>
      <c r="I576" s="87">
        <f>SUM(F576:H576)</f>
        <v>9652.76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65691.86</v>
      </c>
      <c r="G583" s="18"/>
      <c r="H583" s="18">
        <v>559.44000000000005</v>
      </c>
      <c r="I583" s="87">
        <f t="shared" si="47"/>
        <v>66251.3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116640.54</v>
      </c>
      <c r="G584" s="18"/>
      <c r="H584" s="18"/>
      <c r="I584" s="87">
        <f t="shared" si="47"/>
        <v>116640.54</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14400</v>
      </c>
      <c r="I586" s="87">
        <f t="shared" si="47"/>
        <v>14400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102513.22</v>
      </c>
      <c r="I592" s="18"/>
      <c r="J592" s="18">
        <v>60495.26</v>
      </c>
      <c r="K592" s="104">
        <f t="shared" ref="K592:K598" si="48">SUM(H592:J592)</f>
        <v>163008.48000000001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15884.56</v>
      </c>
      <c r="I593" s="18"/>
      <c r="J593" s="18">
        <v>75</v>
      </c>
      <c r="K593" s="104">
        <f t="shared" si="48"/>
        <v>15959.56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4349</v>
      </c>
      <c r="K594" s="104">
        <f t="shared" si="48"/>
        <v>4349</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4852.76</v>
      </c>
      <c r="I595" s="18"/>
      <c r="J595" s="18">
        <v>14997.8</v>
      </c>
      <c r="K595" s="104">
        <f t="shared" si="48"/>
        <v>19850.559999999998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1747.1</v>
      </c>
      <c r="I596" s="18"/>
      <c r="J596" s="18">
        <v>1760.93</v>
      </c>
      <c r="K596" s="104">
        <f t="shared" si="48"/>
        <v>3508.0299999999997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f>6090.5+3607.56</f>
        <v>9698.06</v>
      </c>
      <c r="K597" s="104">
        <f t="shared" si="48"/>
        <v>9698.06</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124997.64</v>
      </c>
      <c r="I599" s="108">
        <f>SUM(I592:I598)</f>
        <v>0</v>
      </c>
      <c r="J599" s="108">
        <f>SUM(J592:J598)</f>
        <v>91376.049999999988</v>
      </c>
      <c r="K599" s="108">
        <f>SUM(K592:K598)</f>
        <v>216373.69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2134.5+3347.49+48.24+425.25+113.95+6486.81+116.7+4062.8</f>
        <v>16735.740000000002</v>
      </c>
      <c r="I605" s="18"/>
      <c r="J605" s="18">
        <f>13243.5+1307.9+2562.4+8807.19+8852.9+7466.57+69.15+1025.27+971.82+2013.34+1267.58</f>
        <v>47587.619999999995</v>
      </c>
      <c r="K605" s="104">
        <f>SUM(H605:J605)</f>
        <v>64323.360000000001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16735.740000000002</v>
      </c>
      <c r="I606" s="108">
        <f>SUM(I603:I605)</f>
        <v>0</v>
      </c>
      <c r="J606" s="108">
        <f>SUM(J603:J605)</f>
        <v>47587.619999999995</v>
      </c>
      <c r="K606" s="108">
        <f>SUM(K603:K605)</f>
        <v>64323.360000000001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4125+1175.07</f>
        <v>5300.07</v>
      </c>
      <c r="G612" s="18">
        <f>405.46+734.25</f>
        <v>1139.71</v>
      </c>
      <c r="H612" s="18"/>
      <c r="I612" s="18"/>
      <c r="J612" s="18"/>
      <c r="K612" s="18">
        <v>75</v>
      </c>
      <c r="L612" s="88">
        <f>SUM(F612:K612)</f>
        <v>6514.78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5300.07</v>
      </c>
      <c r="G615" s="108">
        <f t="shared" si="49"/>
        <v>1139.71</v>
      </c>
      <c r="H615" s="108">
        <f t="shared" si="49"/>
        <v>0</v>
      </c>
      <c r="I615" s="108">
        <f t="shared" si="49"/>
        <v>0</v>
      </c>
      <c r="J615" s="108">
        <f t="shared" si="49"/>
        <v>0</v>
      </c>
      <c r="K615" s="108">
        <f t="shared" si="49"/>
        <v>75</v>
      </c>
      <c r="L615" s="89">
        <f t="shared" si="49"/>
        <v>6514.78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1001343.0800000001</v>
      </c>
      <c r="H618" s="109">
        <f>SUM(F52)</f>
        <v>1001343.0799999996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37327.880000000005</v>
      </c>
      <c r="H619" s="109">
        <f>SUM(G52)</f>
        <v>37327.879999999997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68456.960000000006</v>
      </c>
      <c r="H620" s="109">
        <f>SUM(H52)</f>
        <v>68456.960000000006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657761.67000000004</v>
      </c>
      <c r="H622" s="109">
        <f>SUM(J52)</f>
        <v>657761.67000000004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908838.34999999963</v>
      </c>
      <c r="H623" s="109">
        <f>F477</f>
        <v>908838.34999999963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19900.019999999997</v>
      </c>
      <c r="H624" s="109">
        <f>G477</f>
        <v>19900.01999999999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657761.67000000004</v>
      </c>
      <c r="H627" s="109">
        <f>J477</f>
        <v>657761.66999999993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6291528.4199999999</v>
      </c>
      <c r="H628" s="104">
        <f>SUM(F469)</f>
        <v>6291528.4199999999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152511.84999999998</v>
      </c>
      <c r="H629" s="104">
        <f>SUM(G469)</f>
        <v>152511.85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230747.18000000002</v>
      </c>
      <c r="H630" s="104">
        <f>SUM(H469)</f>
        <v>230747.18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8425.94</v>
      </c>
      <c r="H632" s="104">
        <f>SUM(J469)</f>
        <v>8425.94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5831444.2299999995</v>
      </c>
      <c r="H633" s="104">
        <f>SUM(F473)</f>
        <v>5831444.2300000004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230747.18000000002</v>
      </c>
      <c r="H634" s="104">
        <f>SUM(H473)</f>
        <v>230747.18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719.8</v>
      </c>
      <c r="H635" s="104">
        <f>I370</f>
        <v>719.8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166963.82</v>
      </c>
      <c r="H636" s="104">
        <f>SUM(G473)</f>
        <v>166963.82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8425.94</v>
      </c>
      <c r="H638" s="164">
        <f>SUM(J469)</f>
        <v>8425.94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632761.67000000004</v>
      </c>
      <c r="H641" s="104">
        <f>SUM(G462)</f>
        <v>632761.67000000004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25000</v>
      </c>
      <c r="H642" s="104">
        <f>SUM(H462)</f>
        <v>25000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657761.67000000004</v>
      </c>
      <c r="H643" s="104">
        <f>SUM(I462)</f>
        <v>657761.67000000004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8425.94</v>
      </c>
      <c r="H645" s="104">
        <f>H409</f>
        <v>8425.94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8425.94</v>
      </c>
      <c r="H647" s="104">
        <f>L409</f>
        <v>8425.94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216373.69</v>
      </c>
      <c r="H648" s="104">
        <f>L209+L227+L245</f>
        <v>216373.69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64323.360000000001</v>
      </c>
      <c r="H649" s="104">
        <f>(J258+J339)-(J256+J337)</f>
        <v>64323.359999999993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124997.64</v>
      </c>
      <c r="H650" s="104">
        <f>H599</f>
        <v>124997.64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91376.05</v>
      </c>
      <c r="H652" s="104">
        <f>J599</f>
        <v>91376.049999999988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3674715.07</v>
      </c>
      <c r="G661" s="19">
        <f>(L230+L310+L360)</f>
        <v>0</v>
      </c>
      <c r="H661" s="19">
        <f>(L248+L329+L361)</f>
        <v>2254482.96</v>
      </c>
      <c r="I661" s="19">
        <f>SUM(F661:H661)</f>
        <v>5929198.0299999993</v>
      </c>
      <c r="J661" s="13"/>
      <c r="K661" s="13"/>
      <c r="L661" s="13"/>
      <c r="M661" s="9"/>
    </row>
    <row r="662" spans="1:13" s="3" customFormat="1" ht="12.2" customHeight="1" x14ac:dyDescent="0.2">
      <c r="A662" s="1" t="s">
        <v>127</v>
      </c>
      <c r="F662" s="19">
        <f>(L359/IF(SUM(L359:L361)=0,1,SUM(L359:L361))*(SUM(G97:G110)))</f>
        <v>26777.008897501262</v>
      </c>
      <c r="G662" s="19">
        <f>(L360/IF(SUM(L359:L361)=0,1,SUM(L359:L361))*(SUM(G97:G110)))</f>
        <v>0</v>
      </c>
      <c r="H662" s="19">
        <f>(L361/IF(SUM(L359:L361)=0,1,SUM(L359:L361))*(SUM(G97:G110)))</f>
        <v>14644.631102498734</v>
      </c>
      <c r="I662" s="19">
        <f>SUM(F662:H662)</f>
        <v>41421.64</v>
      </c>
      <c r="J662"/>
      <c r="K662" s="13"/>
      <c r="L662" s="13"/>
      <c r="M662" s="8"/>
    </row>
    <row r="663" spans="1:13" s="3" customFormat="1" ht="12.2" customHeight="1" x14ac:dyDescent="0.2">
      <c r="A663" s="1" t="s">
        <v>128</v>
      </c>
      <c r="F663" s="19">
        <f>(L209+L288)-(J209+J288)</f>
        <v>125653.64</v>
      </c>
      <c r="G663" s="19">
        <f>(L227+L307)-(J227+J307)</f>
        <v>0</v>
      </c>
      <c r="H663" s="19">
        <f>(L245+L326)-(J245+J326)</f>
        <v>91514.790000000008</v>
      </c>
      <c r="I663" s="19">
        <f>SUM(F663:H663)</f>
        <v>217168.43</v>
      </c>
      <c r="J663"/>
      <c r="K663" s="13"/>
      <c r="L663" s="13"/>
      <c r="M663" s="9"/>
    </row>
    <row r="664" spans="1:13" s="3" customFormat="1" ht="12.2" customHeight="1" x14ac:dyDescent="0.15">
      <c r="A664" s="198" t="s">
        <v>129</v>
      </c>
      <c r="B664" s="169"/>
      <c r="C664" s="169"/>
      <c r="D664" s="169"/>
      <c r="E664" s="169"/>
      <c r="F664" s="199">
        <f>SUM(F576:F588)+SUM(H603:H605)+SUM(L612)</f>
        <v>215235.67999999996</v>
      </c>
      <c r="G664" s="199">
        <f>SUM(G576:G588)+SUM(I603:I605)+L613</f>
        <v>0</v>
      </c>
      <c r="H664" s="199">
        <f>SUM(H576:H588)+SUM(J603:J605)+L614</f>
        <v>62547.06</v>
      </c>
      <c r="I664" s="19">
        <f>SUM(F664:H664)</f>
        <v>277782.74</v>
      </c>
      <c r="J664" s="13"/>
      <c r="K664" s="13"/>
      <c r="L664" s="13"/>
      <c r="M664" s="9"/>
    </row>
    <row r="665" spans="1:13" s="3" customFormat="1" ht="12.2" customHeight="1" x14ac:dyDescent="0.15">
      <c r="A665" s="1" t="s">
        <v>130</v>
      </c>
      <c r="F665" s="19">
        <f>F661-SUM(F662:F664)</f>
        <v>3307048.7411024985</v>
      </c>
      <c r="G665" s="19">
        <f>G661-SUM(G662:G664)</f>
        <v>0</v>
      </c>
      <c r="H665" s="19">
        <f>H661-SUM(H662:H664)</f>
        <v>2085776.4788975012</v>
      </c>
      <c r="I665" s="19">
        <f>I661-SUM(I662:I664)</f>
        <v>5392825.2199999988</v>
      </c>
      <c r="J665" s="13"/>
      <c r="K665" s="13"/>
      <c r="L665" s="13"/>
      <c r="M665" s="8"/>
    </row>
    <row r="666" spans="1:13" s="3" customFormat="1" ht="12.2" customHeight="1" x14ac:dyDescent="0.2">
      <c r="A666" s="1" t="s">
        <v>131</v>
      </c>
      <c r="F666" s="246">
        <f>3.99+26.86+192.73</f>
        <v>223.57999999999998</v>
      </c>
      <c r="G666" s="247"/>
      <c r="H666" s="247">
        <v>103.95</v>
      </c>
      <c r="I666" s="19">
        <f>SUM(F666:H666)</f>
        <v>327.52999999999997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14791.34</v>
      </c>
      <c r="G668" s="19" t="e">
        <f>ROUND(G665/G666,2)</f>
        <v>#DIV/0!</v>
      </c>
      <c r="H668" s="19">
        <f>ROUND(H665/H666,2)</f>
        <v>20065.189999999999</v>
      </c>
      <c r="I668" s="19">
        <f>ROUND(I665/I666,2)</f>
        <v>16465.13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-1.33</v>
      </c>
      <c r="I671" s="19">
        <f>SUM(F671:H671)</f>
        <v>-1.33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14791.34</v>
      </c>
      <c r="G673" s="19" t="e">
        <f>ROUND((G665+G670)/(G666+G671),2)</f>
        <v>#DIV/0!</v>
      </c>
      <c r="H673" s="19">
        <f>ROUND((H665+H670)/(H666+H671),2)</f>
        <v>20325.240000000002</v>
      </c>
      <c r="I673" s="19">
        <f>ROUND((I665+I670)/(I666+I671),2)</f>
        <v>16532.27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COLEBROOK SCHOOL DISTRICT</v>
      </c>
      <c r="C5" s="344"/>
      <c r="D5" s="344"/>
      <c r="E5" s="344"/>
      <c r="F5" s="344"/>
    </row>
    <row r="8" spans="1:9" ht="18" x14ac:dyDescent="0.25">
      <c r="A8" s="323" t="s">
        <v>1591</v>
      </c>
      <c r="F8" s="330" t="s">
        <v>1609</v>
      </c>
    </row>
    <row r="9" spans="1:9" ht="15" x14ac:dyDescent="0.2">
      <c r="A9" s="321" t="s">
        <v>1592</v>
      </c>
      <c r="B9" s="324">
        <f>'DOE25'!G97</f>
        <v>41421.64</v>
      </c>
      <c r="F9" s="321" t="s">
        <v>1605</v>
      </c>
    </row>
    <row r="10" spans="1:9" ht="15" x14ac:dyDescent="0.2">
      <c r="A10" s="321" t="s">
        <v>1593</v>
      </c>
      <c r="B10" s="324">
        <f>'DOE25'!G112-'DOE25'!G97</f>
        <v>0</v>
      </c>
      <c r="F10" s="321" t="s">
        <v>1606</v>
      </c>
    </row>
    <row r="11" spans="1:9" ht="15" x14ac:dyDescent="0.2">
      <c r="A11" s="321" t="s">
        <v>1594</v>
      </c>
      <c r="B11" s="324">
        <f>'DOE25'!G140</f>
        <v>2767.53</v>
      </c>
      <c r="F11" s="321" t="s">
        <v>1607</v>
      </c>
    </row>
    <row r="12" spans="1:9" ht="15" x14ac:dyDescent="0.2">
      <c r="A12" s="321" t="s">
        <v>1595</v>
      </c>
      <c r="B12" s="324">
        <f>'DOE25'!G170</f>
        <v>108322.68</v>
      </c>
      <c r="F12" s="321" t="s">
        <v>1608</v>
      </c>
    </row>
    <row r="13" spans="1:9" ht="15" x14ac:dyDescent="0.2">
      <c r="A13" s="321" t="s">
        <v>1596</v>
      </c>
      <c r="B13" s="324">
        <f>'DOE25'!G193-'DOE25'!G180</f>
        <v>0</v>
      </c>
      <c r="F13" s="321" t="s">
        <v>1618</v>
      </c>
    </row>
    <row r="14" spans="1:9" ht="18" x14ac:dyDescent="0.25">
      <c r="A14" s="323" t="s">
        <v>732</v>
      </c>
      <c r="B14" s="325">
        <f>SUM(B9:B13)</f>
        <v>152511.84999999998</v>
      </c>
    </row>
    <row r="16" spans="1:9" ht="18" x14ac:dyDescent="0.25">
      <c r="A16" s="323" t="s">
        <v>786</v>
      </c>
      <c r="F16" s="330" t="s">
        <v>1610</v>
      </c>
    </row>
    <row r="17" spans="1:6" ht="15" x14ac:dyDescent="0.2">
      <c r="A17" s="321" t="s">
        <v>1597</v>
      </c>
      <c r="B17" s="324">
        <f>'DOE25'!L363-'DOE25'!L362</f>
        <v>166963.82</v>
      </c>
      <c r="F17" s="321" t="s">
        <v>1611</v>
      </c>
    </row>
    <row r="18" spans="1:6" ht="15" x14ac:dyDescent="0.2">
      <c r="A18" s="321" t="s">
        <v>1598</v>
      </c>
      <c r="B18" s="338"/>
      <c r="F18" s="330" t="s">
        <v>1637</v>
      </c>
    </row>
    <row r="19" spans="1:6" ht="18" x14ac:dyDescent="0.25">
      <c r="A19" s="323" t="s">
        <v>725</v>
      </c>
      <c r="B19" s="325">
        <f>SUM(B17:B18)</f>
        <v>166963.82</v>
      </c>
    </row>
    <row r="21" spans="1:6" ht="18.75" thickBot="1" x14ac:dyDescent="0.3">
      <c r="A21" s="323" t="s">
        <v>1599</v>
      </c>
    </row>
    <row r="22" spans="1:6" ht="18.75" thickTop="1" x14ac:dyDescent="0.25">
      <c r="A22" s="323" t="s">
        <v>1600</v>
      </c>
      <c r="B22" s="329">
        <f>B14-B19</f>
        <v>-14451.97000000003</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36593.74</v>
      </c>
      <c r="F31" s="321" t="s">
        <v>1615</v>
      </c>
    </row>
    <row r="33" spans="1:6" ht="15" x14ac:dyDescent="0.2">
      <c r="A33" s="321" t="s">
        <v>1641</v>
      </c>
      <c r="B33" s="324">
        <f>'DOE25'!G477</f>
        <v>19900.01999999999</v>
      </c>
      <c r="F33" s="321" t="s">
        <v>1616</v>
      </c>
    </row>
    <row r="36" spans="1:6" ht="15" x14ac:dyDescent="0.2">
      <c r="A36" s="321" t="s">
        <v>1602</v>
      </c>
      <c r="B36" s="339">
        <v>11253.99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64" sqref="C6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COLEBROOK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1500991.05</v>
      </c>
      <c r="C9" s="229">
        <f>'DOE25'!G198+'DOE25'!G216+'DOE25'!G234+'DOE25'!G277+'DOE25'!G296+'DOE25'!G315</f>
        <v>774855.72</v>
      </c>
    </row>
    <row r="10" spans="1:3" x14ac:dyDescent="0.2">
      <c r="A10" t="s">
        <v>775</v>
      </c>
      <c r="B10" s="240">
        <v>1439501.17</v>
      </c>
      <c r="C10" s="240">
        <v>767077.25</v>
      </c>
    </row>
    <row r="11" spans="1:3" x14ac:dyDescent="0.2">
      <c r="A11" t="s">
        <v>776</v>
      </c>
      <c r="B11" s="240">
        <f>18255.92+11389.49+3000+1175.07</f>
        <v>33820.479999999996</v>
      </c>
      <c r="C11" s="240">
        <v>4278.29</v>
      </c>
    </row>
    <row r="12" spans="1:3" x14ac:dyDescent="0.2">
      <c r="A12" t="s">
        <v>777</v>
      </c>
      <c r="B12" s="240">
        <v>27669.4</v>
      </c>
      <c r="C12" s="240">
        <v>3500.18</v>
      </c>
    </row>
    <row r="13" spans="1:3" x14ac:dyDescent="0.2">
      <c r="A13" t="str">
        <f>IF(B9=B13,IF(C9=C13,"Check Total OK","Check Total Error"),"Check Total Error")</f>
        <v>Check Total OK</v>
      </c>
      <c r="B13" s="231">
        <f>SUM(B10:B12)</f>
        <v>1500991.0499999998</v>
      </c>
      <c r="C13" s="231">
        <f>SUM(C10:C12)</f>
        <v>774855.72000000009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540418.68999999994</v>
      </c>
      <c r="C18" s="229">
        <f>'DOE25'!G199+'DOE25'!G217+'DOE25'!G235+'DOE25'!G278+'DOE25'!G297+'DOE25'!G316</f>
        <v>143463.89000000001</v>
      </c>
    </row>
    <row r="19" spans="1:3" x14ac:dyDescent="0.2">
      <c r="A19" t="s">
        <v>775</v>
      </c>
      <c r="B19" s="240">
        <f>56350+170825</f>
        <v>227175</v>
      </c>
      <c r="C19" s="240">
        <v>103838.57</v>
      </c>
    </row>
    <row r="20" spans="1:3" x14ac:dyDescent="0.2">
      <c r="A20" t="s">
        <v>776</v>
      </c>
      <c r="B20" s="240">
        <f>300070.62+6864.21</f>
        <v>306934.83</v>
      </c>
      <c r="C20" s="240">
        <v>38827.25</v>
      </c>
    </row>
    <row r="21" spans="1:3" x14ac:dyDescent="0.2">
      <c r="A21" t="s">
        <v>777</v>
      </c>
      <c r="B21" s="240">
        <v>6308.86</v>
      </c>
      <c r="C21" s="240">
        <v>798.07</v>
      </c>
    </row>
    <row r="22" spans="1:3" x14ac:dyDescent="0.2">
      <c r="A22" t="str">
        <f>IF(B18=B22,IF(C18=C22,"Check Total OK","Check Total Error"),"Check Total Error")</f>
        <v>Check Total OK</v>
      </c>
      <c r="B22" s="231">
        <f>SUM(B19:B21)</f>
        <v>540418.69000000006</v>
      </c>
      <c r="C22" s="231">
        <f>SUM(C19:C21)</f>
        <v>143463.89000000001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89779.82</v>
      </c>
      <c r="C36" s="235">
        <f>'DOE25'!G201+'DOE25'!G219+'DOE25'!G237+'DOE25'!G280+'DOE25'!G299+'DOE25'!G318</f>
        <v>16891.12</v>
      </c>
    </row>
    <row r="37" spans="1:3" x14ac:dyDescent="0.2">
      <c r="A37" t="s">
        <v>775</v>
      </c>
      <c r="B37" s="240">
        <f>5300.07</f>
        <v>5300.07</v>
      </c>
      <c r="C37" s="240">
        <v>1613.88</v>
      </c>
    </row>
    <row r="38" spans="1:3" x14ac:dyDescent="0.2">
      <c r="A38" t="s">
        <v>776</v>
      </c>
      <c r="B38" s="240"/>
      <c r="C38" s="240"/>
    </row>
    <row r="39" spans="1:3" x14ac:dyDescent="0.2">
      <c r="A39" t="s">
        <v>777</v>
      </c>
      <c r="B39" s="240">
        <v>84479.75</v>
      </c>
      <c r="C39" s="240">
        <v>15277.24</v>
      </c>
    </row>
    <row r="40" spans="1:3" x14ac:dyDescent="0.2">
      <c r="A40" t="str">
        <f>IF(B36=B40,IF(C36=C40,"Check Total OK","Check Total Error"),"Check Total Error")</f>
        <v>Check Total OK</v>
      </c>
      <c r="B40" s="231">
        <f>SUM(B37:B39)</f>
        <v>89779.82</v>
      </c>
      <c r="C40" s="231">
        <f>SUM(C37:C39)</f>
        <v>16891.12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COLEBROOK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3234686.51</v>
      </c>
      <c r="D5" s="20">
        <f>SUM('DOE25'!L198:L201)+SUM('DOE25'!L216:L219)+SUM('DOE25'!L234:L237)-F5-G5-H5</f>
        <v>3185773.4099999997</v>
      </c>
      <c r="E5" s="243"/>
      <c r="F5" s="244"/>
      <c r="G5" s="53">
        <f>SUM('DOE25'!J198:J201)+SUM('DOE25'!J216:J219)+SUM('DOE25'!J234:J237)</f>
        <v>31402.979999999996</v>
      </c>
      <c r="H5" s="53">
        <f>SUM('DOE25'!K198:K201)+SUM('DOE25'!K216:K219)+SUM('DOE25'!K234:K237)</f>
        <v>17510.120000000003</v>
      </c>
      <c r="I5" s="256"/>
    </row>
    <row r="6" spans="1:9" x14ac:dyDescent="0.2">
      <c r="A6" s="32">
        <v>2100</v>
      </c>
      <c r="B6" t="s">
        <v>796</v>
      </c>
      <c r="C6" s="276">
        <f t="shared" si="0"/>
        <v>510469.50999999989</v>
      </c>
      <c r="D6" s="20">
        <f>'DOE25'!L203+'DOE25'!L221+'DOE25'!L239-F6-G6-H6</f>
        <v>440042.52999999991</v>
      </c>
      <c r="E6" s="243"/>
      <c r="F6" s="244">
        <f>14439.09+28306</f>
        <v>42745.09</v>
      </c>
      <c r="G6" s="53">
        <f>'DOE25'!J203+'DOE25'!J221+'DOE25'!J239</f>
        <v>15927.15</v>
      </c>
      <c r="H6" s="53">
        <f>'DOE25'!K203+'DOE25'!K221+'DOE25'!K239</f>
        <v>11754.740000000002</v>
      </c>
      <c r="I6" s="256"/>
    </row>
    <row r="7" spans="1:9" x14ac:dyDescent="0.2">
      <c r="A7" s="32">
        <v>2200</v>
      </c>
      <c r="B7" t="s">
        <v>821</v>
      </c>
      <c r="C7" s="276">
        <f t="shared" si="0"/>
        <v>122819</v>
      </c>
      <c r="D7" s="20">
        <f>'DOE25'!L204+'DOE25'!L222+'DOE25'!L240-F7-G7-H7</f>
        <v>102326.06</v>
      </c>
      <c r="E7" s="243"/>
      <c r="F7" s="244"/>
      <c r="G7" s="53">
        <f>'DOE25'!J204+'DOE25'!J222+'DOE25'!J240</f>
        <v>7466.57</v>
      </c>
      <c r="H7" s="53">
        <f>'DOE25'!K204+'DOE25'!K222+'DOE25'!K240</f>
        <v>13026.369999999999</v>
      </c>
      <c r="I7" s="256"/>
    </row>
    <row r="8" spans="1:9" x14ac:dyDescent="0.2">
      <c r="A8" s="32">
        <v>2300</v>
      </c>
      <c r="B8" t="s">
        <v>797</v>
      </c>
      <c r="C8" s="276">
        <f t="shared" si="0"/>
        <v>353245.80000000005</v>
      </c>
      <c r="D8" s="243"/>
      <c r="E8" s="20">
        <f>'DOE25'!L205+'DOE25'!L223+'DOE25'!L241-F8-G8-H8-D9-D11</f>
        <v>347729.39000000007</v>
      </c>
      <c r="F8" s="244"/>
      <c r="G8" s="53">
        <f>'DOE25'!J205+'DOE25'!J223+'DOE25'!J241</f>
        <v>0</v>
      </c>
      <c r="H8" s="53">
        <f>'DOE25'!K205+'DOE25'!K223+'DOE25'!K241</f>
        <v>5516.41</v>
      </c>
      <c r="I8" s="256"/>
    </row>
    <row r="9" spans="1:9" ht="14.25" x14ac:dyDescent="0.2">
      <c r="A9" s="32">
        <v>2310</v>
      </c>
      <c r="B9" s="185" t="s">
        <v>890</v>
      </c>
      <c r="C9" s="276">
        <f t="shared" si="0"/>
        <v>52040.22</v>
      </c>
      <c r="D9" s="244">
        <v>52040.22</v>
      </c>
      <c r="E9" s="243"/>
      <c r="F9" s="253"/>
      <c r="G9" s="253"/>
      <c r="H9" s="253"/>
      <c r="I9" s="256"/>
    </row>
    <row r="10" spans="1:9" ht="14.25" x14ac:dyDescent="0.2">
      <c r="A10" s="32">
        <v>2317</v>
      </c>
      <c r="B10" s="185" t="s">
        <v>891</v>
      </c>
      <c r="C10" s="276">
        <f t="shared" si="0"/>
        <v>12200</v>
      </c>
      <c r="D10" s="243"/>
      <c r="E10" s="244">
        <v>12200</v>
      </c>
      <c r="F10" s="253"/>
      <c r="G10" s="253"/>
      <c r="H10" s="253"/>
      <c r="I10" s="256"/>
    </row>
    <row r="11" spans="1:9" ht="14.25" x14ac:dyDescent="0.2">
      <c r="A11" s="32">
        <v>2321</v>
      </c>
      <c r="B11" s="185" t="s">
        <v>892</v>
      </c>
      <c r="C11" s="276">
        <f t="shared" si="0"/>
        <v>113546.31</v>
      </c>
      <c r="D11" s="244">
        <v>113546.31</v>
      </c>
      <c r="E11" s="243"/>
      <c r="F11" s="253"/>
      <c r="G11" s="253"/>
      <c r="H11" s="253"/>
      <c r="I11" s="256"/>
    </row>
    <row r="12" spans="1:9" x14ac:dyDescent="0.2">
      <c r="A12" s="32">
        <v>2400</v>
      </c>
      <c r="B12" t="s">
        <v>711</v>
      </c>
      <c r="C12" s="276">
        <f t="shared" si="0"/>
        <v>284023.11</v>
      </c>
      <c r="D12" s="20">
        <f>'DOE25'!L206+'DOE25'!L224+'DOE25'!L242-F12-G12-H12</f>
        <v>282155.54000000004</v>
      </c>
      <c r="E12" s="243"/>
      <c r="F12" s="244"/>
      <c r="G12" s="53">
        <f>'DOE25'!J206+'DOE25'!J224+'DOE25'!J242</f>
        <v>185.85000000000002</v>
      </c>
      <c r="H12" s="53">
        <f>'DOE25'!K206+'DOE25'!K224+'DOE25'!K242</f>
        <v>1681.72</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644282.88</v>
      </c>
      <c r="D14" s="20">
        <f>'DOE25'!L208+'DOE25'!L226+'DOE25'!L244-F14-G14-H14</f>
        <v>637844.82000000007</v>
      </c>
      <c r="E14" s="243"/>
      <c r="F14" s="244"/>
      <c r="G14" s="53">
        <f>'DOE25'!J208+'DOE25'!J226+'DOE25'!J244</f>
        <v>5088.07</v>
      </c>
      <c r="H14" s="53">
        <f>'DOE25'!K208+'DOE25'!K226+'DOE25'!K244</f>
        <v>1349.99</v>
      </c>
      <c r="I14" s="256"/>
    </row>
    <row r="15" spans="1:9" x14ac:dyDescent="0.2">
      <c r="A15" s="32">
        <v>2700</v>
      </c>
      <c r="B15" t="s">
        <v>799</v>
      </c>
      <c r="C15" s="276">
        <f t="shared" si="0"/>
        <v>216373.69</v>
      </c>
      <c r="D15" s="20">
        <f>'DOE25'!L209+'DOE25'!L227+'DOE25'!L245-F15-G15-H15</f>
        <v>57987.529999999992</v>
      </c>
      <c r="E15" s="243"/>
      <c r="F15" s="244">
        <v>157602.29</v>
      </c>
      <c r="G15" s="53">
        <f>'DOE25'!J209+'DOE25'!J227+'DOE25'!J245</f>
        <v>0</v>
      </c>
      <c r="H15" s="53">
        <f>'DOE25'!K209+'DOE25'!K227+'DOE25'!K245</f>
        <v>783.86999999999989</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271980</v>
      </c>
      <c r="D22" s="243"/>
      <c r="E22" s="243"/>
      <c r="F22" s="243"/>
      <c r="G22" s="53">
        <f>'DOE25'!L256+'DOE25'!L337</f>
        <v>271980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166963.81999999998</v>
      </c>
      <c r="D29" s="284">
        <f>'DOE25'!L359+'DOE25'!L360+'DOE25'!L361-'DOE25'!I368-F29-G29-H29</f>
        <v>111106.73</v>
      </c>
      <c r="E29" s="243"/>
      <c r="F29" s="244">
        <v>55331.54</v>
      </c>
      <c r="G29" s="53">
        <f>'DOE25'!J359+'DOE25'!J360+'DOE25'!J361</f>
        <v>0</v>
      </c>
      <c r="H29" s="53">
        <f>'DOE25'!K359+'DOE25'!K360+'DOE25'!K361</f>
        <v>525.54999999999995</v>
      </c>
      <c r="I29" s="256"/>
    </row>
    <row r="30" spans="1:9" x14ac:dyDescent="0.2">
      <c r="A30" s="32"/>
      <c r="C30" s="277"/>
      <c r="D30" s="20"/>
      <c r="E30" s="281"/>
      <c r="F30" s="271"/>
      <c r="G30" s="53"/>
      <c r="H30" s="53"/>
      <c r="I30" s="256"/>
    </row>
    <row r="31" spans="1:9" x14ac:dyDescent="0.2">
      <c r="A31" s="32" t="s">
        <v>818</v>
      </c>
      <c r="B31" t="s">
        <v>817</v>
      </c>
      <c r="C31" s="276">
        <f>SUM(D31:I31)</f>
        <v>230747.18000000002</v>
      </c>
      <c r="D31" s="20">
        <f>'DOE25'!L291+'DOE25'!L310+'DOE25'!L329+'DOE25'!L334+'DOE25'!L335+'DOE25'!L336-F31-G31-H31</f>
        <v>210778.04000000004</v>
      </c>
      <c r="E31" s="243"/>
      <c r="F31" s="244"/>
      <c r="G31" s="53">
        <f>'DOE25'!J291+'DOE25'!J310+'DOE25'!J329+'DOE25'!J334+'DOE25'!J335+'DOE25'!J336</f>
        <v>4252.74</v>
      </c>
      <c r="H31" s="53">
        <f>'DOE25'!K291+'DOE25'!K310+'DOE25'!K329+'DOE25'!K334+'DOE25'!K335+'DOE25'!K336</f>
        <v>15716.4</v>
      </c>
      <c r="I31" s="256"/>
    </row>
    <row r="32" spans="1:9" ht="12" thickBot="1" x14ac:dyDescent="0.25">
      <c r="C32" s="277"/>
      <c r="G32" s="251"/>
      <c r="H32" s="251"/>
      <c r="I32" s="258"/>
    </row>
    <row r="33" spans="1:9" ht="12" thickTop="1" x14ac:dyDescent="0.2">
      <c r="B33" t="s">
        <v>809</v>
      </c>
      <c r="D33" s="245">
        <f t="shared" ref="D33:I33" si="1">SUM(D5:D31)</f>
        <v>5193601.1900000004</v>
      </c>
      <c r="E33" s="245">
        <f t="shared" si="1"/>
        <v>359929.39000000007</v>
      </c>
      <c r="F33" s="245">
        <f t="shared" si="1"/>
        <v>255678.92</v>
      </c>
      <c r="G33" s="245">
        <f t="shared" si="1"/>
        <v>336303.35999999999</v>
      </c>
      <c r="H33" s="245">
        <f t="shared" si="1"/>
        <v>67865.17</v>
      </c>
      <c r="I33" s="245">
        <f t="shared" si="1"/>
        <v>0</v>
      </c>
    </row>
    <row r="35" spans="1:9" ht="12" thickBot="1" x14ac:dyDescent="0.25">
      <c r="B35" s="251" t="s">
        <v>831</v>
      </c>
      <c r="D35" s="252">
        <f>E33</f>
        <v>359929.39000000007</v>
      </c>
      <c r="E35" s="248"/>
    </row>
    <row r="36" spans="1:9" ht="12" thickTop="1" x14ac:dyDescent="0.2">
      <c r="B36" t="s">
        <v>810</v>
      </c>
      <c r="D36" s="20">
        <f>D33</f>
        <v>5193601.1900000004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COLEBROOK SCHOOL DISTRICT</v>
      </c>
      <c r="B2" s="126">
        <f>'DOE25'!B2</f>
        <v>105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3566781.3499999996</v>
      </c>
      <c r="G4" s="303">
        <f>'DOE25'!L212+'DOE25'!L291</f>
        <v>3566781.3499999996</v>
      </c>
      <c r="H4" s="337">
        <f>F4-G4</f>
        <v>0</v>
      </c>
      <c r="I4" s="309" t="str">
        <f>IF(H4=0,"","Does not match DOE25 page 7 and 11 Totals!!")</f>
        <v/>
      </c>
      <c r="N4"/>
    </row>
    <row r="5" spans="1:18" x14ac:dyDescent="0.2">
      <c r="A5" s="21" t="s">
        <v>1621</v>
      </c>
      <c r="B5" s="304">
        <f>IFERROR(VLOOKUP(A5,'School Tables'!$C$3:$D$365,2,FALSE),"")</f>
        <v>20195</v>
      </c>
      <c r="C5" s="297" t="str">
        <f>IFERROR(INDEX('School Tables'!$B$3:$B$365,MATCH('School Level Expenditures'!B5,'School Tables'!$D$3:$D$365,0)),"")</f>
        <v>Colebrook</v>
      </c>
      <c r="D5" s="294">
        <f>3347061.84+15095-182891.84</f>
        <v>3179265</v>
      </c>
      <c r="E5" s="294">
        <v>204624.51</v>
      </c>
      <c r="F5" s="312">
        <f>D5+E5</f>
        <v>3383889.51</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182891.84</v>
      </c>
      <c r="E6" s="294"/>
      <c r="F6" s="307">
        <f t="shared" ref="F6:F20" si="0">D6+E6</f>
        <v>182891.84</v>
      </c>
      <c r="G6" s="297"/>
      <c r="H6" s="297"/>
      <c r="I6" s="126"/>
      <c r="N6"/>
    </row>
    <row r="7" spans="1:18" x14ac:dyDescent="0.2">
      <c r="A7" s="21"/>
      <c r="B7" s="304" t="str">
        <f>IFERROR(VLOOKUP(A7,'School Tables'!$C$3:$D$365,2,FALSE),"")</f>
        <v/>
      </c>
      <c r="C7" s="297" t="str">
        <f>IFERROR(INDEX('School Tables'!$B$3:$B$365,MATCH('School Level Expenditures'!B7,'School Tables'!$D$3:$D$365,0)),"")</f>
        <v/>
      </c>
      <c r="D7" s="294">
        <v>0</v>
      </c>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2195452.86</v>
      </c>
      <c r="G36" s="303">
        <f>'DOE25'!L248+'DOE25'!L329</f>
        <v>2195452.86</v>
      </c>
      <c r="H36" s="337">
        <f>F36-G36</f>
        <v>0</v>
      </c>
      <c r="I36" s="309" t="str">
        <f>IF(H36=0,"","Does not match DOE25 page 9 and 13 Totals!!")</f>
        <v/>
      </c>
      <c r="N36"/>
    </row>
    <row r="37" spans="1:14" x14ac:dyDescent="0.2">
      <c r="A37" s="21" t="s">
        <v>1634</v>
      </c>
      <c r="B37" s="304">
        <f>IFERROR(VLOOKUP(A37,'School Tables'!$O$3:$P$118,2,FALSE),"")</f>
        <v>20185</v>
      </c>
      <c r="C37" s="297" t="str">
        <f t="array" ref="C37">IFERROR(INDEX('School Tables'!$N$3:$N$118,MATCH('School Level Expenditures'!B37,'School Tables'!$P$3:$P$118,0)),"")</f>
        <v>Colebrook</v>
      </c>
      <c r="D37" s="294">
        <f>2184425.19+8260.23-14400</f>
        <v>2178285.42</v>
      </c>
      <c r="E37" s="294">
        <v>2767.44</v>
      </c>
      <c r="F37" s="307">
        <f>D37+E37</f>
        <v>2181052.86</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14400</v>
      </c>
      <c r="E38" s="294"/>
      <c r="F38" s="307">
        <f t="shared" ref="F38:F41" si="2">D38+E38</f>
        <v>14400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COLEBROOK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827021.49</v>
      </c>
      <c r="D8" s="95">
        <f>'DOE25'!G9</f>
        <v>21205.22</v>
      </c>
      <c r="E8" s="95">
        <f>'DOE25'!H9</f>
        <v>0</v>
      </c>
      <c r="F8" s="95">
        <f>'DOE25'!I9</f>
        <v>0</v>
      </c>
      <c r="G8" s="95">
        <f>'DOE25'!J9</f>
        <v>657761.67000000004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62518.28</v>
      </c>
      <c r="D11" s="95">
        <f>'DOE25'!G12</f>
        <v>0</v>
      </c>
      <c r="E11" s="95">
        <f>'DOE25'!H12</f>
        <v>0</v>
      </c>
      <c r="F11" s="95">
        <f>'DOE25'!I12</f>
        <v>0</v>
      </c>
      <c r="G11" s="95">
        <f>'DOE25'!J12</f>
        <v>0</v>
      </c>
      <c r="H11" s="124"/>
      <c r="I11" s="124"/>
    </row>
    <row r="12" spans="1:9" x14ac:dyDescent="0.2">
      <c r="A12" s="1" t="s">
        <v>143</v>
      </c>
      <c r="B12" s="6">
        <v>140</v>
      </c>
      <c r="C12" s="95">
        <f>'DOE25'!F13</f>
        <v>111803.31</v>
      </c>
      <c r="D12" s="95">
        <f>'DOE25'!G13</f>
        <v>12082.36</v>
      </c>
      <c r="E12" s="95">
        <f>'DOE25'!H13</f>
        <v>68456.960000000006</v>
      </c>
      <c r="F12" s="95">
        <f>'DOE25'!I13</f>
        <v>0</v>
      </c>
      <c r="G12" s="95">
        <f>'DOE25'!J13</f>
        <v>0</v>
      </c>
      <c r="H12" s="124"/>
      <c r="I12" s="124"/>
    </row>
    <row r="13" spans="1:9" x14ac:dyDescent="0.2">
      <c r="A13" s="1" t="s">
        <v>144</v>
      </c>
      <c r="B13" s="6">
        <v>150</v>
      </c>
      <c r="C13" s="95">
        <f>'DOE25'!F14</f>
        <v>0</v>
      </c>
      <c r="D13" s="95">
        <f>'DOE25'!G14</f>
        <v>179.15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3861.15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1001343.0800000001</v>
      </c>
      <c r="D18" s="41">
        <f>SUM(D8:D17)</f>
        <v>37327.880000000005</v>
      </c>
      <c r="E18" s="41">
        <f>SUM(E8:E17)</f>
        <v>68456.960000000006</v>
      </c>
      <c r="F18" s="41">
        <f>SUM(F8:F17)</f>
        <v>0</v>
      </c>
      <c r="G18" s="41">
        <f>SUM(G8:G17)</f>
        <v>657761.67000000004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22.52</v>
      </c>
      <c r="E21" s="95">
        <f>'DOE25'!H22</f>
        <v>62495.76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59016.91</v>
      </c>
      <c r="D23" s="95">
        <f>'DOE25'!G24</f>
        <v>15610.31</v>
      </c>
      <c r="E23" s="95">
        <f>'DOE25'!H24</f>
        <v>1180.82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18188.04</v>
      </c>
      <c r="D27" s="95">
        <f>'DOE25'!G28</f>
        <v>0</v>
      </c>
      <c r="E27" s="95">
        <f>'DOE25'!H28</f>
        <v>0</v>
      </c>
      <c r="F27" s="95">
        <f>'DOE25'!I28</f>
        <v>0</v>
      </c>
      <c r="G27" s="24" t="s">
        <v>288</v>
      </c>
      <c r="H27" s="124"/>
      <c r="I27" s="124"/>
    </row>
    <row r="28" spans="1:9" x14ac:dyDescent="0.2">
      <c r="A28" s="1" t="s">
        <v>157</v>
      </c>
      <c r="B28" s="6">
        <v>470</v>
      </c>
      <c r="C28" s="95">
        <f>'DOE25'!F29</f>
        <v>11587.28</v>
      </c>
      <c r="D28" s="95">
        <f>'DOE25'!G29</f>
        <v>0</v>
      </c>
      <c r="E28" s="95">
        <f>'DOE25'!H29</f>
        <v>0</v>
      </c>
      <c r="F28" s="95">
        <f>'DOE25'!I29</f>
        <v>0</v>
      </c>
      <c r="G28" s="24" t="s">
        <v>288</v>
      </c>
      <c r="H28" s="124"/>
      <c r="I28" s="124"/>
    </row>
    <row r="29" spans="1:9" x14ac:dyDescent="0.2">
      <c r="A29" s="1" t="s">
        <v>158</v>
      </c>
      <c r="B29" s="6">
        <v>480</v>
      </c>
      <c r="C29" s="95">
        <f>'DOE25'!F30</f>
        <v>3712.5</v>
      </c>
      <c r="D29" s="95">
        <f>'DOE25'!G30</f>
        <v>1795.03</v>
      </c>
      <c r="E29" s="95">
        <f>'DOE25'!H30</f>
        <v>4780.38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92504.73000000001</v>
      </c>
      <c r="D31" s="41">
        <f>SUM(D21:D30)</f>
        <v>17427.86</v>
      </c>
      <c r="E31" s="41">
        <f>SUM(E21:E30)</f>
        <v>68456.960000000006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3861.15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25000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1000</v>
      </c>
      <c r="D47" s="95">
        <f>'DOE25'!G48</f>
        <v>16038.869999999995</v>
      </c>
      <c r="E47" s="95">
        <f>'DOE25'!H48</f>
        <v>0</v>
      </c>
      <c r="F47" s="95">
        <f>'DOE25'!I48</f>
        <v>0</v>
      </c>
      <c r="G47" s="95">
        <f>'DOE25'!J48</f>
        <v>632761.67000000004</v>
      </c>
      <c r="H47" s="124"/>
      <c r="I47" s="124"/>
    </row>
    <row r="48" spans="1:9" x14ac:dyDescent="0.2">
      <c r="A48" s="1" t="s">
        <v>882</v>
      </c>
      <c r="B48" s="6">
        <v>753</v>
      </c>
      <c r="C48" s="95">
        <f>'DOE25'!F49</f>
        <v>159615</v>
      </c>
      <c r="D48" s="95">
        <f>'DOE25'!G49</f>
        <v>0</v>
      </c>
      <c r="E48" s="95">
        <f>'DOE25'!H49</f>
        <v>0</v>
      </c>
      <c r="F48" s="95">
        <f>'DOE25'!I49</f>
        <v>0</v>
      </c>
      <c r="G48" s="95">
        <f>'DOE25'!J49</f>
        <v>0</v>
      </c>
      <c r="H48" s="124"/>
      <c r="I48" s="124"/>
    </row>
    <row r="49" spans="1:9" ht="12" thickBot="1" x14ac:dyDescent="0.25">
      <c r="A49" s="29" t="s">
        <v>883</v>
      </c>
      <c r="B49" s="71">
        <v>770</v>
      </c>
      <c r="C49" s="95">
        <f>'DOE25'!F50</f>
        <v>748223.34999999963</v>
      </c>
      <c r="D49" s="24" t="s">
        <v>288</v>
      </c>
      <c r="E49" s="24" t="s">
        <v>288</v>
      </c>
      <c r="F49" s="24" t="s">
        <v>288</v>
      </c>
      <c r="G49" s="24" t="s">
        <v>288</v>
      </c>
      <c r="H49" s="124"/>
      <c r="I49" s="124"/>
    </row>
    <row r="50" spans="1:9" ht="12.75" thickTop="1" thickBot="1" x14ac:dyDescent="0.25">
      <c r="A50" s="38" t="s">
        <v>884</v>
      </c>
      <c r="B50" s="48"/>
      <c r="C50" s="41">
        <f>SUM(C34:C49)</f>
        <v>908838.34999999963</v>
      </c>
      <c r="D50" s="41">
        <f>SUM(D34:D49)</f>
        <v>19900.019999999997</v>
      </c>
      <c r="E50" s="41">
        <f>SUM(E34:E49)</f>
        <v>0</v>
      </c>
      <c r="F50" s="41">
        <f>SUM(F34:F49)</f>
        <v>0</v>
      </c>
      <c r="G50" s="41">
        <f>SUM(G34:G49)</f>
        <v>657761.67000000004</v>
      </c>
      <c r="H50" s="124"/>
      <c r="I50" s="124"/>
    </row>
    <row r="51" spans="1:9" ht="12" thickTop="1" x14ac:dyDescent="0.2">
      <c r="A51" s="38" t="s">
        <v>885</v>
      </c>
      <c r="B51" s="2"/>
      <c r="C51" s="41">
        <f>C50+C31</f>
        <v>1001343.0799999996</v>
      </c>
      <c r="D51" s="41">
        <f>D50+D31</f>
        <v>37327.879999999997</v>
      </c>
      <c r="E51" s="41">
        <f>E50+E31</f>
        <v>68456.960000000006</v>
      </c>
      <c r="F51" s="41">
        <f>F50+F31</f>
        <v>0</v>
      </c>
      <c r="G51" s="41">
        <f>G50+G31</f>
        <v>657761.67000000004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2227389</v>
      </c>
      <c r="D56" s="95">
        <f>'DOE25'!G60</f>
        <v>0</v>
      </c>
      <c r="E56" s="95">
        <f>'DOE25'!H60</f>
        <v>0</v>
      </c>
      <c r="F56" s="95">
        <f>'DOE25'!I60</f>
        <v>0</v>
      </c>
      <c r="G56" s="95">
        <f>'DOE25'!J60</f>
        <v>0</v>
      </c>
      <c r="H56"/>
      <c r="I56"/>
    </row>
    <row r="57" spans="1:9" x14ac:dyDescent="0.2">
      <c r="A57" s="1" t="s">
        <v>164</v>
      </c>
      <c r="B57" s="6" t="s">
        <v>165</v>
      </c>
      <c r="C57" s="95">
        <f>'DOE25'!F79</f>
        <v>1515497.7999999998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61.12</v>
      </c>
      <c r="D59" s="95">
        <f>'DOE25'!G96</f>
        <v>0</v>
      </c>
      <c r="E59" s="95">
        <f>'DOE25'!H96</f>
        <v>0</v>
      </c>
      <c r="F59" s="95">
        <f>'DOE25'!I96</f>
        <v>0</v>
      </c>
      <c r="G59" s="95">
        <f>'DOE25'!J96</f>
        <v>8425.94</v>
      </c>
      <c r="H59"/>
      <c r="I59"/>
    </row>
    <row r="60" spans="1:9" x14ac:dyDescent="0.2">
      <c r="A60" s="1" t="s">
        <v>170</v>
      </c>
      <c r="B60" s="118" t="s">
        <v>171</v>
      </c>
      <c r="C60" s="24" t="s">
        <v>288</v>
      </c>
      <c r="D60" s="95">
        <f>'DOE25'!G97</f>
        <v>41421.64</v>
      </c>
      <c r="E60" s="24" t="s">
        <v>288</v>
      </c>
      <c r="F60" s="24" t="s">
        <v>288</v>
      </c>
      <c r="G60" s="24" t="s">
        <v>288</v>
      </c>
      <c r="H60"/>
      <c r="I60"/>
    </row>
    <row r="61" spans="1:9" ht="12" thickBot="1" x14ac:dyDescent="0.25">
      <c r="A61" s="1" t="s">
        <v>172</v>
      </c>
      <c r="B61" s="118" t="s">
        <v>173</v>
      </c>
      <c r="C61" s="95">
        <f>SUM('DOE25'!F98:F110)</f>
        <v>90827.12</v>
      </c>
      <c r="D61" s="95">
        <f>SUM('DOE25'!G98:G110)</f>
        <v>0</v>
      </c>
      <c r="E61" s="95">
        <f>SUM('DOE25'!H98:H110)</f>
        <v>2309</v>
      </c>
      <c r="F61" s="95">
        <f>SUM('DOE25'!I98:I110)</f>
        <v>0</v>
      </c>
      <c r="G61" s="95">
        <f>SUM('DOE25'!J98:J110)</f>
        <v>0</v>
      </c>
      <c r="H61"/>
      <c r="I61"/>
    </row>
    <row r="62" spans="1:9" ht="12.75" thickTop="1" thickBot="1" x14ac:dyDescent="0.25">
      <c r="A62" s="29" t="s">
        <v>174</v>
      </c>
      <c r="B62" s="6"/>
      <c r="C62" s="130">
        <f>SUM(C57:C61)</f>
        <v>1606386.04</v>
      </c>
      <c r="D62" s="130">
        <f>SUM(D57:D61)</f>
        <v>41421.64</v>
      </c>
      <c r="E62" s="130">
        <f>SUM(E57:E61)</f>
        <v>2309</v>
      </c>
      <c r="F62" s="130">
        <f>SUM(F57:F61)</f>
        <v>0</v>
      </c>
      <c r="G62" s="130">
        <f>SUM(G57:G61)</f>
        <v>8425.94</v>
      </c>
      <c r="H62"/>
      <c r="I62"/>
    </row>
    <row r="63" spans="1:9" ht="12" thickTop="1" x14ac:dyDescent="0.2">
      <c r="A63" s="29" t="s">
        <v>175</v>
      </c>
      <c r="B63" s="6"/>
      <c r="C63" s="22">
        <f>C56+C62</f>
        <v>3833775.04</v>
      </c>
      <c r="D63" s="22">
        <f>D56+D62</f>
        <v>41421.64</v>
      </c>
      <c r="E63" s="22">
        <f>E56+E62</f>
        <v>2309</v>
      </c>
      <c r="F63" s="22">
        <f>F56+F62</f>
        <v>0</v>
      </c>
      <c r="G63" s="22">
        <f>G56+G62</f>
        <v>8425.94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1943415.13</v>
      </c>
      <c r="D66" s="24" t="s">
        <v>288</v>
      </c>
      <c r="E66" s="24" t="s">
        <v>288</v>
      </c>
      <c r="F66" s="24" t="s">
        <v>288</v>
      </c>
      <c r="G66" s="24" t="s">
        <v>288</v>
      </c>
      <c r="H66"/>
      <c r="I66"/>
    </row>
    <row r="67" spans="1:9" x14ac:dyDescent="0.2">
      <c r="A67" s="1" t="s">
        <v>770</v>
      </c>
      <c r="B67" s="6">
        <v>3112</v>
      </c>
      <c r="C67" s="95">
        <f>'DOE25'!F118</f>
        <v>315873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4565.83</v>
      </c>
      <c r="F69" s="95">
        <f>'DOE25'!I120</f>
        <v>0</v>
      </c>
      <c r="G69" s="95">
        <f>'DOE25'!J120</f>
        <v>0</v>
      </c>
      <c r="H69"/>
      <c r="I69"/>
    </row>
    <row r="70" spans="1:9" ht="12" thickTop="1" x14ac:dyDescent="0.2">
      <c r="A70" s="29" t="s">
        <v>252</v>
      </c>
      <c r="B70" s="2"/>
      <c r="C70" s="139">
        <f>SUM(C66:C69)</f>
        <v>2259288.13</v>
      </c>
      <c r="D70" s="139">
        <f>D69</f>
        <v>0</v>
      </c>
      <c r="E70" s="139">
        <f>E69</f>
        <v>4565.83</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181936.48</v>
      </c>
      <c r="D75" s="24" t="s">
        <v>288</v>
      </c>
      <c r="E75" s="24" t="s">
        <v>288</v>
      </c>
      <c r="F75" s="24" t="s">
        <v>288</v>
      </c>
      <c r="G75" s="24" t="s">
        <v>288</v>
      </c>
      <c r="H75"/>
      <c r="I75"/>
    </row>
    <row r="76" spans="1:9" x14ac:dyDescent="0.2">
      <c r="A76" s="1" t="s">
        <v>257</v>
      </c>
      <c r="B76" s="6" t="s">
        <v>179</v>
      </c>
      <c r="C76" s="95">
        <f>SUM('DOE25'!F127:F130)</f>
        <v>16528.77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2767.53</v>
      </c>
      <c r="E77" s="95">
        <f>SUM('DOE25'!H131:H135)</f>
        <v>16482.400000000001</v>
      </c>
      <c r="F77" s="95">
        <f>SUM('DOE25'!I131:I135)</f>
        <v>0</v>
      </c>
      <c r="G77" s="95">
        <f>SUM('DOE25'!J131:J135)</f>
        <v>0</v>
      </c>
      <c r="H77"/>
      <c r="I77"/>
    </row>
    <row r="78" spans="1:9" ht="12.75" thickTop="1" thickBot="1" x14ac:dyDescent="0.25">
      <c r="A78" s="29" t="s">
        <v>259</v>
      </c>
      <c r="B78" s="6"/>
      <c r="C78" s="130">
        <f>SUM(C72:C77)</f>
        <v>198465.25</v>
      </c>
      <c r="D78" s="130">
        <f>SUM(D72:D77)</f>
        <v>2767.53</v>
      </c>
      <c r="E78" s="130">
        <f>SUM(E72:E77)</f>
        <v>16482.400000000001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2457753.38</v>
      </c>
      <c r="D81" s="130">
        <f>SUM(D79:D80)+D78+D70</f>
        <v>2767.53</v>
      </c>
      <c r="E81" s="130">
        <f>SUM(E79:E80)+E78+E70</f>
        <v>21048.230000000003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1190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108322.68</v>
      </c>
      <c r="E88" s="341">
        <f>SUM('DOE25'!H153:H162)</f>
        <v>206199.95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108322.68</v>
      </c>
      <c r="E91" s="131">
        <f>SUM(E85:E90)</f>
        <v>207389.95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6291528.4199999999</v>
      </c>
      <c r="D104" s="86">
        <f>D63+D81+D91+D103</f>
        <v>152511.84999999998</v>
      </c>
      <c r="E104" s="86">
        <f>E63+E81+E91+E103</f>
        <v>230747.18000000002</v>
      </c>
      <c r="F104" s="86">
        <f>F63+F81+F91+F103</f>
        <v>0</v>
      </c>
      <c r="G104" s="86">
        <f>G63+G81+G103</f>
        <v>8425.94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2276785.8199999998</v>
      </c>
      <c r="D109" s="24" t="s">
        <v>288</v>
      </c>
      <c r="E109" s="95">
        <f>('DOE25'!L277)+('DOE25'!L296)+('DOE25'!L315)</f>
        <v>130286.76</v>
      </c>
      <c r="F109" s="24" t="s">
        <v>288</v>
      </c>
      <c r="G109" s="24" t="s">
        <v>288</v>
      </c>
    </row>
    <row r="110" spans="1:7" x14ac:dyDescent="0.2">
      <c r="A110" t="s">
        <v>198</v>
      </c>
      <c r="B110" s="32" t="s">
        <v>199</v>
      </c>
      <c r="C110" s="95">
        <f>('DOE25'!L199)+('DOE25'!L217)+('DOE25'!L235)</f>
        <v>814470.19</v>
      </c>
      <c r="D110" s="24" t="s">
        <v>288</v>
      </c>
      <c r="E110" s="95">
        <f>('DOE25'!L278)+('DOE25'!L297)+('DOE25'!L316)</f>
        <v>67567.260000000009</v>
      </c>
      <c r="F110" s="24" t="s">
        <v>288</v>
      </c>
      <c r="G110" s="24" t="s">
        <v>288</v>
      </c>
    </row>
    <row r="111" spans="1:7" x14ac:dyDescent="0.2">
      <c r="A111" t="s">
        <v>200</v>
      </c>
      <c r="B111" s="32" t="s">
        <v>165</v>
      </c>
      <c r="C111" s="95">
        <f>('DOE25'!L200)+('DOE25'!L218)+('DOE25'!L236)</f>
        <v>14400</v>
      </c>
      <c r="D111" s="24" t="s">
        <v>288</v>
      </c>
      <c r="E111" s="95">
        <f>('DOE25'!L279)+('DOE25'!L298)+('DOE25'!L317)</f>
        <v>0</v>
      </c>
      <c r="F111" s="24" t="s">
        <v>288</v>
      </c>
      <c r="G111" s="24" t="s">
        <v>288</v>
      </c>
    </row>
    <row r="112" spans="1:7" x14ac:dyDescent="0.2">
      <c r="A112" t="s">
        <v>201</v>
      </c>
      <c r="B112" s="32" t="s">
        <v>167</v>
      </c>
      <c r="C112" s="95">
        <f>('DOE25'!L201)+('DOE25'!L219)+('DOE25'!L237)</f>
        <v>129030.5</v>
      </c>
      <c r="D112" s="24" t="s">
        <v>288</v>
      </c>
      <c r="E112" s="95">
        <f>+('DOE25'!L280)+('DOE25'!L299)+('DOE25'!L318)</f>
        <v>7479.78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3234686.51</v>
      </c>
      <c r="D115" s="86">
        <f>SUM(D109:D114)</f>
        <v>0</v>
      </c>
      <c r="E115" s="86">
        <f>SUM(E109:E114)</f>
        <v>205333.80000000002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510469.50999999995</v>
      </c>
      <c r="D118" s="24" t="s">
        <v>288</v>
      </c>
      <c r="E118" s="95">
        <f>+('DOE25'!L282)+('DOE25'!L301)+('DOE25'!L320)</f>
        <v>13487.66</v>
      </c>
      <c r="F118" s="24" t="s">
        <v>288</v>
      </c>
      <c r="G118" s="24" t="s">
        <v>288</v>
      </c>
    </row>
    <row r="119" spans="1:7" x14ac:dyDescent="0.2">
      <c r="A119" t="s">
        <v>208</v>
      </c>
      <c r="B119" s="32" t="s">
        <v>209</v>
      </c>
      <c r="C119" s="95">
        <f>('DOE25'!L204)+('DOE25'!L222)+('DOE25'!L240)</f>
        <v>122819</v>
      </c>
      <c r="D119" s="24" t="s">
        <v>288</v>
      </c>
      <c r="E119" s="95">
        <f>+('DOE25'!L283)+('DOE25'!L302)+('DOE25'!L321)</f>
        <v>2767.44</v>
      </c>
      <c r="F119" s="24" t="s">
        <v>288</v>
      </c>
      <c r="G119" s="24" t="s">
        <v>288</v>
      </c>
    </row>
    <row r="120" spans="1:7" x14ac:dyDescent="0.2">
      <c r="A120" t="s">
        <v>210</v>
      </c>
      <c r="B120" s="32" t="s">
        <v>211</v>
      </c>
      <c r="C120" s="95">
        <f>('DOE25'!L205)+('DOE25'!L223)+('DOE25'!L241)</f>
        <v>518832.33</v>
      </c>
      <c r="D120" s="24" t="s">
        <v>288</v>
      </c>
      <c r="E120" s="95">
        <f>+('DOE25'!L284)+('DOE25'!L303)+('DOE25'!L322)</f>
        <v>4463.54</v>
      </c>
      <c r="F120" s="24" t="s">
        <v>288</v>
      </c>
      <c r="G120" s="24" t="s">
        <v>288</v>
      </c>
    </row>
    <row r="121" spans="1:7" x14ac:dyDescent="0.2">
      <c r="A121" t="s">
        <v>212</v>
      </c>
      <c r="B121" s="32" t="s">
        <v>213</v>
      </c>
      <c r="C121" s="95">
        <f>('DOE25'!L206)+('DOE25'!L224)+('DOE25'!L242)</f>
        <v>284023.11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644282.88</v>
      </c>
      <c r="D123" s="24" t="s">
        <v>288</v>
      </c>
      <c r="E123" s="95">
        <f>+('DOE25'!L287)+('DOE25'!L306)+('DOE25'!L325)</f>
        <v>3900</v>
      </c>
      <c r="F123" s="24" t="s">
        <v>288</v>
      </c>
      <c r="G123" s="24" t="s">
        <v>288</v>
      </c>
    </row>
    <row r="124" spans="1:7" x14ac:dyDescent="0.2">
      <c r="A124" t="s">
        <v>218</v>
      </c>
      <c r="B124" s="32" t="s">
        <v>219</v>
      </c>
      <c r="C124" s="95">
        <f>('DOE25'!L209)+('DOE25'!L227)+('DOE25'!L245+'DOE25'!L255)</f>
        <v>216373.69</v>
      </c>
      <c r="D124" s="24" t="s">
        <v>288</v>
      </c>
      <c r="E124" s="95">
        <f>+('DOE25'!L288)+('DOE25'!L307)+('DOE25'!L326)</f>
        <v>794.74</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166963.82</v>
      </c>
      <c r="E127" s="24" t="s">
        <v>288</v>
      </c>
      <c r="F127" s="24" t="s">
        <v>288</v>
      </c>
      <c r="G127" s="24" t="s">
        <v>288</v>
      </c>
    </row>
    <row r="128" spans="1:7" ht="12.75" thickTop="1" thickBot="1" x14ac:dyDescent="0.25">
      <c r="A128" s="33" t="s">
        <v>226</v>
      </c>
      <c r="C128" s="86">
        <f>SUM(C118:C127)</f>
        <v>2296800.52</v>
      </c>
      <c r="D128" s="86">
        <f>SUM(D118:D127)</f>
        <v>166963.82</v>
      </c>
      <c r="E128" s="86">
        <f>SUM(E118:E127)</f>
        <v>25413.38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271980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8425.94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-8425.94</v>
      </c>
      <c r="D141" s="24" t="s">
        <v>288</v>
      </c>
      <c r="E141" s="24" t="s">
        <v>288</v>
      </c>
      <c r="F141" s="24" t="s">
        <v>288</v>
      </c>
      <c r="G141" s="24" t="s">
        <v>288</v>
      </c>
    </row>
    <row r="142" spans="1:7" x14ac:dyDescent="0.2">
      <c r="A142" t="s">
        <v>241</v>
      </c>
      <c r="B142" s="32">
        <v>5310</v>
      </c>
      <c r="C142" s="129">
        <f>'DOE25'!L269</f>
        <v>27977.200000000001</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299957.2</v>
      </c>
      <c r="D144" s="141">
        <f>SUM(D130:D143)</f>
        <v>0</v>
      </c>
      <c r="E144" s="141">
        <f>SUM(E130:E143)</f>
        <v>0</v>
      </c>
      <c r="F144" s="141">
        <f>SUM(F130:F143)</f>
        <v>0</v>
      </c>
      <c r="G144" s="141">
        <f>SUM(G130:G143)</f>
        <v>0</v>
      </c>
    </row>
    <row r="145" spans="1:9" ht="12.75" thickTop="1" thickBot="1" x14ac:dyDescent="0.25">
      <c r="A145" s="33" t="s">
        <v>244</v>
      </c>
      <c r="C145" s="86">
        <f>(C115+C128+C144)</f>
        <v>5831444.2299999995</v>
      </c>
      <c r="D145" s="86">
        <f>(D115+D128+D144)</f>
        <v>166963.82</v>
      </c>
      <c r="E145" s="86">
        <f>(E115+E128+E144)</f>
        <v>230747.18000000002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COLEBROOK SCHOOL DISTRICT</v>
      </c>
    </row>
    <row r="3" spans="1:4" x14ac:dyDescent="0.2">
      <c r="B3" s="188" t="s">
        <v>1587</v>
      </c>
    </row>
    <row r="4" spans="1:4" x14ac:dyDescent="0.2">
      <c r="B4" t="s">
        <v>61</v>
      </c>
      <c r="C4" s="179">
        <f>IF('DOE25'!F666+'DOE25'!F671=0,0,ROUND('DOE25'!F673,0))</f>
        <v>14791</v>
      </c>
    </row>
    <row r="5" spans="1:4" x14ac:dyDescent="0.2">
      <c r="B5" t="s">
        <v>700</v>
      </c>
      <c r="C5" s="179">
        <f>IF('DOE25'!G666+'DOE25'!G671=0,0,ROUND('DOE25'!G673,0))</f>
        <v>0</v>
      </c>
    </row>
    <row r="6" spans="1:4" x14ac:dyDescent="0.2">
      <c r="B6" t="s">
        <v>62</v>
      </c>
      <c r="C6" s="179">
        <f>IF('DOE25'!H666+'DOE25'!H671=0,0,ROUND('DOE25'!H673,0))</f>
        <v>20325</v>
      </c>
    </row>
    <row r="7" spans="1:4" x14ac:dyDescent="0.2">
      <c r="B7" t="s">
        <v>701</v>
      </c>
      <c r="C7" s="179">
        <f>IF('DOE25'!I666+'DOE25'!I671=0,0,ROUND('DOE25'!I673,0))</f>
        <v>16532</v>
      </c>
    </row>
    <row r="9" spans="1:4" x14ac:dyDescent="0.2">
      <c r="A9" s="187" t="s">
        <v>94</v>
      </c>
      <c r="B9" s="188" t="s">
        <v>1588</v>
      </c>
      <c r="C9" s="181" t="s">
        <v>720</v>
      </c>
      <c r="D9" s="181" t="s">
        <v>721</v>
      </c>
    </row>
    <row r="10" spans="1:4" x14ac:dyDescent="0.2">
      <c r="A10">
        <v>1100</v>
      </c>
      <c r="B10" t="s">
        <v>702</v>
      </c>
      <c r="C10" s="179">
        <f>ROUND('DOE25'!L198+'DOE25'!L216+'DOE25'!L234+'DOE25'!L277+'DOE25'!L296+'DOE25'!L315,0)</f>
        <v>2407073</v>
      </c>
      <c r="D10" s="182">
        <f>ROUND((C10/$C$28)*100,1)</f>
        <v>40.700000000000003</v>
      </c>
    </row>
    <row r="11" spans="1:4" x14ac:dyDescent="0.2">
      <c r="A11">
        <v>1200</v>
      </c>
      <c r="B11" t="s">
        <v>703</v>
      </c>
      <c r="C11" s="179">
        <f>ROUND('DOE25'!L199+'DOE25'!L217+'DOE25'!L235+'DOE25'!L278+'DOE25'!L297+'DOE25'!L316,0)</f>
        <v>882037</v>
      </c>
      <c r="D11" s="182">
        <f>ROUND((C11/$C$28)*100,1)</f>
        <v>14.9</v>
      </c>
    </row>
    <row r="12" spans="1:4" x14ac:dyDescent="0.2">
      <c r="A12">
        <v>1300</v>
      </c>
      <c r="B12" t="s">
        <v>704</v>
      </c>
      <c r="C12" s="179">
        <f>ROUND('DOE25'!L200+'DOE25'!L218+'DOE25'!L236+'DOE25'!L279+'DOE25'!L298+'DOE25'!L317,0)</f>
        <v>14400</v>
      </c>
      <c r="D12" s="182">
        <f>ROUND((C12/$C$28)*100,1)</f>
        <v>0.2</v>
      </c>
    </row>
    <row r="13" spans="1:4" x14ac:dyDescent="0.2">
      <c r="A13">
        <v>1400</v>
      </c>
      <c r="B13" t="s">
        <v>705</v>
      </c>
      <c r="C13" s="179">
        <f>ROUND('DOE25'!L201+'DOE25'!L219+'DOE25'!L237+'DOE25'!L280+'DOE25'!L299+'DOE25'!L318,0)</f>
        <v>136510</v>
      </c>
      <c r="D13" s="182">
        <f>ROUND((C13/$C$28)*100,1)</f>
        <v>2.2999999999999998</v>
      </c>
    </row>
    <row r="14" spans="1:4" x14ac:dyDescent="0.2">
      <c r="D14" s="182"/>
    </row>
    <row r="15" spans="1:4" x14ac:dyDescent="0.2">
      <c r="A15">
        <v>2100</v>
      </c>
      <c r="B15" t="s">
        <v>706</v>
      </c>
      <c r="C15" s="179">
        <f>ROUND('DOE25'!L203+'DOE25'!L221+'DOE25'!L239+'DOE25'!L282+'DOE25'!L301+'DOE25'!L320,0)</f>
        <v>523957</v>
      </c>
      <c r="D15" s="182">
        <f t="shared" ref="D15:D27" si="0">ROUND((C15/$C$28)*100,1)</f>
        <v>8.9</v>
      </c>
    </row>
    <row r="16" spans="1:4" x14ac:dyDescent="0.2">
      <c r="A16">
        <v>2200</v>
      </c>
      <c r="B16" t="s">
        <v>707</v>
      </c>
      <c r="C16" s="179">
        <f>ROUND('DOE25'!L204+'DOE25'!L222+'DOE25'!L240+'DOE25'!L283+'DOE25'!L302+'DOE25'!L321,0)</f>
        <v>125586</v>
      </c>
      <c r="D16" s="182">
        <f t="shared" si="0"/>
        <v>2.1</v>
      </c>
    </row>
    <row r="17" spans="1:4" x14ac:dyDescent="0.2">
      <c r="A17" s="183" t="s">
        <v>723</v>
      </c>
      <c r="B17" t="s">
        <v>738</v>
      </c>
      <c r="C17" s="179">
        <f>ROUND('DOE25'!L205+'DOE25'!L210+'DOE25'!L223+'DOE25'!L228+'DOE25'!L241+'DOE25'!L246+'DOE25'!L284+'DOE25'!L289+'DOE25'!L303+'DOE25'!L308+'DOE25'!L322+'DOE25'!L327,0)</f>
        <v>523296</v>
      </c>
      <c r="D17" s="182">
        <f t="shared" si="0"/>
        <v>8.8000000000000007</v>
      </c>
    </row>
    <row r="18" spans="1:4" x14ac:dyDescent="0.2">
      <c r="A18">
        <v>2400</v>
      </c>
      <c r="B18" t="s">
        <v>711</v>
      </c>
      <c r="C18" s="179">
        <f>ROUND('DOE25'!L206+'DOE25'!L224+'DOE25'!L242+'DOE25'!L285+'DOE25'!L304+'DOE25'!L323,0)</f>
        <v>284023</v>
      </c>
      <c r="D18" s="182">
        <f t="shared" si="0"/>
        <v>4.8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648183</v>
      </c>
      <c r="D20" s="182">
        <f t="shared" si="0"/>
        <v>11</v>
      </c>
    </row>
    <row r="21" spans="1:4" x14ac:dyDescent="0.2">
      <c r="A21">
        <v>2700</v>
      </c>
      <c r="B21" t="s">
        <v>710</v>
      </c>
      <c r="C21" s="179">
        <f>ROUND('DOE25'!L209+'DOE25'!L227+'DOE25'!L245+'DOE25'!L288+'DOE25'!L307+'DOE25'!L326,0)</f>
        <v>217168</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27977.200000000001</v>
      </c>
      <c r="D26" s="182">
        <f t="shared" si="0"/>
        <v>0.5</v>
      </c>
    </row>
    <row r="27" spans="1:4" x14ac:dyDescent="0.2">
      <c r="A27">
        <v>3100</v>
      </c>
      <c r="B27" t="s">
        <v>11</v>
      </c>
      <c r="C27" s="179">
        <f>ROUND('DOE25'!L363-'DOE25'!L362,0)-SUM('DOE25'!G97:G110)</f>
        <v>125542.36</v>
      </c>
      <c r="D27" s="182">
        <f t="shared" si="0"/>
        <v>2.1</v>
      </c>
    </row>
    <row r="28" spans="1:4" x14ac:dyDescent="0.2">
      <c r="B28" s="187" t="s">
        <v>719</v>
      </c>
      <c r="C28" s="180">
        <f>SUM(C10:C27)</f>
        <v>5915752.5600000005</v>
      </c>
      <c r="D28" s="184">
        <f>ROUND(SUM(D10:D27),0)</f>
        <v>100</v>
      </c>
    </row>
    <row r="29" spans="1:4" x14ac:dyDescent="0.2">
      <c r="A29">
        <v>4000</v>
      </c>
      <c r="B29" t="s">
        <v>724</v>
      </c>
      <c r="C29" s="179">
        <f>ROUND('DOE25'!L256+'DOE25'!L337+'DOE25'!L375+'DOE25'!L376+'DOE25'!L377+'DOE25'!L378+'DOE25'!L379+'DOE25'!L380+'DOE25'!L381,0)</f>
        <v>271980</v>
      </c>
    </row>
    <row r="30" spans="1:4" x14ac:dyDescent="0.2">
      <c r="B30" s="187" t="s">
        <v>725</v>
      </c>
      <c r="C30" s="180">
        <f>SUM(C28:C29)</f>
        <v>6187732.5600000005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2227389</v>
      </c>
      <c r="D35" s="182">
        <f t="shared" ref="D35:D40" si="1">ROUND((C35/$C$41)*100,1)</f>
        <v>33.5</v>
      </c>
    </row>
    <row r="36" spans="1:4" x14ac:dyDescent="0.2">
      <c r="B36" s="185" t="s">
        <v>739</v>
      </c>
      <c r="C36" s="179">
        <f>SUM('DOE25'!F112:J112)-SUM('DOE25'!G97:G110)+('DOE25'!F175+'DOE25'!F176+'DOE25'!I175+'DOE25'!I176)-C35</f>
        <v>1617120.98</v>
      </c>
      <c r="D36" s="182">
        <f t="shared" si="1"/>
        <v>24.3</v>
      </c>
    </row>
    <row r="37" spans="1:4" x14ac:dyDescent="0.2">
      <c r="A37" s="183" t="s">
        <v>835</v>
      </c>
      <c r="B37" s="185" t="s">
        <v>728</v>
      </c>
      <c r="C37" s="179">
        <f>ROUND('DOE25'!F117+'DOE25'!F118,0)</f>
        <v>2259288</v>
      </c>
      <c r="D37" s="182">
        <f t="shared" si="1"/>
        <v>34</v>
      </c>
    </row>
    <row r="38" spans="1:4" x14ac:dyDescent="0.2">
      <c r="A38" s="183" t="s">
        <v>734</v>
      </c>
      <c r="B38" s="185" t="s">
        <v>729</v>
      </c>
      <c r="C38" s="179">
        <f>ROUND(SUM('DOE25'!F140:J140)-SUM('DOE25'!F117:F119),0)</f>
        <v>222281</v>
      </c>
      <c r="D38" s="182">
        <f t="shared" si="1"/>
        <v>3.3</v>
      </c>
    </row>
    <row r="39" spans="1:4" x14ac:dyDescent="0.2">
      <c r="A39">
        <v>4000</v>
      </c>
      <c r="B39" s="185" t="s">
        <v>730</v>
      </c>
      <c r="C39" s="179">
        <f>ROUND('DOE25'!F170+'DOE25'!G170+'DOE25'!H170+'DOE25'!I170,0)</f>
        <v>315713</v>
      </c>
      <c r="D39" s="182">
        <f t="shared" si="1"/>
        <v>4.8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6641791.9800000004</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8" sqref="A8"/>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COLEBROOK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v>19</v>
      </c>
      <c r="B4" s="219"/>
      <c r="C4" s="355" t="s">
        <v>1643</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v>19</v>
      </c>
      <c r="B5" s="219">
        <v>3</v>
      </c>
      <c r="C5" s="355" t="s">
        <v>1644</v>
      </c>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t="s">
        <v>1645</v>
      </c>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t="s">
        <v>1646</v>
      </c>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2020-10-01T12:13:37Z</cp:lastPrinted>
  <dcterms:created xsi:type="dcterms:W3CDTF">1997-12-04T19:04:30Z</dcterms:created>
  <dcterms:modified xsi:type="dcterms:W3CDTF">2020-12-11T14:42:06Z</dcterms:modified>
</cp:coreProperties>
</file>