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5200" windowHeight="1125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666" i="1" l="1"/>
  <c r="F50" i="1" l="1"/>
  <c r="H156" i="1" l="1"/>
  <c r="H583" i="1" l="1"/>
  <c r="I565" i="1"/>
  <c r="H565" i="1"/>
  <c r="G565" i="1"/>
  <c r="F565" i="1"/>
  <c r="I564" i="1"/>
  <c r="H564" i="1"/>
  <c r="G564" i="1"/>
  <c r="F564" i="1"/>
  <c r="H563" i="1"/>
  <c r="I563" i="1"/>
  <c r="G563" i="1"/>
  <c r="F563" i="1"/>
  <c r="E25" i="14" l="1"/>
  <c r="D25" i="14"/>
  <c r="G234" i="1" l="1"/>
  <c r="G216" i="1"/>
  <c r="G198" i="1"/>
  <c r="G244" i="1"/>
  <c r="G226" i="1"/>
  <c r="G208" i="1"/>
  <c r="G243" i="1"/>
  <c r="G242" i="1"/>
  <c r="G224" i="1"/>
  <c r="G206" i="1"/>
  <c r="G240" i="1"/>
  <c r="G222" i="1"/>
  <c r="G204" i="1"/>
  <c r="G239" i="1"/>
  <c r="G221" i="1"/>
  <c r="G203" i="1"/>
  <c r="G252" i="1"/>
  <c r="G237" i="1"/>
  <c r="G219" i="1"/>
  <c r="G201" i="1"/>
  <c r="G236" i="1"/>
  <c r="G235" i="1"/>
  <c r="G217" i="1"/>
  <c r="G199" i="1"/>
  <c r="F234" i="1"/>
  <c r="F216" i="1"/>
  <c r="F198" i="1"/>
  <c r="B39" i="12"/>
  <c r="B30" i="12"/>
  <c r="B21" i="12"/>
  <c r="K267" i="1"/>
  <c r="F503" i="1"/>
  <c r="F500" i="1"/>
  <c r="J605" i="1" l="1"/>
  <c r="I605" i="1"/>
  <c r="H605" i="1"/>
  <c r="H598" i="1"/>
  <c r="J598" i="1"/>
  <c r="J597" i="1"/>
  <c r="J596" i="1"/>
  <c r="J595" i="1"/>
  <c r="J594" i="1"/>
  <c r="J593" i="1"/>
  <c r="J592" i="1"/>
  <c r="I598" i="1"/>
  <c r="I597" i="1"/>
  <c r="I596" i="1"/>
  <c r="I595" i="1"/>
  <c r="I594" i="1"/>
  <c r="I593" i="1"/>
  <c r="I592" i="1"/>
  <c r="H593" i="1"/>
  <c r="H597" i="1"/>
  <c r="H596" i="1"/>
  <c r="H595" i="1"/>
  <c r="H594" i="1"/>
  <c r="H592" i="1"/>
  <c r="G534" i="1"/>
  <c r="F534" i="1"/>
  <c r="F533" i="1"/>
  <c r="G533" i="1"/>
  <c r="G532" i="1"/>
  <c r="F532" i="1"/>
  <c r="K544" i="1"/>
  <c r="H544" i="1"/>
  <c r="G544" i="1"/>
  <c r="F544" i="1"/>
  <c r="K543" i="1"/>
  <c r="H543" i="1"/>
  <c r="G543" i="1"/>
  <c r="F543" i="1"/>
  <c r="K542" i="1"/>
  <c r="H542" i="1"/>
  <c r="G542" i="1"/>
  <c r="F542" i="1"/>
  <c r="K529" i="1"/>
  <c r="J529" i="1"/>
  <c r="I529" i="1"/>
  <c r="H529" i="1"/>
  <c r="G529" i="1"/>
  <c r="F529" i="1"/>
  <c r="K528" i="1"/>
  <c r="J528" i="1"/>
  <c r="I528" i="1"/>
  <c r="H528" i="1"/>
  <c r="G528" i="1"/>
  <c r="F528" i="1"/>
  <c r="K527" i="1"/>
  <c r="J527" i="1"/>
  <c r="I527" i="1"/>
  <c r="H527" i="1"/>
  <c r="G527" i="1"/>
  <c r="F527" i="1"/>
  <c r="H539" i="1"/>
  <c r="H538" i="1"/>
  <c r="H537" i="1"/>
  <c r="J524" i="1"/>
  <c r="I524" i="1"/>
  <c r="H524" i="1"/>
  <c r="G524" i="1"/>
  <c r="F524" i="1"/>
  <c r="J523" i="1"/>
  <c r="I523" i="1"/>
  <c r="H523" i="1"/>
  <c r="G523" i="1"/>
  <c r="F523" i="1"/>
  <c r="I522" i="1"/>
  <c r="H522" i="1"/>
  <c r="G522" i="1"/>
  <c r="F522" i="1"/>
  <c r="J522" i="1"/>
  <c r="H473" i="1" l="1"/>
  <c r="G473" i="1"/>
  <c r="J473" i="1"/>
  <c r="K427" i="1"/>
  <c r="J381" i="1"/>
  <c r="H381" i="1"/>
  <c r="J380" i="1"/>
  <c r="H380" i="1"/>
  <c r="I381" i="1"/>
  <c r="G359" i="1"/>
  <c r="F359" i="1"/>
  <c r="I361" i="1"/>
  <c r="H368" i="1"/>
  <c r="H369" i="1"/>
  <c r="H361" i="1"/>
  <c r="G361" i="1"/>
  <c r="F361" i="1"/>
  <c r="J360" i="1"/>
  <c r="I360" i="1"/>
  <c r="G368" i="1"/>
  <c r="G369" i="1"/>
  <c r="H360" i="1"/>
  <c r="G360" i="1"/>
  <c r="F360" i="1"/>
  <c r="J359" i="1"/>
  <c r="I359" i="1"/>
  <c r="F368" i="1"/>
  <c r="F369" i="1"/>
  <c r="H359" i="1"/>
  <c r="K361" i="1"/>
  <c r="K360" i="1"/>
  <c r="K359" i="1"/>
  <c r="K345" i="1"/>
  <c r="H326" i="1"/>
  <c r="J325" i="1"/>
  <c r="I325" i="1"/>
  <c r="H325" i="1"/>
  <c r="J306" i="1"/>
  <c r="I306" i="1"/>
  <c r="H306" i="1"/>
  <c r="J287" i="1"/>
  <c r="I287" i="1"/>
  <c r="H287" i="1"/>
  <c r="I322" i="1"/>
  <c r="H322" i="1"/>
  <c r="G322" i="1"/>
  <c r="F322" i="1"/>
  <c r="I303" i="1"/>
  <c r="H303" i="1"/>
  <c r="G303" i="1"/>
  <c r="F303" i="1"/>
  <c r="I284" i="1"/>
  <c r="H284" i="1"/>
  <c r="G284" i="1"/>
  <c r="F284" i="1"/>
  <c r="J321" i="1"/>
  <c r="I321" i="1"/>
  <c r="H321" i="1"/>
  <c r="G321" i="1"/>
  <c r="F321" i="1"/>
  <c r="J302" i="1"/>
  <c r="I302" i="1"/>
  <c r="H302" i="1"/>
  <c r="G302" i="1"/>
  <c r="F302" i="1"/>
  <c r="J283" i="1"/>
  <c r="I283" i="1"/>
  <c r="H283" i="1"/>
  <c r="G283" i="1"/>
  <c r="F283" i="1"/>
  <c r="I320" i="1"/>
  <c r="H320" i="1"/>
  <c r="G320" i="1"/>
  <c r="F320" i="1"/>
  <c r="I301" i="1"/>
  <c r="H301" i="1"/>
  <c r="G301" i="1"/>
  <c r="F301" i="1"/>
  <c r="I282" i="1"/>
  <c r="H282" i="1"/>
  <c r="G282" i="1"/>
  <c r="F282" i="1"/>
  <c r="I318" i="1"/>
  <c r="G318" i="1"/>
  <c r="F318" i="1"/>
  <c r="I299" i="1"/>
  <c r="G299" i="1"/>
  <c r="F299" i="1"/>
  <c r="I280" i="1"/>
  <c r="G280" i="1"/>
  <c r="F280" i="1"/>
  <c r="J316" i="1"/>
  <c r="I316" i="1"/>
  <c r="H316" i="1"/>
  <c r="J297" i="1"/>
  <c r="I297" i="1"/>
  <c r="H297" i="1"/>
  <c r="J278" i="1"/>
  <c r="I278" i="1"/>
  <c r="H278" i="1"/>
  <c r="I315" i="1"/>
  <c r="G315" i="1"/>
  <c r="F315" i="1"/>
  <c r="I296" i="1"/>
  <c r="G296" i="1"/>
  <c r="F296" i="1"/>
  <c r="I277" i="1"/>
  <c r="G277" i="1"/>
  <c r="F277" i="1"/>
  <c r="J296" i="1"/>
  <c r="H256" i="1"/>
  <c r="K264" i="1"/>
  <c r="K269" i="1"/>
  <c r="K261" i="1"/>
  <c r="K262" i="1"/>
  <c r="I246" i="1"/>
  <c r="H246" i="1"/>
  <c r="G246" i="1"/>
  <c r="F246" i="1"/>
  <c r="I228" i="1"/>
  <c r="H228" i="1"/>
  <c r="G228" i="1"/>
  <c r="F228" i="1"/>
  <c r="I210" i="1"/>
  <c r="H210" i="1"/>
  <c r="G210" i="1"/>
  <c r="F210" i="1"/>
  <c r="K245" i="1"/>
  <c r="J245" i="1"/>
  <c r="I245" i="1"/>
  <c r="H245" i="1"/>
  <c r="G245" i="1"/>
  <c r="F245" i="1"/>
  <c r="K227" i="1"/>
  <c r="J227" i="1"/>
  <c r="I227" i="1"/>
  <c r="H227" i="1"/>
  <c r="G227" i="1"/>
  <c r="F227" i="1"/>
  <c r="K209" i="1"/>
  <c r="J209" i="1"/>
  <c r="I209" i="1"/>
  <c r="H209" i="1"/>
  <c r="G209" i="1"/>
  <c r="F209" i="1"/>
  <c r="K244" i="1"/>
  <c r="J244" i="1"/>
  <c r="I244" i="1"/>
  <c r="H244" i="1"/>
  <c r="F244" i="1"/>
  <c r="K226" i="1"/>
  <c r="J226" i="1"/>
  <c r="I226" i="1"/>
  <c r="H226" i="1"/>
  <c r="F226" i="1"/>
  <c r="K208" i="1"/>
  <c r="J208" i="1"/>
  <c r="I208" i="1"/>
  <c r="H208" i="1"/>
  <c r="F208" i="1"/>
  <c r="K243" i="1"/>
  <c r="J243" i="1"/>
  <c r="I243" i="1"/>
  <c r="H243" i="1"/>
  <c r="F243" i="1"/>
  <c r="K225" i="1"/>
  <c r="J225" i="1"/>
  <c r="I225" i="1"/>
  <c r="H225" i="1"/>
  <c r="G225" i="1"/>
  <c r="F225" i="1"/>
  <c r="K207" i="1"/>
  <c r="J207" i="1"/>
  <c r="I207" i="1"/>
  <c r="H207" i="1"/>
  <c r="G207" i="1"/>
  <c r="F207" i="1"/>
  <c r="F242" i="1"/>
  <c r="F224" i="1"/>
  <c r="F206" i="1"/>
  <c r="K241" i="1"/>
  <c r="J241" i="1"/>
  <c r="I241" i="1"/>
  <c r="H241" i="1"/>
  <c r="G241" i="1"/>
  <c r="F241" i="1"/>
  <c r="K223" i="1"/>
  <c r="J223" i="1"/>
  <c r="I223" i="1"/>
  <c r="H223" i="1"/>
  <c r="G223" i="1"/>
  <c r="F223" i="1"/>
  <c r="K205" i="1"/>
  <c r="J205" i="1"/>
  <c r="I205" i="1"/>
  <c r="H205" i="1"/>
  <c r="G205" i="1"/>
  <c r="F205" i="1"/>
  <c r="K240" i="1"/>
  <c r="J240" i="1"/>
  <c r="I240" i="1"/>
  <c r="H240" i="1"/>
  <c r="F240" i="1"/>
  <c r="K222" i="1"/>
  <c r="J222" i="1"/>
  <c r="I222" i="1"/>
  <c r="H222" i="1"/>
  <c r="F222" i="1"/>
  <c r="K204" i="1"/>
  <c r="J204" i="1"/>
  <c r="I204" i="1"/>
  <c r="H204" i="1"/>
  <c r="F204" i="1"/>
  <c r="K239" i="1"/>
  <c r="J239" i="1"/>
  <c r="I239" i="1"/>
  <c r="H239" i="1"/>
  <c r="F239" i="1"/>
  <c r="K221" i="1"/>
  <c r="J221" i="1"/>
  <c r="I221" i="1"/>
  <c r="H221" i="1"/>
  <c r="F221" i="1"/>
  <c r="K203" i="1"/>
  <c r="J203" i="1"/>
  <c r="I203" i="1"/>
  <c r="H203" i="1"/>
  <c r="F203" i="1"/>
  <c r="F237" i="1"/>
  <c r="F219" i="1"/>
  <c r="F201" i="1"/>
  <c r="J235" i="1"/>
  <c r="I235" i="1"/>
  <c r="H235" i="1"/>
  <c r="F235" i="1"/>
  <c r="J217" i="1"/>
  <c r="I217" i="1"/>
  <c r="H217" i="1"/>
  <c r="F217" i="1"/>
  <c r="J199" i="1"/>
  <c r="I199" i="1"/>
  <c r="H199" i="1"/>
  <c r="F199" i="1"/>
  <c r="K234" i="1"/>
  <c r="H234" i="1"/>
  <c r="K216" i="1"/>
  <c r="H216" i="1"/>
  <c r="K198" i="1"/>
  <c r="H198" i="1"/>
  <c r="I317" i="1" l="1"/>
  <c r="K321" i="1"/>
  <c r="H318" i="1"/>
  <c r="H317" i="1"/>
  <c r="G317" i="1"/>
  <c r="F317" i="1"/>
  <c r="K317" i="1"/>
  <c r="J317" i="1"/>
  <c r="G316" i="1"/>
  <c r="F316" i="1"/>
  <c r="J315" i="1"/>
  <c r="G297" i="1"/>
  <c r="F297" i="1"/>
  <c r="J337" i="1"/>
  <c r="H288" i="1"/>
  <c r="G278" i="1"/>
  <c r="F278" i="1"/>
  <c r="J277" i="1"/>
  <c r="H277" i="1"/>
  <c r="J102" i="1"/>
  <c r="J96" i="1"/>
  <c r="I401" i="1"/>
  <c r="H401" i="1"/>
  <c r="G401" i="1"/>
  <c r="J180" i="1"/>
  <c r="I187" i="1"/>
  <c r="I96" i="1"/>
  <c r="H131" i="1"/>
  <c r="H159" i="1"/>
  <c r="H155" i="1"/>
  <c r="H154" i="1"/>
  <c r="H145" i="1"/>
  <c r="H135" i="1"/>
  <c r="H130" i="1"/>
  <c r="H102" i="1"/>
  <c r="G158" i="1"/>
  <c r="G132" i="1"/>
  <c r="G110" i="1"/>
  <c r="G97" i="1"/>
  <c r="G96" i="1"/>
  <c r="F63" i="1"/>
  <c r="F161" i="1"/>
  <c r="F160" i="1"/>
  <c r="F145" i="1"/>
  <c r="F135" i="1"/>
  <c r="F127" i="1"/>
  <c r="F126" i="1"/>
  <c r="F123" i="1"/>
  <c r="F120" i="1"/>
  <c r="F118" i="1"/>
  <c r="F117" i="1"/>
  <c r="F110" i="1"/>
  <c r="F109" i="1"/>
  <c r="F101" i="1"/>
  <c r="F98" i="1"/>
  <c r="F96" i="1"/>
  <c r="F86" i="1"/>
  <c r="F93" i="1"/>
  <c r="F83" i="1"/>
  <c r="F70" i="1"/>
  <c r="F69" i="1"/>
  <c r="F66" i="1"/>
  <c r="F64" i="1"/>
  <c r="J469" i="1"/>
  <c r="G256" i="1"/>
  <c r="F256" i="1"/>
  <c r="J252" i="1"/>
  <c r="I252" i="1"/>
  <c r="F252" i="1"/>
  <c r="K242" i="1"/>
  <c r="J242" i="1"/>
  <c r="I242" i="1"/>
  <c r="H242" i="1"/>
  <c r="K237" i="1"/>
  <c r="J237" i="1"/>
  <c r="I237" i="1"/>
  <c r="H237" i="1"/>
  <c r="I236" i="1"/>
  <c r="K236" i="1"/>
  <c r="J236" i="1"/>
  <c r="H236" i="1"/>
  <c r="F236" i="1"/>
  <c r="J234" i="1"/>
  <c r="I234" i="1"/>
  <c r="K224" i="1" l="1"/>
  <c r="J224" i="1"/>
  <c r="I224" i="1"/>
  <c r="H224" i="1"/>
  <c r="K219" i="1"/>
  <c r="J219" i="1"/>
  <c r="I219" i="1"/>
  <c r="H219" i="1"/>
  <c r="J216" i="1"/>
  <c r="I216" i="1"/>
  <c r="K206" i="1"/>
  <c r="I206" i="1"/>
  <c r="H206" i="1"/>
  <c r="J198" i="1"/>
  <c r="I198" i="1"/>
  <c r="G460" i="1"/>
  <c r="G456" i="1"/>
  <c r="G449" i="1"/>
  <c r="G442" i="1"/>
  <c r="G441" i="1"/>
  <c r="I48" i="1"/>
  <c r="H48" i="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G663" i="1" s="1"/>
  <c r="L245" i="1"/>
  <c r="G17" i="13"/>
  <c r="H17" i="13"/>
  <c r="L252" i="1"/>
  <c r="G18" i="13"/>
  <c r="H18" i="13"/>
  <c r="L253" i="1"/>
  <c r="D18" i="13" s="1"/>
  <c r="C18" i="13" s="1"/>
  <c r="G19" i="13"/>
  <c r="H19" i="13"/>
  <c r="L254" i="1"/>
  <c r="G29" i="13"/>
  <c r="H29" i="13"/>
  <c r="L359" i="1"/>
  <c r="L360" i="1"/>
  <c r="L361" i="1"/>
  <c r="I368" i="1"/>
  <c r="J291" i="1"/>
  <c r="J310" i="1"/>
  <c r="J329" i="1"/>
  <c r="K291" i="1"/>
  <c r="K310" i="1"/>
  <c r="K329" i="1"/>
  <c r="L277" i="1"/>
  <c r="L278" i="1"/>
  <c r="L279" i="1"/>
  <c r="L280" i="1"/>
  <c r="L282" i="1"/>
  <c r="L283" i="1"/>
  <c r="L284" i="1"/>
  <c r="L285" i="1"/>
  <c r="E121" i="2" s="1"/>
  <c r="L286" i="1"/>
  <c r="L287" i="1"/>
  <c r="L288" i="1"/>
  <c r="L289" i="1"/>
  <c r="L296" i="1"/>
  <c r="L297" i="1"/>
  <c r="L298" i="1"/>
  <c r="L299" i="1"/>
  <c r="L301" i="1"/>
  <c r="L302" i="1"/>
  <c r="L303" i="1"/>
  <c r="L304" i="1"/>
  <c r="L305" i="1"/>
  <c r="L306" i="1"/>
  <c r="L307" i="1"/>
  <c r="L308" i="1"/>
  <c r="E125" i="2" s="1"/>
  <c r="L315" i="1"/>
  <c r="L316" i="1"/>
  <c r="L317" i="1"/>
  <c r="E111" i="2" s="1"/>
  <c r="L318" i="1"/>
  <c r="L320" i="1"/>
  <c r="L321" i="1"/>
  <c r="E119" i="2" s="1"/>
  <c r="L322" i="1"/>
  <c r="L323" i="1"/>
  <c r="L324" i="1"/>
  <c r="L325" i="1"/>
  <c r="L326" i="1"/>
  <c r="H663" i="1" s="1"/>
  <c r="L327" i="1"/>
  <c r="L334" i="1"/>
  <c r="E114" i="2" s="1"/>
  <c r="L335" i="1"/>
  <c r="L336" i="1"/>
  <c r="L261" i="1"/>
  <c r="C131" i="2" s="1"/>
  <c r="L262" i="1"/>
  <c r="C132" i="2" s="1"/>
  <c r="L342" i="1"/>
  <c r="L343" i="1"/>
  <c r="L256" i="1"/>
  <c r="L337" i="1"/>
  <c r="E130" i="2" s="1"/>
  <c r="C11" i="13"/>
  <c r="C10" i="13"/>
  <c r="C9" i="13"/>
  <c r="L362" i="1"/>
  <c r="B4" i="12"/>
  <c r="B36" i="12"/>
  <c r="C36" i="12"/>
  <c r="B40" i="12"/>
  <c r="B27" i="12"/>
  <c r="C27" i="12"/>
  <c r="B31" i="12"/>
  <c r="B9" i="12"/>
  <c r="C9" i="12"/>
  <c r="B18" i="12"/>
  <c r="C18" i="12"/>
  <c r="B1" i="12"/>
  <c r="L388" i="1"/>
  <c r="L389" i="1"/>
  <c r="L390" i="1"/>
  <c r="L391" i="1"/>
  <c r="L392" i="1"/>
  <c r="L393" i="1"/>
  <c r="L396" i="1"/>
  <c r="L397" i="1"/>
  <c r="L398" i="1"/>
  <c r="L399" i="1"/>
  <c r="L400" i="1"/>
  <c r="L401" i="1"/>
  <c r="L404" i="1"/>
  <c r="L405" i="1"/>
  <c r="L406" i="1"/>
  <c r="L407" i="1"/>
  <c r="L267" i="1"/>
  <c r="J60" i="1"/>
  <c r="G56" i="2" s="1"/>
  <c r="G59" i="2"/>
  <c r="G62" i="2" s="1"/>
  <c r="G61" i="2"/>
  <c r="F2" i="11"/>
  <c r="L614" i="1"/>
  <c r="H664" i="1" s="1"/>
  <c r="L613" i="1"/>
  <c r="G664" i="1" s="1"/>
  <c r="L612" i="1"/>
  <c r="F664" i="1" s="1"/>
  <c r="C40" i="10"/>
  <c r="F60" i="1"/>
  <c r="G60" i="1"/>
  <c r="H60" i="1"/>
  <c r="I60" i="1"/>
  <c r="F79" i="1"/>
  <c r="C57" i="2" s="1"/>
  <c r="F94" i="1"/>
  <c r="C58" i="2" s="1"/>
  <c r="F111" i="1"/>
  <c r="G111" i="1"/>
  <c r="H79" i="1"/>
  <c r="H94" i="1"/>
  <c r="H111" i="1"/>
  <c r="I111" i="1"/>
  <c r="I112" i="1" s="1"/>
  <c r="J111" i="1"/>
  <c r="J112" i="1" s="1"/>
  <c r="F121" i="1"/>
  <c r="F136" i="1"/>
  <c r="G121" i="1"/>
  <c r="G136" i="1"/>
  <c r="H121" i="1"/>
  <c r="H136" i="1"/>
  <c r="H140" i="1" s="1"/>
  <c r="I121" i="1"/>
  <c r="I136" i="1"/>
  <c r="J121" i="1"/>
  <c r="J140" i="1" s="1"/>
  <c r="J136" i="1"/>
  <c r="F147" i="1"/>
  <c r="F170" i="1" s="1"/>
  <c r="G147" i="1"/>
  <c r="H147" i="1"/>
  <c r="H170" i="1" s="1"/>
  <c r="I147" i="1"/>
  <c r="L251" i="1"/>
  <c r="C113" i="2" s="1"/>
  <c r="L333" i="1"/>
  <c r="E113" i="2" s="1"/>
  <c r="L255" i="1"/>
  <c r="L269" i="1"/>
  <c r="L270" i="1"/>
  <c r="L350" i="1"/>
  <c r="E142" i="2" s="1"/>
  <c r="L351" i="1"/>
  <c r="E143" i="2" s="1"/>
  <c r="I666" i="1"/>
  <c r="I671" i="1"/>
  <c r="I670" i="1"/>
  <c r="C42" i="10"/>
  <c r="L375" i="1"/>
  <c r="L376" i="1"/>
  <c r="L377" i="1"/>
  <c r="L378" i="1"/>
  <c r="L379" i="1"/>
  <c r="L380" i="1"/>
  <c r="L381" i="1"/>
  <c r="B2" i="10"/>
  <c r="L345" i="1"/>
  <c r="E134" i="2" s="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D56" i="2"/>
  <c r="E56" i="2"/>
  <c r="F56"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D115" i="2"/>
  <c r="F115" i="2"/>
  <c r="G115" i="2"/>
  <c r="E120" i="2"/>
  <c r="E123" i="2"/>
  <c r="E124" i="2"/>
  <c r="F128" i="2"/>
  <c r="G128" i="2"/>
  <c r="C130" i="2"/>
  <c r="D134" i="2"/>
  <c r="D144" i="2" s="1"/>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F409" i="1" s="1"/>
  <c r="H644" i="1" s="1"/>
  <c r="G394" i="1"/>
  <c r="H394" i="1"/>
  <c r="I394" i="1"/>
  <c r="F402" i="1"/>
  <c r="G402" i="1"/>
  <c r="H402" i="1"/>
  <c r="I402" i="1"/>
  <c r="F408" i="1"/>
  <c r="G408" i="1"/>
  <c r="H408" i="1"/>
  <c r="H409" i="1" s="1"/>
  <c r="H645" i="1" s="1"/>
  <c r="I408" i="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G477" i="1" s="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J572" i="1" s="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H628" i="1"/>
  <c r="H629" i="1"/>
  <c r="H630" i="1"/>
  <c r="H631" i="1"/>
  <c r="H632" i="1"/>
  <c r="H633" i="1"/>
  <c r="H634" i="1"/>
  <c r="H636" i="1"/>
  <c r="H637" i="1"/>
  <c r="H638" i="1"/>
  <c r="H639" i="1"/>
  <c r="G641" i="1"/>
  <c r="G644" i="1"/>
  <c r="G645" i="1"/>
  <c r="G652" i="1"/>
  <c r="G653" i="1"/>
  <c r="H653" i="1"/>
  <c r="G654" i="1"/>
  <c r="H654" i="1"/>
  <c r="G655" i="1"/>
  <c r="H655" i="1"/>
  <c r="H656" i="1"/>
  <c r="J656" i="1" s="1"/>
  <c r="I170" i="1"/>
  <c r="C37" i="12" l="1"/>
  <c r="C38" i="12"/>
  <c r="C39" i="12"/>
  <c r="C28" i="12"/>
  <c r="C29" i="12"/>
  <c r="C30" i="12"/>
  <c r="C20" i="12"/>
  <c r="C19" i="12"/>
  <c r="C21" i="12"/>
  <c r="B12" i="12"/>
  <c r="C11" i="12"/>
  <c r="C10" i="12"/>
  <c r="I370" i="1"/>
  <c r="H635" i="1" s="1"/>
  <c r="J635" i="1" s="1"/>
  <c r="G662" i="1"/>
  <c r="C125" i="2"/>
  <c r="G651" i="1"/>
  <c r="C120" i="2"/>
  <c r="G339" i="1"/>
  <c r="G353" i="1" s="1"/>
  <c r="G646" i="1"/>
  <c r="E85" i="2"/>
  <c r="L257" i="1"/>
  <c r="D15" i="13"/>
  <c r="C15" i="13" s="1"/>
  <c r="C119" i="2"/>
  <c r="C32" i="10"/>
  <c r="C112" i="2"/>
  <c r="C12" i="10"/>
  <c r="C110" i="2"/>
  <c r="J258" i="1"/>
  <c r="J272" i="1" s="1"/>
  <c r="C121" i="2"/>
  <c r="C13" i="10"/>
  <c r="C11" i="10"/>
  <c r="F258" i="1"/>
  <c r="F272" i="1" s="1"/>
  <c r="D50" i="2"/>
  <c r="E112" i="2"/>
  <c r="H477" i="1"/>
  <c r="H625" i="1" s="1"/>
  <c r="J625" i="1" s="1"/>
  <c r="K339" i="1"/>
  <c r="K353" i="1" s="1"/>
  <c r="C91" i="2"/>
  <c r="G409" i="1"/>
  <c r="H646" i="1" s="1"/>
  <c r="J652" i="1"/>
  <c r="H193" i="1"/>
  <c r="C20" i="10"/>
  <c r="D6" i="13"/>
  <c r="C6" i="13" s="1"/>
  <c r="E13" i="13"/>
  <c r="C13" i="13" s="1"/>
  <c r="H112" i="1"/>
  <c r="H194" i="1" s="1"/>
  <c r="G630" i="1" s="1"/>
  <c r="J630" i="1" s="1"/>
  <c r="L402" i="1"/>
  <c r="C139" i="2" s="1"/>
  <c r="H462" i="1"/>
  <c r="H642" i="1" s="1"/>
  <c r="J642" i="1" s="1"/>
  <c r="G553" i="1"/>
  <c r="F339" i="1"/>
  <c r="F353" i="1" s="1"/>
  <c r="L561" i="1"/>
  <c r="G462" i="1"/>
  <c r="H641" i="1" s="1"/>
  <c r="J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E81" i="2" s="1"/>
  <c r="G546" i="1"/>
  <c r="J644" i="1"/>
  <c r="F112" i="1"/>
  <c r="L394" i="1"/>
  <c r="C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G112" i="1"/>
  <c r="B10" i="16" s="1"/>
  <c r="E118" i="2"/>
  <c r="E128" i="2" s="1"/>
  <c r="L248" i="1"/>
  <c r="L212" i="1"/>
  <c r="H648" i="1"/>
  <c r="J645" i="1"/>
  <c r="G626"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D29" i="13"/>
  <c r="C29" i="13" s="1"/>
  <c r="D12" i="13"/>
  <c r="C12" i="13" s="1"/>
  <c r="D5" i="13"/>
  <c r="C5" i="13" s="1"/>
  <c r="E8" i="13"/>
  <c r="C8" i="13" s="1"/>
  <c r="C35" i="10"/>
  <c r="C29" i="10"/>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E91" i="2"/>
  <c r="J655" i="1"/>
  <c r="J654" i="1"/>
  <c r="G21" i="2"/>
  <c r="G31" i="2" s="1"/>
  <c r="J32" i="1"/>
  <c r="J435" i="1"/>
  <c r="F435" i="1"/>
  <c r="K435" i="1"/>
  <c r="G134" i="2" s="1"/>
  <c r="G144" i="2" s="1"/>
  <c r="G145" i="2" s="1"/>
  <c r="G31" i="13"/>
  <c r="J194" i="1"/>
  <c r="G647" i="1" s="1"/>
  <c r="G140" i="1"/>
  <c r="B11" i="16" s="1"/>
  <c r="F140" i="1"/>
  <c r="G63" i="2"/>
  <c r="J619" i="1"/>
  <c r="G42" i="2"/>
  <c r="J51" i="1"/>
  <c r="G16" i="2"/>
  <c r="G18" i="2" s="1"/>
  <c r="J19" i="1"/>
  <c r="G622" i="1" s="1"/>
  <c r="F546" i="1"/>
  <c r="H435" i="1"/>
  <c r="D103" i="2"/>
  <c r="I140" i="1"/>
  <c r="G50" i="2"/>
  <c r="J653" i="1"/>
  <c r="G572" i="1"/>
  <c r="I435" i="1"/>
  <c r="G435" i="1"/>
  <c r="I664" i="1"/>
  <c r="C40" i="12" l="1"/>
  <c r="A40" i="12" s="1"/>
  <c r="C31" i="12"/>
  <c r="A31" i="12" s="1"/>
  <c r="C22" i="12"/>
  <c r="A22" i="12" s="1"/>
  <c r="C12" i="12"/>
  <c r="C13" i="12" s="1"/>
  <c r="B13" i="12"/>
  <c r="H661" i="1"/>
  <c r="H665" i="1" s="1"/>
  <c r="H668" i="1" s="1"/>
  <c r="E115" i="2"/>
  <c r="E145" i="2" s="1"/>
  <c r="F661" i="1"/>
  <c r="F665" i="1" s="1"/>
  <c r="F668" i="1" s="1"/>
  <c r="J646" i="1"/>
  <c r="F194" i="1"/>
  <c r="G628" i="1" s="1"/>
  <c r="J628" i="1" s="1"/>
  <c r="G36" i="14"/>
  <c r="H36" i="14" s="1"/>
  <c r="I36" i="14" s="1"/>
  <c r="H649" i="1"/>
  <c r="J649" i="1" s="1"/>
  <c r="E51" i="2"/>
  <c r="C81" i="2"/>
  <c r="F51" i="2"/>
  <c r="L572" i="1"/>
  <c r="C141" i="2"/>
  <c r="C144" i="2" s="1"/>
  <c r="G24" i="14"/>
  <c r="H24" i="14" s="1"/>
  <c r="I24" i="14" s="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A13" i="12" l="1"/>
  <c r="H673" i="1"/>
  <c r="C6" i="10" s="1"/>
  <c r="C104" i="2"/>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I668" i="1" l="1"/>
  <c r="H657"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<sst xmlns="http://schemas.openxmlformats.org/spreadsheetml/2006/main" count="5554" uniqueCount="1645">
  <si>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</si>
  <si>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</si>
  <si>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</si>
  <si>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</si>
  <si>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</si>
  <si>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</si>
  <si>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</si>
  <si>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</si>
  <si>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</si>
  <si>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</si>
  <si>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</si>
  <si>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</si>
  <si>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</si>
  <si>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</si>
  <si>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</si>
  <si>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</si>
  <si>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</si>
  <si>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</si>
  <si>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</si>
  <si>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</si>
  <si>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</si>
  <si>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</si>
  <si>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</si>
  <si>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</si>
  <si>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</si>
  <si>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</si>
  <si>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</si>
  <si>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</si>
  <si>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</si>
  <si>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</si>
  <si>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</si>
  <si>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</si>
  <si>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</si>
  <si>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</si>
  <si>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</si>
  <si>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</si>
  <si>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</si>
  <si>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</si>
  <si>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</si>
  <si>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</si>
  <si>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</si>
  <si>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</si>
  <si>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</si>
  <si>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</si>
  <si>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</si>
  <si>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</si>
  <si>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</si>
  <si>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</si>
  <si>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</si>
  <si>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</si>
  <si>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</si>
  <si>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</si>
  <si>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</si>
  <si>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</si>
  <si>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</si>
  <si>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</si>
  <si>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</si>
  <si>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</si>
  <si>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</si>
  <si>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</si>
  <si>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</si>
  <si>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</si>
  <si>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</si>
  <si>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</si>
  <si>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</si>
  <si>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</si>
  <si>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</si>
  <si>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</si>
  <si>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</si>
  <si>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</si>
  <si>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</si>
  <si>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</si>
  <si>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</si>
  <si>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</si>
  <si>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</si>
  <si>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</si>
  <si>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</si>
  <si>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</si>
  <si>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</si>
  <si>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</si>
  <si>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</si>
  <si>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</si>
  <si>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</si>
  <si>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</si>
  <si>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</si>
  <si>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</si>
  <si>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</si>
  <si>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</si>
  <si>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</si>
  <si>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</si>
  <si>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</si>
  <si>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</si>
  <si>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</si>
  <si>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</si>
  <si>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</si>
  <si>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</si>
  <si>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</si>
  <si>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</si>
  <si>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</si>
  <si>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</si>
  <si>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</si>
  <si>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</si>
  <si>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</si>
  <si>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</si>
  <si>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</si>
  <si>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</si>
  <si>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</si>
  <si>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</si>
  <si>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</si>
  <si>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</si>
  <si>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</si>
  <si>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</si>
  <si>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</si>
  <si>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</si>
  <si>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</si>
  <si>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</si>
  <si>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</si>
  <si>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</si>
  <si>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</si>
  <si>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</si>
  <si>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</si>
  <si>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</si>
  <si>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</si>
  <si>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</si>
  <si>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</si>
  <si>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</si>
  <si>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</si>
  <si>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</si>
  <si>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</si>
  <si>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</si>
  <si>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</si>
  <si>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</si>
  <si>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</si>
  <si>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</si>
  <si>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</si>
  <si>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</si>
  <si>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</si>
  <si>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</si>
  <si>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</si>
  <si>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</si>
  <si>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</si>
  <si>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</si>
  <si>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</si>
  <si>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</si>
  <si>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</si>
  <si>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</si>
  <si>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</si>
  <si>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</si>
  <si>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</si>
  <si>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</si>
  <si>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</si>
  <si>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</si>
  <si>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</si>
  <si>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</si>
  <si>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</si>
  <si>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</si>
  <si>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</si>
  <si>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</si>
  <si>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</si>
  <si>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</si>
  <si>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</si>
  <si>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</si>
  <si>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</si>
  <si>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</si>
  <si>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</si>
  <si>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</si>
  <si>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</si>
  <si>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</si>
  <si>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</si>
  <si>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</si>
  <si>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</si>
  <si>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</si>
  <si>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</si>
  <si>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</si>
  <si>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</si>
  <si>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</si>
  <si>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</si>
  <si>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</si>
  <si>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</si>
  <si>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</si>
  <si>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</si>
  <si>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</si>
  <si>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</si>
  <si>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</si>
  <si>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</si>
  <si>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</si>
  <si>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</si>
  <si>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</si>
  <si>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</si>
  <si>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</si>
  <si>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</si>
  <si>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</si>
  <si>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</si>
  <si>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</si>
  <si>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</si>
  <si>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</si>
  <si>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</si>
  <si>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</si>
  <si>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</si>
  <si>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</si>
  <si>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</si>
  <si>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</si>
  <si>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</si>
  <si>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</si>
  <si>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</si>
  <si>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</si>
  <si>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</si>
  <si>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</si>
  <si>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</si>
  <si>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</si>
  <si>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</si>
  <si>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</si>
  <si>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</si>
  <si>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</si>
  <si>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</si>
  <si>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</si>
  <si>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</si>
  <si>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</si>
  <si>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</si>
  <si>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</si>
  <si>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</si>
  <si>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</si>
  <si>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</si>
  <si>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</si>
  <si>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</si>
  <si>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</si>
  <si>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</si>
  <si>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</si>
  <si>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</si>
  <si>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</si>
  <si>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</si>
  <si>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</si>
  <si>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</si>
  <si>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</si>
  <si>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</si>
  <si>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</si>
  <si>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</si>
  <si>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</si>
  <si>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</si>
  <si>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</si>
  <si>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</si>
  <si>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</si>
  <si>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</si>
  <si>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</si>
  <si>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</si>
  <si>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</si>
  <si>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</si>
  <si>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</si>
  <si>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</si>
  <si>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</si>
  <si>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</si>
  <si>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</si>
  <si>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</si>
  <si>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</si>
  <si>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</si>
  <si>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</si>
  <si>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</si>
  <si>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</si>
  <si>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</si>
  <si>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</si>
  <si>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</si>
  <si>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</si>
  <si>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</si>
  <si>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</si>
  <si>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</si>
  <si>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</si>
  <si>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</si>
  <si>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</si>
  <si>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</si>
  <si>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</si>
  <si>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</si>
  <si>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</si>
  <si>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</si>
  <si>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</si>
  <si>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</si>
  <si>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</si>
  <si>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</si>
  <si>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</si>
  <si>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</si>
  <si>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</si>
  <si>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</si>
  <si>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</si>
  <si>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</si>
  <si>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</si>
  <si>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</si>
  <si>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</si>
  <si>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</si>
  <si>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</si>
  <si>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</si>
  <si>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</si>
  <si>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</si>
  <si>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</si>
  <si>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</si>
  <si>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</si>
  <si>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</si>
  <si>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</si>
  <si>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</si>
  <si>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</si>
  <si>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</si>
  <si>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</si>
  <si>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</si>
  <si>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</si>
  <si>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</si>
  <si>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</si>
  <si>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</si>
  <si>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</si>
  <si>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</si>
  <si>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</si>
  <si>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</si>
  <si>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</si>
  <si>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</si>
  <si>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</si>
  <si>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</si>
  <si>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</si>
  <si>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</si>
  <si>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</si>
  <si>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</si>
  <si>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</si>
  <si>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</si>
  <si>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</si>
  <si>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</si>
  <si>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</si>
  <si>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</si>
  <si>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</si>
  <si>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</si>
  <si>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</si>
  <si>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</si>
  <si>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</si>
  <si>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</si>
  <si>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</si>
  <si>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</si>
  <si>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</si>
  <si>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</si>
  <si>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</si>
  <si>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</si>
  <si>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</si>
  <si>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</si>
  <si>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</si>
  <si>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</si>
  <si>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</si>
  <si>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</si>
  <si>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</si>
  <si>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</si>
  <si>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</si>
  <si>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</si>
  <si>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</si>
  <si>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</si>
  <si>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</si>
  <si>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</si>
  <si>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</si>
  <si>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</si>
  <si>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</si>
  <si>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</si>
  <si>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</si>
  <si>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</si>
  <si>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</si>
  <si>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</si>
  <si>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</si>
  <si>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</si>
  <si>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</si>
  <si>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</si>
  <si>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</si>
  <si>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</si>
  <si>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</si>
  <si>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</si>
  <si>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</si>
  <si>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</si>
  <si>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</si>
  <si>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</si>
  <si>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</si>
  <si>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</si>
  <si>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</si>
  <si>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</si>
  <si>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</si>
  <si>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</si>
  <si>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</si>
  <si>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</si>
  <si>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</si>
  <si>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</si>
  <si>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</si>
  <si>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</si>
  <si>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</si>
  <si>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</si>
  <si>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</si>
  <si>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</si>
  <si>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</si>
  <si>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</si>
  <si>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</si>
  <si>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</si>
  <si>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</si>
  <si>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</si>
  <si>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</si>
  <si>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</si>
  <si>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</si>
  <si>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</si>
  <si>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</si>
  <si>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</si>
  <si>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</si>
  <si>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</si>
  <si>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</si>
  <si>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</si>
  <si>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</si>
  <si>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</si>
  <si>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</si>
  <si>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</si>
  <si>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</si>
  <si>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</si>
  <si>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</si>
  <si>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</si>
  <si>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</si>
  <si>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</si>
  <si>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</si>
  <si>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</si>
  <si>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</si>
  <si>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</si>
  <si>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</si>
  <si>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</si>
  <si>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</si>
  <si>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</si>
  <si>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</si>
  <si>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</si>
  <si>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</si>
  <si>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</si>
  <si>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</si>
  <si>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</si>
  <si>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</si>
  <si>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</si>
  <si>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</si>
  <si>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</si>
  <si>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</si>
  <si>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</si>
  <si>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</si>
  <si>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</si>
  <si>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</si>
  <si>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</si>
  <si>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</si>
  <si>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</si>
  <si>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</si>
  <si>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</si>
  <si>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</si>
  <si>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</si>
  <si>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</si>
  <si>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</si>
  <si>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</si>
  <si>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</si>
  <si>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</si>
  <si>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</si>
  <si>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</si>
  <si>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</si>
  <si>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</si>
  <si>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</si>
  <si>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</si>
  <si>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</si>
  <si>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</si>
  <si>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</si>
  <si>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</si>
  <si>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</si>
  <si>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</si>
  <si>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</si>
  <si>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</si>
  <si>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</si>
  <si>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</si>
  <si>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</si>
  <si>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</si>
  <si>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</si>
  <si>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</si>
  <si>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</si>
  <si>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</si>
  <si>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</si>
  <si>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</si>
  <si>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</si>
  <si>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</si>
  <si>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</si>
  <si>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</si>
  <si>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</si>
  <si>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</si>
  <si>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</si>
  <si>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</si>
  <si>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</si>
  <si>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</si>
  <si>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</si>
  <si>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</si>
  <si>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</si>
  <si>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</si>
  <si>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</si>
  <si>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</si>
  <si>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</si>
  <si>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</si>
  <si>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</si>
  <si>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</si>
  <si>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</si>
  <si>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</si>
  <si>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</si>
  <si>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</si>
  <si>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</si>
  <si>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</si>
  <si>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</si>
  <si>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</si>
  <si>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</si>
  <si>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</si>
  <si>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</si>
  <si>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</si>
  <si>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</si>
  <si>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</si>
  <si>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</si>
  <si>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</si>
  <si>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</si>
  <si>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</si>
  <si>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</si>
  <si>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</si>
  <si>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</si>
  <si>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</si>
  <si>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</si>
  <si>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</si>
  <si>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</si>
  <si>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</si>
  <si>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</si>
  <si>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</si>
  <si>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</si>
  <si>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</si>
  <si>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</si>
  <si>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</si>
  <si>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</si>
  <si>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</si>
  <si>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</si>
  <si>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</si>
  <si>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</si>
  <si>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</si>
  <si>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</si>
  <si>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</si>
  <si>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</si>
  <si>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</si>
  <si>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</si>
  <si>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</si>
  <si>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</si>
  <si>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</si>
  <si>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</si>
  <si>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</si>
  <si>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</si>
  <si>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</si>
  <si>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</si>
  <si>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</si>
  <si>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</si>
  <si>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</si>
  <si>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</si>
  <si>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</si>
  <si>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</si>
  <si>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</si>
  <si>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</si>
  <si>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</si>
  <si>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</si>
  <si>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</si>
  <si>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</si>
  <si>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</si>
  <si>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</si>
  <si>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</si>
  <si>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</si>
  <si>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</si>
  <si>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</si>
  <si>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</si>
  <si>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</si>
  <si>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</si>
  <si>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</si>
  <si>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</si>
  <si>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</si>
  <si>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</si>
  <si>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</si>
  <si>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</si>
  <si>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</si>
  <si>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</si>
  <si>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</si>
  <si>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</si>
  <si>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</si>
  <si>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</si>
  <si>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</si>
  <si>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</si>
  <si>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</si>
  <si>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</si>
  <si>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</si>
  <si>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</si>
  <si>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</si>
  <si>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</si>
  <si>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</si>
  <si>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</si>
  <si>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</si>
  <si>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</si>
  <si>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</si>
  <si>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</si>
  <si>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</si>
  <si>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</si>
  <si>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</si>
  <si>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</si>
  <si>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</si>
  <si>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</si>
  <si>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</si>
  <si>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</si>
  <si>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</si>
  <si>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</si>
  <si>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</si>
  <si>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</si>
  <si>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</si>
  <si>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</si>
  <si>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</si>
  <si>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</si>
  <si>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</si>
  <si>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</si>
  <si>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</si>
  <si>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</si>
  <si>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</si>
  <si>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</si>
  <si>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</si>
  <si>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</si>
  <si>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</si>
  <si>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</si>
  <si>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</si>
  <si>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</si>
  <si>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</si>
  <si>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</si>
  <si>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</si>
  <si>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</si>
  <si>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</si>
  <si>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</si>
  <si>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</si>
  <si>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</si>
  <si>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</si>
  <si>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</si>
  <si>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</si>
  <si>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</si>
  <si>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</si>
  <si>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</si>
  <si>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</si>
  <si>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</si>
  <si>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</si>
  <si>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</si>
  <si>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</si>
  <si>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</si>
  <si>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</si>
  <si>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</si>
  <si>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</si>
  <si>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</si>
  <si>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</si>
  <si>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</si>
  <si>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</si>
  <si>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</si>
  <si>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</si>
  <si>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</si>
  <si>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</si>
  <si>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</si>
  <si>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</si>
  <si>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</si>
  <si>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</si>
  <si>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</si>
  <si>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</si>
  <si>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</si>
  <si>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</si>
  <si>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</si>
  <si>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</si>
  <si>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</si>
  <si>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</si>
  <si>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</si>
  <si>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</si>
  <si>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</si>
  <si>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</si>
  <si>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</si>
  <si>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</si>
  <si>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</si>
  <si>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</si>
  <si>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</si>
  <si>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</si>
  <si>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</si>
  <si>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</si>
  <si>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</si>
  <si>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</si>
  <si>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</si>
  <si>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</si>
  <si>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</si>
  <si>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</si>
  <si>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</si>
  <si>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</si>
  <si>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</si>
  <si>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</si>
  <si>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</si>
  <si>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</si>
  <si>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</si>
  <si>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</si>
  <si>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</si>
  <si>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</si>
  <si>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</si>
  <si>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</si>
  <si>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</si>
  <si>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</si>
  <si>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</si>
  <si>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</si>
  <si>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</si>
  <si>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</si>
  <si>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</si>
  <si>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</si>
  <si>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</si>
  <si>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</si>
  <si>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</si>
  <si>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</si>
  <si>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</si>
  <si>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</si>
  <si>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</si>
  <si>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</si>
  <si>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</si>
  <si>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</si>
  <si>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</si>
  <si>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</si>
  <si>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</si>
  <si>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</si>
  <si>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</si>
  <si>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</si>
  <si>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</si>
  <si>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</si>
  <si>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</si>
  <si>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</si>
  <si>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</si>
  <si>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</si>
  <si>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</si>
  <si>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</si>
  <si>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</si>
  <si>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</si>
  <si>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</si>
  <si>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</si>
  <si>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</si>
  <si>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</si>
  <si>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</si>
  <si>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</si>
  <si>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</si>
  <si>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</si>
  <si>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</si>
  <si>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</si>
  <si>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</si>
  <si>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</si>
  <si>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</si>
  <si>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</si>
  <si>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</si>
  <si>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</si>
  <si>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</si>
  <si>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</si>
  <si>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</si>
  <si>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</si>
  <si>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</si>
  <si>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</si>
  <si>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</si>
  <si>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</si>
  <si>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</si>
  <si>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</si>
  <si>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</si>
  <si>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</si>
  <si>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</si>
  <si>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</si>
  <si>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</si>
  <si>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</si>
  <si>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</si>
  <si>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</si>
  <si>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</si>
  <si>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</si>
  <si>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</si>
  <si>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</si>
  <si>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</si>
  <si>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</si>
  <si>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</si>
  <si>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</si>
  <si>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</si>
  <si>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</si>
  <si>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</si>
  <si>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</si>
  <si>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</si>
  <si>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</si>
  <si>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</si>
  <si>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</si>
  <si>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</si>
  <si>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</si>
  <si>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</si>
  <si>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</si>
  <si>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</si>
  <si>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</si>
  <si>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</si>
  <si>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</si>
  <si>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</si>
  <si>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</si>
  <si>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</si>
  <si>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</si>
  <si>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</si>
  <si>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</si>
  <si>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</si>
  <si>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</si>
  <si>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</si>
  <si>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</si>
  <si>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</si>
  <si>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</si>
  <si>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</si>
  <si>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</si>
  <si>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</si>
  <si>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</si>
  <si>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</si>
  <si>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</si>
  <si>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</si>
  <si>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</si>
  <si>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</si>
  <si>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</si>
  <si>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</si>
  <si>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</si>
  <si>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</si>
  <si>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</si>
  <si>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</si>
  <si>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</si>
  <si>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</si>
  <si>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</si>
  <si>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</si>
  <si>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</si>
  <si>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</si>
  <si>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</si>
  <si>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</si>
  <si>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</si>
  <si>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</si>
  <si>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</si>
  <si>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</si>
  <si>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</si>
  <si>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</si>
  <si>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</si>
  <si>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</si>
  <si>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</si>
  <si>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</si>
  <si>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</si>
  <si>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</si>
  <si>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</si>
  <si>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</si>
  <si>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</si>
  <si>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</si>
  <si>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</si>
  <si>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</si>
  <si>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</si>
  <si>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</si>
  <si>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</si>
  <si>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</si>
  <si>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</si>
  <si>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</si>
  <si>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</si>
  <si>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</si>
  <si>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</si>
  <si>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</si>
  <si>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</si>
  <si>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</si>
  <si>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</si>
  <si>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</si>
  <si>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</si>
  <si>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</si>
  <si>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</si>
  <si>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</si>
  <si>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</si>
  <si>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</si>
  <si>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</si>
  <si>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</si>
  <si>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</si>
  <si>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</si>
  <si>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</si>
  <si>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</si>
  <si>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</si>
  <si>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</si>
  <si>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</si>
  <si>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</si>
  <si>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</si>
  <si>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</si>
  <si>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</si>
  <si>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</si>
  <si>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</si>
  <si>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</si>
  <si>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</si>
  <si>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</si>
  <si>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</si>
  <si>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</si>
  <si>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</si>
  <si>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</si>
  <si>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</si>
  <si>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</si>
  <si>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</si>
  <si>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</si>
  <si>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</si>
  <si>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</si>
  <si>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</si>
  <si>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</si>
  <si>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</si>
  <si>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</si>
  <si>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</si>
  <si>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</si>
  <si>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</si>
  <si>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</si>
  <si>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</si>
  <si>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</si>
  <si>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</si>
  <si>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</si>
  <si>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</si>
  <si>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</si>
  <si>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</si>
  <si>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</si>
  <si>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</si>
  <si>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</si>
  <si>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</si>
  <si>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</si>
  <si>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</si>
  <si>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</si>
  <si>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</si>
  <si>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</si>
  <si>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</si>
  <si>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</si>
  <si>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</si>
  <si>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</si>
  <si>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</si>
  <si>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</si>
  <si>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</si>
  <si>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</si>
  <si>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</si>
  <si>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</si>
  <si>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</si>
  <si>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</si>
  <si>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</si>
  <si>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</si>
  <si>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</si>
  <si>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</si>
  <si>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</si>
  <si>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</si>
  <si>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</si>
  <si>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</si>
  <si>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</si>
  <si>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</si>
  <si>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</si>
  <si>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</si>
  <si>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</si>
  <si>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</si>
  <si>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</si>
  <si>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</si>
  <si>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</si>
  <si>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</si>
  <si>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</si>
  <si>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</si>
  <si>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</si>
  <si>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</si>
  <si>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</si>
  <si>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</si>
  <si>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</si>
  <si>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</si>
  <si>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</si>
  <si>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</si>
  <si>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</si>
  <si>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</si>
  <si>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</si>
  <si>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</si>
  <si>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</si>
  <si>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</si>
  <si>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</si>
  <si>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</si>
  <si>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</si>
  <si>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</si>
  <si>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</si>
  <si>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</si>
  <si>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</si>
  <si>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</si>
  <si>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</si>
  <si>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</si>
  <si>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</si>
  <si>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</si>
  <si>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</si>
  <si>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</si>
  <si>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</si>
  <si>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</si>
  <si>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</si>
  <si>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</si>
  <si>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</si>
  <si>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</si>
  <si>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</si>
  <si>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</si>
  <si>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</si>
  <si>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</si>
  <si>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</si>
  <si>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</si>
  <si>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</si>
  <si>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</si>
  <si>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</si>
  <si>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</si>
  <si>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</si>
  <si>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</si>
  <si>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</si>
  <si>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</si>
  <si>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</si>
  <si>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</si>
  <si>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</si>
  <si>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</si>
  <si>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</si>
  <si>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</si>
  <si>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</si>
  <si>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</si>
  <si>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</si>
  <si>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</si>
  <si>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</si>
  <si>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</si>
  <si>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</si>
  <si>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</si>
  <si>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</si>
  <si>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</si>
  <si>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</si>
  <si>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</si>
  <si>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</si>
  <si>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</si>
  <si>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</si>
  <si>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</si>
  <si>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</si>
  <si>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</si>
  <si>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</si>
  <si>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</si>
  <si>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</si>
  <si>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</si>
  <si>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</si>
  <si>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</si>
  <si>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</si>
  <si>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</si>
  <si>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</si>
  <si>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</si>
  <si>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</si>
  <si>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</si>
  <si>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</si>
  <si>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</si>
  <si>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</si>
  <si>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</si>
  <si>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</si>
  <si>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</si>
  <si>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</si>
  <si>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</si>
  <si>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</si>
  <si>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</si>
  <si>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</si>
  <si>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</si>
  <si>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</si>
  <si>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</si>
  <si>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</si>
  <si>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</si>
  <si>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</si>
  <si>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</si>
  <si>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</si>
  <si>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</si>
  <si>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</si>
  <si>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</si>
  <si>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</si>
  <si>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</si>
  <si>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</si>
  <si>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</si>
  <si>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</si>
  <si>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</si>
  <si>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</si>
  <si>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</si>
  <si>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</si>
  <si>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</si>
  <si>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</si>
  <si>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</si>
  <si>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</si>
  <si>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</si>
  <si>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</si>
  <si>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</si>
  <si>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</si>
  <si>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</si>
  <si>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</si>
  <si>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</si>
  <si>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</si>
  <si>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</si>
  <si>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</si>
  <si>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</si>
  <si>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</si>
  <si>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</si>
  <si>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</si>
  <si>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</si>
  <si>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</si>
  <si>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</si>
  <si>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</si>
  <si>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</si>
  <si>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</si>
  <si>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</si>
  <si>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</si>
  <si>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</si>
  <si>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</si>
  <si>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</si>
  <si>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</si>
  <si>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</si>
  <si>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</si>
  <si>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</si>
  <si>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</si>
  <si>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</si>
  <si>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</si>
  <si>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</si>
  <si>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</si>
  <si>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</si>
  <si>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</si>
  <si>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</si>
  <si>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</si>
  <si>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</si>
  <si>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</si>
  <si>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</si>
  <si>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</si>
  <si>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</si>
  <si>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</si>
  <si>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</si>
  <si>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</si>
  <si>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</si>
  <si>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</si>
  <si>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</si>
  <si>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</si>
  <si>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</si>
  <si>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</si>
  <si>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</si>
  <si>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</si>
  <si>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</si>
  <si>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</si>
  <si>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</si>
  <si>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</si>
  <si>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</si>
  <si>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</si>
  <si>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</si>
  <si>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</si>
  <si>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</si>
  <si>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</si>
  <si>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</si>
  <si>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</si>
  <si>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</si>
  <si>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</si>
  <si>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</si>
  <si>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</si>
  <si>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</si>
  <si>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</si>
  <si>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</si>
  <si>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</si>
  <si>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</si>
  <si>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</si>
  <si>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</si>
  <si>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</si>
  <si>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</si>
  <si>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</si>
  <si>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</si>
  <si>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</si>
  <si>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</si>
  <si>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</si>
  <si>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</si>
  <si>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</si>
  <si>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</si>
  <si>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</si>
  <si>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</si>
  <si>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</si>
  <si>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</si>
  <si>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</si>
  <si>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</si>
  <si>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</si>
  <si>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</si>
  <si>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</si>
  <si>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</si>
  <si>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</si>
  <si>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</si>
  <si>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</si>
  <si>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</si>
  <si>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</si>
  <si>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</si>
  <si>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</si>
  <si>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</si>
  <si>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</si>
  <si>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</si>
  <si>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</si>
  <si>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</si>
  <si>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</si>
  <si>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</si>
  <si>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</si>
  <si>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</si>
  <si>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</si>
  <si>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</si>
  <si>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</si>
  <si>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</si>
  <si>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</si>
  <si>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</si>
  <si>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</si>
  <si>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</si>
  <si>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</si>
  <si>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</si>
  <si>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</si>
  <si>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</si>
  <si>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</si>
  <si>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</si>
  <si>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</si>
  <si>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</si>
  <si>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</si>
  <si>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</si>
  <si>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</si>
  <si>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</si>
  <si>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</si>
  <si>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</si>
  <si>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</si>
  <si>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</si>
  <si>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</si>
  <si>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</si>
  <si>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</si>
  <si>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</si>
  <si>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</si>
  <si>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</si>
  <si>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</si>
  <si>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</si>
  <si>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</si>
  <si>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</si>
  <si>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</si>
  <si>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</si>
  <si>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</si>
  <si>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</si>
  <si>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</si>
  <si>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</si>
  <si>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</si>
  <si>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</si>
  <si>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</si>
  <si>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</si>
  <si>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</si>
  <si>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</si>
  <si>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</si>
  <si>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</si>
  <si>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</si>
  <si>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</si>
  <si>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</si>
  <si>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</si>
  <si>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</si>
  <si>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</si>
  <si>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</si>
  <si>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</si>
  <si>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</si>
  <si>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</si>
  <si>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</si>
  <si>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</si>
  <si>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</si>
  <si>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</si>
  <si>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</si>
  <si>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</si>
  <si>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</si>
  <si>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</si>
  <si>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</si>
  <si>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</si>
  <si>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</si>
  <si>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</si>
  <si>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</si>
  <si>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</si>
  <si>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</si>
  <si>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</si>
  <si>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</si>
  <si>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</si>
  <si>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</si>
  <si>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</si>
  <si>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</si>
  <si>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</si>
  <si>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</si>
  <si>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</si>
  <si>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</si>
  <si>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</si>
  <si>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</si>
  <si>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</si>
  <si>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</si>
  <si>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</si>
  <si>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</si>
  <si>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</si>
  <si>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</si>
  <si>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</si>
  <si>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</si>
  <si>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</si>
  <si>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</si>
  <si>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</si>
  <si>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</si>
  <si>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</si>
  <si>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</si>
  <si>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</si>
  <si>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</si>
  <si>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</si>
  <si>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</si>
  <si>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</si>
  <si>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</si>
  <si>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</si>
  <si>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</si>
  <si>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</si>
  <si>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</si>
  <si>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</si>
  <si>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</si>
  <si>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</si>
  <si>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</si>
  <si>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</si>
  <si>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</si>
  <si>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</si>
  <si>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</si>
  <si>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</si>
  <si>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</si>
  <si>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</si>
  <si>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</si>
  <si>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</si>
  <si>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</si>
  <si>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</si>
  <si>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</si>
  <si>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</si>
  <si>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</si>
  <si>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</si>
  <si>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</si>
  <si>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</si>
  <si>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</si>
  <si>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</si>
  <si>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</si>
  <si>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</si>
  <si>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</si>
  <si>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</si>
  <si>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</si>
  <si>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</si>
  <si>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</si>
  <si>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</si>
  <si>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</si>
  <si>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</si>
  <si>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</si>
  <si>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</si>
  <si>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</si>
  <si>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</si>
  <si>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</si>
  <si>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</si>
  <si>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</si>
  <si>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</si>
  <si>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</si>
  <si>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</si>
  <si>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</si>
  <si>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</si>
  <si>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</si>
  <si>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</si>
  <si>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</si>
  <si>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</si>
  <si>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</si>
  <si>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</si>
  <si>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</si>
  <si>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</si>
  <si>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</si>
  <si>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</si>
  <si>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</si>
  <si>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</si>
  <si>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</si>
  <si>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</si>
  <si>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</si>
  <si>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</si>
  <si>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</si>
  <si>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</si>
  <si>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</si>
  <si>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</si>
  <si>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</si>
  <si>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</si>
  <si>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</si>
  <si>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</si>
  <si>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</si>
  <si>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</si>
  <si>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</si>
  <si>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</si>
  <si>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</si>
  <si>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</si>
  <si>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</si>
  <si>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</si>
  <si>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</si>
  <si>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</si>
  <si>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</si>
  <si>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</si>
  <si>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</si>
  <si>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</si>
  <si>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</si>
  <si>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</si>
  <si>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</si>
  <si>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</si>
  <si>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</si>
  <si>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</si>
  <si>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</si>
  <si>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</si>
  <si>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</si>
  <si>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</si>
  <si>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</si>
  <si>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</si>
  <si>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</si>
  <si>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</si>
  <si>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</si>
  <si>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</si>
  <si>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</si>
  <si>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</si>
  <si>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</si>
  <si>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</si>
  <si>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</si>
  <si>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</si>
  <si>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</si>
  <si>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</si>
  <si>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</si>
  <si>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</si>
  <si>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</si>
  <si>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</si>
  <si>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</si>
  <si>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</si>
  <si>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</si>
  <si>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</si>
  <si>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</si>
  <si>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</si>
  <si>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</si>
  <si>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</si>
  <si>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</si>
  <si>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</si>
  <si>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</si>
  <si>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</si>
  <si>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</si>
  <si>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</si>
  <si>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</si>
  <si>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</si>
  <si>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</si>
  <si>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</si>
  <si>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</si>
  <si>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</si>
  <si>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</si>
  <si>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</si>
  <si>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</si>
  <si>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</si>
  <si>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</si>
  <si>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</si>
  <si>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</si>
  <si>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</si>
  <si>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</si>
  <si>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</si>
  <si>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</si>
  <si>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</si>
  <si>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</si>
  <si>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</si>
  <si>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</si>
  <si>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</si>
  <si>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</si>
  <si>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</si>
  <si>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</si>
  <si>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</si>
  <si>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</si>
  <si>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</si>
  <si>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</si>
  <si>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</si>
  <si>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</si>
  <si>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</si>
  <si>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</si>
  <si>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</si>
  <si>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</si>
  <si>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</si>
  <si>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</si>
  <si>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</si>
  <si>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</si>
  <si>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</si>
  <si>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</si>
  <si>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</si>
  <si>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</si>
  <si>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</si>
  <si>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</si>
  <si>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</si>
  <si>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</si>
  <si>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</si>
  <si>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</si>
  <si>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</si>
  <si>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</si>
  <si>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</si>
  <si>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</si>
  <si>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</si>
  <si>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</si>
  <si>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</si>
  <si>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</si>
  <si>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</si>
  <si>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</si>
  <si>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</si>
  <si>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</si>
  <si>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</si>
  <si>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</si>
  <si>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</si>
  <si>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</si>
  <si>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</si>
  <si>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</si>
  <si>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</si>
  <si>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</si>
  <si>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</si>
  <si>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</si>
  <si>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</si>
  <si>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</si>
  <si>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</si>
  <si>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</si>
  <si>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</si>
  <si>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</si>
  <si>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</si>
  <si>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</si>
  <si>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</si>
  <si>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</si>
  <si>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</si>
  <si>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</si>
  <si>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</si>
  <si>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</si>
  <si>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</si>
  <si>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</si>
  <si>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</si>
  <si>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</si>
  <si>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</si>
  <si>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</si>
  <si>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</si>
  <si>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</si>
  <si>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</si>
  <si>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</si>
  <si>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</si>
  <si>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</si>
  <si>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</si>
  <si>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</si>
  <si>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</si>
  <si>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</si>
  <si>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</si>
  <si>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</si>
  <si>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</si>
  <si>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</si>
  <si>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</si>
  <si>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</si>
  <si>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</si>
  <si>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</si>
  <si>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</si>
  <si>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</si>
  <si>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</si>
  <si>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</si>
  <si>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</si>
  <si>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</si>
  <si>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</si>
  <si>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</si>
  <si>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</si>
  <si>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</si>
  <si>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</si>
  <si>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</si>
  <si>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</si>
  <si>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</si>
  <si>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</si>
  <si>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</si>
  <si>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</si>
  <si>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</si>
  <si>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</si>
  <si>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</si>
  <si>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</si>
  <si>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</si>
  <si>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</si>
  <si>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</si>
  <si>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</si>
  <si>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</si>
  <si>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</si>
  <si>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</si>
  <si>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</si>
  <si>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</si>
  <si>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</si>
  <si>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</si>
  <si>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</si>
  <si>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</si>
  <si>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</si>
  <si>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</si>
  <si>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</si>
  <si>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</si>
  <si>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</si>
  <si>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</si>
  <si>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</si>
  <si>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</si>
  <si>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</si>
  <si>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</si>
  <si>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</si>
  <si>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</si>
  <si>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</si>
  <si>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</si>
  <si>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</si>
  <si>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</si>
  <si>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</si>
  <si>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</si>
  <si>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</si>
  <si>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</si>
  <si>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</si>
  <si>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</si>
  <si>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</si>
  <si>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</si>
  <si>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</si>
  <si>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</si>
  <si>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</si>
  <si>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</si>
  <si>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</si>
  <si>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</si>
  <si>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</si>
  <si>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</si>
  <si>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</si>
  <si>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</si>
  <si>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</si>
  <si>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</si>
  <si>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</si>
  <si>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</si>
  <si>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</si>
  <si>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</si>
  <si>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</si>
  <si>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</si>
  <si>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</si>
  <si>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</si>
  <si>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</si>
  <si>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</si>
  <si>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</si>
  <si>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</si>
  <si>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</si>
  <si>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</si>
  <si>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</si>
  <si>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</si>
  <si>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</si>
  <si>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</si>
  <si>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</si>
  <si>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</si>
  <si>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</si>
  <si>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</si>
  <si>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</si>
  <si>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</si>
  <si>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</si>
  <si>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</si>
  <si>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</si>
  <si>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</si>
  <si>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</si>
  <si>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</si>
  <si>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</si>
  <si>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</si>
  <si>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</si>
  <si>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</si>
  <si>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</si>
  <si>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</si>
  <si>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</si>
  <si>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</si>
  <si>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</si>
  <si>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</si>
  <si>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</si>
  <si>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</si>
  <si>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</si>
  <si>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</si>
  <si>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</si>
  <si>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</si>
  <si>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</si>
  <si>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</si>
  <si>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</si>
  <si>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</si>
  <si>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</si>
  <si>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</si>
  <si>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</si>
  <si>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</si>
  <si>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</si>
  <si>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</si>
  <si>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</si>
  <si>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</si>
  <si>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</si>
  <si>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various</t>
  </si>
  <si>
    <t>2/00 - 6/19</t>
  </si>
  <si>
    <t>04/41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</si>
</sst>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43" activePane="bottomRight" state="frozen"/>
      <selection pane="topRight" activeCell="F1" sqref="F1"/>
      <selection pane="bottomLeft" activeCell="A4" sqref="A4"/>
      <selection pane="bottomRight"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973</v>
      </c>
      <c r="B2" s="21">
        <v>111</v>
      </c>
      <c r="C2" s="21">
        <v>111</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5967995.9100000001</v>
      </c>
      <c r="G9" s="18">
        <v>95537.43</v>
      </c>
      <c r="H9" s="18">
        <v>-200340.99</v>
      </c>
      <c r="I9" s="18">
        <v>191166.04</v>
      </c>
      <c r="J9" s="67">
        <f>SUM(I440)</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v>1139081.3700000001</v>
      </c>
      <c r="J10" s="67">
        <f>SUM(I441)</f>
        <v>11281940.310000001</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122671155.8</v>
      </c>
      <c r="G12" s="18">
        <v>6884017.4800000004</v>
      </c>
      <c r="H12" s="18">
        <v>50691567</v>
      </c>
      <c r="I12" s="18">
        <v>67576312.769999996</v>
      </c>
      <c r="J12" s="67">
        <f>SUM(I442)</f>
        <v>-1703884.8</v>
      </c>
      <c r="K12" s="24" t="s">
        <v>288</v>
      </c>
      <c r="L12" s="24" t="s">
        <v>288</v>
      </c>
      <c r="M12" s="8"/>
      <c r="N12" s="266"/>
    </row>
    <row r="13" spans="1:14" s="3" customFormat="1" ht="12.2" customHeight="1" x14ac:dyDescent="0.15">
      <c r="A13" s="1" t="s">
        <v>604</v>
      </c>
      <c r="B13" s="2" t="s">
        <v>289</v>
      </c>
      <c r="C13" s="6">
        <v>5</v>
      </c>
      <c r="D13" s="2" t="s">
        <v>428</v>
      </c>
      <c r="E13" s="6">
        <v>140</v>
      </c>
      <c r="F13" s="18"/>
      <c r="G13" s="18"/>
      <c r="H13" s="18"/>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v>460999.72</v>
      </c>
      <c r="G14" s="18">
        <v>48.75</v>
      </c>
      <c r="H14" s="18">
        <v>1364941.98</v>
      </c>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v>279.8</v>
      </c>
      <c r="G16" s="18">
        <v>67101.539999999994</v>
      </c>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v>118700</v>
      </c>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129219131.22999999</v>
      </c>
      <c r="G19" s="41">
        <f>SUM(G9:G18)</f>
        <v>7046705.2000000002</v>
      </c>
      <c r="H19" s="41">
        <f>SUM(H9:H18)</f>
        <v>51856167.989999995</v>
      </c>
      <c r="I19" s="41">
        <f>SUM(I9:I18)</f>
        <v>68906560.179999992</v>
      </c>
      <c r="J19" s="41">
        <f>SUM(J9:J18)</f>
        <v>9578055.5099999998</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v>123734496.61</v>
      </c>
      <c r="G22" s="18">
        <v>6938113.75</v>
      </c>
      <c r="H22" s="18">
        <v>51541765.399999999</v>
      </c>
      <c r="I22" s="18">
        <v>67770155.340000004</v>
      </c>
      <c r="J22" s="67">
        <f>SUM(I449)</f>
        <v>-3865582.82</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0</v>
      </c>
      <c r="G24" s="18"/>
      <c r="H24" s="18">
        <v>0</v>
      </c>
      <c r="I24" s="18">
        <v>0</v>
      </c>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123581.32</v>
      </c>
      <c r="G28" s="18">
        <v>143</v>
      </c>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v>2151387.4900000002</v>
      </c>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v>54405.62</v>
      </c>
      <c r="G30" s="18">
        <v>63533.9</v>
      </c>
      <c r="H30" s="18">
        <v>0</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v>48.75</v>
      </c>
      <c r="G31" s="18"/>
      <c r="H31" s="18">
        <v>0</v>
      </c>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126063919.78999999</v>
      </c>
      <c r="G32" s="41">
        <f>SUM(G22:G31)</f>
        <v>7001790.6500000004</v>
      </c>
      <c r="H32" s="41">
        <f>SUM(H22:H31)</f>
        <v>51541765.399999999</v>
      </c>
      <c r="I32" s="41">
        <f>SUM(I22:I31)</f>
        <v>67770155.340000004</v>
      </c>
      <c r="J32" s="41">
        <f>SUM(J22:J31)</f>
        <v>-3865582.82</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v>1051606.3899999999</v>
      </c>
      <c r="G45" s="18">
        <v>5644.92</v>
      </c>
      <c r="H45" s="18">
        <v>160095.51</v>
      </c>
      <c r="I45" s="18">
        <v>107000</v>
      </c>
      <c r="J45" s="13">
        <f>I456</f>
        <v>21450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v>279.8</v>
      </c>
      <c r="G48" s="18">
        <v>39269.629999999997</v>
      </c>
      <c r="H48" s="18">
        <f>381636.3-34054570.8+35549996.35-1722754.77</f>
        <v>154307.08000000147</v>
      </c>
      <c r="I48" s="18">
        <f>7968786.15+192035383.74-198555611.78-419153.27</f>
        <v>1029404.8400000143</v>
      </c>
      <c r="J48" s="13">
        <f>SUM(I460)</f>
        <v>13422188.33</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f>5080079.59-2976754.34</f>
        <v>2103325.25</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3155211.44</v>
      </c>
      <c r="G51" s="41">
        <f>SUM(G35:G50)</f>
        <v>44914.549999999996</v>
      </c>
      <c r="H51" s="41">
        <f>SUM(H35:H50)</f>
        <v>314402.59000000148</v>
      </c>
      <c r="I51" s="41">
        <f>SUM(I35:I50)</f>
        <v>1136404.8400000143</v>
      </c>
      <c r="J51" s="41">
        <f>SUM(J35:J50)</f>
        <v>13443638.33</v>
      </c>
      <c r="K51" s="45" t="s">
        <v>288</v>
      </c>
      <c r="L51" s="45" t="s">
        <v>288</v>
      </c>
      <c r="N51" s="264"/>
    </row>
    <row r="52" spans="1:14" s="3" customFormat="1" ht="12.2" customHeight="1" thickTop="1" x14ac:dyDescent="0.15">
      <c r="A52" s="38" t="s">
        <v>455</v>
      </c>
      <c r="B52" s="39" t="s">
        <v>289</v>
      </c>
      <c r="C52" s="6">
        <v>37</v>
      </c>
      <c r="D52" s="39" t="s">
        <v>653</v>
      </c>
      <c r="E52" s="39"/>
      <c r="F52" s="41">
        <f>F51+F32</f>
        <v>129219131.22999999</v>
      </c>
      <c r="G52" s="41">
        <f>G51+G32</f>
        <v>7046705.2000000002</v>
      </c>
      <c r="H52" s="41">
        <f>H51+H32</f>
        <v>51856167.990000002</v>
      </c>
      <c r="I52" s="41">
        <f>I51+I32</f>
        <v>68906560.180000022</v>
      </c>
      <c r="J52" s="41">
        <f>J51+J32</f>
        <v>9578055.5099999998</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52390627</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v>101185.73</v>
      </c>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52491812.729999997</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f>145028.66-2390.83+72933</f>
        <v>215570.83000000002</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f>10920</f>
        <v>10920</v>
      </c>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f>535</f>
        <v>535</v>
      </c>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v>2117832.21</v>
      </c>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f>868242.93+37235.25</f>
        <v>905478.18</v>
      </c>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f>845760.24</f>
        <v>845760.24</v>
      </c>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4096096.46</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f>7015</f>
        <v>7015</v>
      </c>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f>37475.62</f>
        <v>37475.620000000003</v>
      </c>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f>113318.56</f>
        <v>113318.56</v>
      </c>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157809.18</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f>33362.64</f>
        <v>33362.639999999999</v>
      </c>
      <c r="G96" s="18">
        <f>39.96</f>
        <v>39.96</v>
      </c>
      <c r="H96" s="18"/>
      <c r="I96" s="18">
        <f>9709.38</f>
        <v>9709.3799999999992</v>
      </c>
      <c r="J96" s="18">
        <f>111222.07+2412.95</f>
        <v>113635.02</v>
      </c>
      <c r="K96" s="24" t="s">
        <v>288</v>
      </c>
      <c r="L96" s="24" t="s">
        <v>288</v>
      </c>
      <c r="M96" s="8"/>
      <c r="N96" s="266"/>
    </row>
    <row r="97" spans="1:14" s="3" customFormat="1" ht="12.2" customHeight="1" x14ac:dyDescent="0.15">
      <c r="A97" s="1" t="s">
        <v>503</v>
      </c>
      <c r="B97" s="2" t="s">
        <v>315</v>
      </c>
      <c r="C97" s="6">
        <v>12</v>
      </c>
      <c r="D97" s="2" t="s">
        <v>430</v>
      </c>
      <c r="E97" s="6">
        <v>1600</v>
      </c>
      <c r="F97" s="24" t="s">
        <v>288</v>
      </c>
      <c r="G97" s="18">
        <f>346400.85+23174.05+26704.81+208466.54+19148.32</f>
        <v>623894.56999999995</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f>15874+81702.68</f>
        <v>97576.68</v>
      </c>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f>144220.5</f>
        <v>144220.5</v>
      </c>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f>145748.5</f>
        <v>145748.5</v>
      </c>
      <c r="I102" s="18"/>
      <c r="J102" s="18">
        <f>46595.56</f>
        <v>46595.56</v>
      </c>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f>5564.8</f>
        <v>5564.8</v>
      </c>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f>82513.01+1112.63</f>
        <v>83625.64</v>
      </c>
      <c r="G110" s="18">
        <f>3140.09</f>
        <v>3140.09</v>
      </c>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364350.26</v>
      </c>
      <c r="G111" s="41">
        <f>SUM(G96:G110)</f>
        <v>627074.61999999988</v>
      </c>
      <c r="H111" s="41">
        <f>SUM(H96:H110)</f>
        <v>145748.5</v>
      </c>
      <c r="I111" s="41">
        <f>SUM(I96:I110)</f>
        <v>9709.3799999999992</v>
      </c>
      <c r="J111" s="41">
        <f>SUM(J96:J110)</f>
        <v>160230.58000000002</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57110068.629999995</v>
      </c>
      <c r="G112" s="41">
        <f>G60+G111</f>
        <v>627074.61999999988</v>
      </c>
      <c r="H112" s="41">
        <f>H60+H79+H94+H111</f>
        <v>145748.5</v>
      </c>
      <c r="I112" s="41">
        <f>I60+I111</f>
        <v>9709.3799999999992</v>
      </c>
      <c r="J112" s="41">
        <f>J60+J111</f>
        <v>160230.58000000002</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f>14416412.97</f>
        <v>14416412.970000001</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f>7730534</f>
        <v>7730534</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f>40820.66</f>
        <v>40820.660000000003</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22187767.629999999</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f>932752.75</f>
        <v>932752.75</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v>0</v>
      </c>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f>282424.67</f>
        <v>282424.67</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f>1395253.64+117293.01</f>
        <v>1512546.65</v>
      </c>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f>745.6-745.6</f>
        <v>0</v>
      </c>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f>44474.83</f>
        <v>44474.83</v>
      </c>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f>28083.52</f>
        <v>28083.52</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f>1000000</f>
        <v>1000000</v>
      </c>
      <c r="G135" s="18"/>
      <c r="H135" s="18">
        <f>145310.55</f>
        <v>145310.54999999999</v>
      </c>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3727724.07</v>
      </c>
      <c r="G136" s="41">
        <f>SUM(G123:G135)</f>
        <v>28083.52</v>
      </c>
      <c r="H136" s="41">
        <f>SUM(H123:H135)</f>
        <v>189785.38</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25915491.699999999</v>
      </c>
      <c r="G140" s="41">
        <f>G121+SUM(G136:G137)</f>
        <v>28083.52</v>
      </c>
      <c r="H140" s="41">
        <f>H121+SUM(H136:H139)</f>
        <v>189785.38</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f>804621.38</f>
        <v>804621.38</v>
      </c>
      <c r="G145" s="18"/>
      <c r="H145" s="18">
        <f>42150</f>
        <v>42150</v>
      </c>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804621.38</v>
      </c>
      <c r="G147" s="41">
        <f>SUM(G145:G146)</f>
        <v>0</v>
      </c>
      <c r="H147" s="41">
        <f>SUM(H145:H146)</f>
        <v>42150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f>1098736.01</f>
        <v>1098736.01</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f>896437.13</f>
        <v>896437.13</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f>519326.58-152746.21</f>
        <v>366580.37</v>
      </c>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f>789010.77+50530.96</f>
        <v>839541.73</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f>1901482.51</f>
        <v>1901482.51</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f>164979.09</f>
        <v>164979.09</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f>16211.52</f>
        <v>16211.52</v>
      </c>
      <c r="G161" s="18"/>
      <c r="H161" s="18"/>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v>152746.21</v>
      </c>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181190.61</v>
      </c>
      <c r="G163" s="41">
        <f>SUM(G150:G162)</f>
        <v>839541.73</v>
      </c>
      <c r="H163" s="41">
        <f>SUM(H150:H162)</f>
        <v>4415982.2300000004</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985811.99</v>
      </c>
      <c r="G170" s="41">
        <f>G147+G163+SUM(G164:G169)</f>
        <v>839541.73</v>
      </c>
      <c r="H170" s="41">
        <f>H147+H163+SUM(H164:H169)</f>
        <v>4458132.2300000004</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v>125071.07</v>
      </c>
      <c r="H180" s="18"/>
      <c r="I180" s="18"/>
      <c r="J180" s="18">
        <f>4556125.36+273902.19</f>
        <v>4830027.5500000007</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v>93747.45</v>
      </c>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93747.45</v>
      </c>
      <c r="G184" s="41">
        <f>SUM(G180:G183)</f>
        <v>125071.07</v>
      </c>
      <c r="H184" s="41">
        <f>SUM(H180:H183)</f>
        <v>0</v>
      </c>
      <c r="I184" s="41">
        <f>SUM(I180:I183)</f>
        <v>0</v>
      </c>
      <c r="J184" s="41">
        <f>SUM(J180:J183)</f>
        <v>4830027.5500000007</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f>91401.67</f>
        <v>91401.67</v>
      </c>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91401.67</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93747.45</v>
      </c>
      <c r="G193" s="41">
        <f>G184+SUM(G189:G192)</f>
        <v>125071.07</v>
      </c>
      <c r="H193" s="41">
        <f>+H184+SUM(H189:H192)</f>
        <v>0</v>
      </c>
      <c r="I193" s="41">
        <f>I178+I184+SUM(I189:I192)</f>
        <v>91401.67</v>
      </c>
      <c r="J193" s="41">
        <f>J184</f>
        <v>4830027.5500000007</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84105119.769999996</v>
      </c>
      <c r="G194" s="47">
        <f>G112+G140+G170+G193</f>
        <v>1619770.94</v>
      </c>
      <c r="H194" s="47">
        <f>H112+H140+H170+H193</f>
        <v>4793666.1100000003</v>
      </c>
      <c r="I194" s="47">
        <f>I112+I140+I170+I193</f>
        <v>101111.05</v>
      </c>
      <c r="J194" s="47">
        <f>J112+J140+J193</f>
        <v>4990258.1300000008</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f>8433560.95+11301.99+272428.86</f>
        <v>8717291.7999999989</v>
      </c>
      <c r="G198" s="18">
        <f>3838081.3+1011.11+152941.58</f>
        <v>3992033.9899999998</v>
      </c>
      <c r="H198" s="18">
        <f>74374.06+600.12</f>
        <v>74974.179999999993</v>
      </c>
      <c r="I198" s="18">
        <f>335410.76</f>
        <v>335410.76</v>
      </c>
      <c r="J198" s="18">
        <f>93789.65</f>
        <v>93789.65</v>
      </c>
      <c r="K198" s="18">
        <f>4312</f>
        <v>4312</v>
      </c>
      <c r="L198" s="19">
        <f>SUM(F198:K198)</f>
        <v>13217812.379999999</v>
      </c>
      <c r="M198" s="8"/>
      <c r="N198" s="266"/>
    </row>
    <row r="199" spans="1:14" s="3" customFormat="1" ht="12.2" customHeight="1" x14ac:dyDescent="0.15">
      <c r="A199" s="1" t="s">
        <v>439</v>
      </c>
      <c r="B199" s="2" t="s">
        <v>341</v>
      </c>
      <c r="C199" s="2" t="s">
        <v>291</v>
      </c>
      <c r="D199" s="2" t="s">
        <v>431</v>
      </c>
      <c r="E199" s="6">
        <v>1200</v>
      </c>
      <c r="F199" s="18">
        <f>2237515.41+1209455.23+321374.58+1780.32</f>
        <v>3770125.54</v>
      </c>
      <c r="G199" s="18">
        <f>656517.32+449914.25+104867.16+446.48+73473.92</f>
        <v>1285219.1299999997</v>
      </c>
      <c r="H199" s="18">
        <f>289485.43+433833.22+15110.46+79413.49</f>
        <v>817842.59999999986</v>
      </c>
      <c r="I199" s="18">
        <f>5097.09+4069.8+2393.24+8514.65</f>
        <v>20074.78</v>
      </c>
      <c r="J199" s="18">
        <f>11000+3817.29</f>
        <v>14817.29</v>
      </c>
      <c r="K199" s="18"/>
      <c r="L199" s="19">
        <f>SUM(F199:K199)</f>
        <v>5908079.3399999999</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f>18525+64913.1</f>
        <v>83438.100000000006</v>
      </c>
      <c r="G201" s="18">
        <f>3937.83+29742.8+336.73</f>
        <v>34017.360000000001</v>
      </c>
      <c r="H201" s="18"/>
      <c r="I201" s="18"/>
      <c r="J201" s="18"/>
      <c r="K201" s="18"/>
      <c r="L201" s="19">
        <f>SUM(F201:K201)</f>
        <v>117455.46</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f>395544.56+348345.98+169859.82+714932.01+268866.75+57682.74+124822.52</f>
        <v>2080054.3800000001</v>
      </c>
      <c r="G203" s="18">
        <f>168906.9+163058.59+81708.19+264608.01+107931.72+25585.04+37405.79+33740.09</f>
        <v>882944.33</v>
      </c>
      <c r="H203" s="18">
        <f>2135+121975.06+5868.29+32603.36</f>
        <v>162581.71</v>
      </c>
      <c r="I203" s="18">
        <f>822.07+5713.35+6805.2+3970.58+7901.01</f>
        <v>25212.21</v>
      </c>
      <c r="J203" s="18">
        <f>599+4690.35</f>
        <v>5289.35</v>
      </c>
      <c r="K203" s="18">
        <f>1289.1</f>
        <v>1289.0999999999999</v>
      </c>
      <c r="L203" s="19">
        <f t="shared" ref="L203:L209" si="0">SUM(F203:K203)</f>
        <v>3157371.08</v>
      </c>
      <c r="M203" s="8"/>
      <c r="N203" s="266"/>
    </row>
    <row r="204" spans="1:14" s="3" customFormat="1" ht="12.2" customHeight="1" x14ac:dyDescent="0.15">
      <c r="A204" s="1" t="s">
        <v>443</v>
      </c>
      <c r="B204" s="2" t="s">
        <v>341</v>
      </c>
      <c r="C204" s="2" t="s">
        <v>295</v>
      </c>
      <c r="D204" s="2" t="s">
        <v>431</v>
      </c>
      <c r="E204" s="6">
        <v>2200</v>
      </c>
      <c r="F204" s="18">
        <f>421127.13+102834.91+248117.36</f>
        <v>772079.4</v>
      </c>
      <c r="G204" s="18">
        <f>196367.71+34052.37+175872.46+9024.29</f>
        <v>415316.82999999996</v>
      </c>
      <c r="H204" s="18">
        <f>99.9+49128.71</f>
        <v>49228.61</v>
      </c>
      <c r="I204" s="18">
        <f>12935.97+406.01+3762.12+144002.05</f>
        <v>161106.15</v>
      </c>
      <c r="J204" s="18">
        <f>21548.98</f>
        <v>21548.98</v>
      </c>
      <c r="K204" s="18">
        <f>1829.82</f>
        <v>1829.82</v>
      </c>
      <c r="L204" s="19">
        <f t="shared" si="0"/>
        <v>1421109.79</v>
      </c>
      <c r="M204" s="8"/>
      <c r="N204" s="266"/>
    </row>
    <row r="205" spans="1:14" s="3" customFormat="1" ht="12.2" customHeight="1" x14ac:dyDescent="0.15">
      <c r="A205" s="1" t="s">
        <v>444</v>
      </c>
      <c r="B205" s="2" t="s">
        <v>341</v>
      </c>
      <c r="C205" s="2" t="s">
        <v>296</v>
      </c>
      <c r="D205" s="2" t="s">
        <v>431</v>
      </c>
      <c r="E205" s="6">
        <v>2300</v>
      </c>
      <c r="F205" s="18">
        <f>273963.02</f>
        <v>273963.02</v>
      </c>
      <c r="G205" s="18">
        <f>87015.7</f>
        <v>87015.7</v>
      </c>
      <c r="H205" s="18">
        <f>261410.5</f>
        <v>261410.5</v>
      </c>
      <c r="I205" s="18">
        <f>16451.88</f>
        <v>16451.88</v>
      </c>
      <c r="J205" s="18">
        <f>29915.71</f>
        <v>29915.71</v>
      </c>
      <c r="K205" s="18">
        <f>3879.97</f>
        <v>3879.97</v>
      </c>
      <c r="L205" s="19">
        <f t="shared" si="0"/>
        <v>672636.77999999991</v>
      </c>
      <c r="M205" s="8"/>
      <c r="N205" s="266"/>
    </row>
    <row r="206" spans="1:14" s="3" customFormat="1" ht="12.2" customHeight="1" x14ac:dyDescent="0.15">
      <c r="A206" s="1" t="s">
        <v>445</v>
      </c>
      <c r="B206" s="2" t="s">
        <v>341</v>
      </c>
      <c r="C206" s="2" t="s">
        <v>297</v>
      </c>
      <c r="D206" s="2" t="s">
        <v>431</v>
      </c>
      <c r="E206" s="6">
        <v>2400</v>
      </c>
      <c r="F206" s="18">
        <f>1348882.33+12289.2</f>
        <v>1361171.53</v>
      </c>
      <c r="G206" s="18">
        <f>559531.86+2466.4+14075.21</f>
        <v>576073.47</v>
      </c>
      <c r="H206" s="18">
        <f>17162.29</f>
        <v>17162.29</v>
      </c>
      <c r="I206" s="18">
        <f>2322.19</f>
        <v>2322.19</v>
      </c>
      <c r="J206" s="18"/>
      <c r="K206" s="18">
        <f>11400</f>
        <v>11400</v>
      </c>
      <c r="L206" s="19">
        <f t="shared" si="0"/>
        <v>1968129.48</v>
      </c>
      <c r="M206" s="8"/>
      <c r="N206" s="266"/>
    </row>
    <row r="207" spans="1:14" s="3" customFormat="1" ht="12.2" customHeight="1" x14ac:dyDescent="0.15">
      <c r="A207" s="1" t="s">
        <v>446</v>
      </c>
      <c r="B207" s="2" t="s">
        <v>341</v>
      </c>
      <c r="C207" s="2" t="s">
        <v>298</v>
      </c>
      <c r="D207" s="2" t="s">
        <v>431</v>
      </c>
      <c r="E207" s="6">
        <v>2500</v>
      </c>
      <c r="F207" s="18">
        <f>246914.5</f>
        <v>246914.5</v>
      </c>
      <c r="G207" s="18">
        <f>104530.96</f>
        <v>104530.96</v>
      </c>
      <c r="H207" s="18">
        <f>9335.54</f>
        <v>9335.5400000000009</v>
      </c>
      <c r="I207" s="18">
        <f>553.51</f>
        <v>553.51</v>
      </c>
      <c r="J207" s="18">
        <f>5457.84</f>
        <v>5457.84</v>
      </c>
      <c r="K207" s="18">
        <f>11556.94</f>
        <v>11556.94</v>
      </c>
      <c r="L207" s="19">
        <f t="shared" si="0"/>
        <v>378349.29000000004</v>
      </c>
      <c r="M207" s="8"/>
      <c r="N207" s="266"/>
    </row>
    <row r="208" spans="1:14" s="3" customFormat="1" ht="12.2" customHeight="1" x14ac:dyDescent="0.15">
      <c r="A208" s="1" t="s">
        <v>447</v>
      </c>
      <c r="B208" s="2" t="s">
        <v>341</v>
      </c>
      <c r="C208" s="2" t="s">
        <v>299</v>
      </c>
      <c r="D208" s="2" t="s">
        <v>431</v>
      </c>
      <c r="E208" s="6">
        <v>2600</v>
      </c>
      <c r="F208" s="18">
        <f>626149.54+176108.95</f>
        <v>802258.49</v>
      </c>
      <c r="G208" s="18">
        <f>269780.9+81010.01+11044.66</f>
        <v>361835.57</v>
      </c>
      <c r="H208" s="18">
        <f>3089.56+299601.62+48792.12+32610.45+128557.17</f>
        <v>512650.92</v>
      </c>
      <c r="I208" s="18">
        <f>66471.17+623406.72+28853.15</f>
        <v>718731.04</v>
      </c>
      <c r="J208" s="18">
        <f>67456.83+6621.26+79.98+20624.72</f>
        <v>94782.79</v>
      </c>
      <c r="K208" s="18">
        <f>356.26</f>
        <v>356.26</v>
      </c>
      <c r="L208" s="19">
        <f t="shared" si="0"/>
        <v>2490615.0699999998</v>
      </c>
      <c r="M208" s="8"/>
      <c r="N208" s="266"/>
    </row>
    <row r="209" spans="1:14" s="3" customFormat="1" ht="12.2" customHeight="1" x14ac:dyDescent="0.15">
      <c r="A209" s="1" t="s">
        <v>448</v>
      </c>
      <c r="B209" s="2" t="s">
        <v>341</v>
      </c>
      <c r="C209" s="2" t="s">
        <v>300</v>
      </c>
      <c r="D209" s="2" t="s">
        <v>431</v>
      </c>
      <c r="E209" s="6">
        <v>2700</v>
      </c>
      <c r="F209" s="18">
        <f>667468.92</f>
        <v>667468.92000000004</v>
      </c>
      <c r="G209" s="18">
        <f>231928.97</f>
        <v>231928.97</v>
      </c>
      <c r="H209" s="18">
        <f>250+696.92+12492.16+215481.47</f>
        <v>228920.55</v>
      </c>
      <c r="I209" s="18">
        <f>105528.26</f>
        <v>105528.26</v>
      </c>
      <c r="J209" s="18">
        <f>60037.27</f>
        <v>60037.27</v>
      </c>
      <c r="K209" s="18">
        <f>748.87</f>
        <v>748.87</v>
      </c>
      <c r="L209" s="19">
        <f t="shared" si="0"/>
        <v>1294632.8400000001</v>
      </c>
      <c r="M209" s="8"/>
      <c r="N209" s="266"/>
    </row>
    <row r="210" spans="1:14" s="3" customFormat="1" ht="12.2" customHeight="1" x14ac:dyDescent="0.15">
      <c r="A210" s="1" t="s">
        <v>449</v>
      </c>
      <c r="B210" s="2" t="s">
        <v>341</v>
      </c>
      <c r="C210" s="2" t="s">
        <v>343</v>
      </c>
      <c r="D210" s="2" t="s">
        <v>431</v>
      </c>
      <c r="E210" s="6">
        <v>2800</v>
      </c>
      <c r="F210" s="18">
        <f>157575.74</f>
        <v>157575.74</v>
      </c>
      <c r="G210" s="18">
        <f>84125.64</f>
        <v>84125.64</v>
      </c>
      <c r="H210" s="18">
        <f>37094.67</f>
        <v>37094.67</v>
      </c>
      <c r="I210" s="18">
        <f>31589.19</f>
        <v>31589.19</v>
      </c>
      <c r="J210" s="18"/>
      <c r="K210" s="18"/>
      <c r="L210" s="19">
        <f>SUM(F210:K210)</f>
        <v>310385.24</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18932341.419999998</v>
      </c>
      <c r="G212" s="41">
        <f t="shared" si="1"/>
        <v>8055041.9499999993</v>
      </c>
      <c r="H212" s="41">
        <f t="shared" si="1"/>
        <v>2171201.5699999998</v>
      </c>
      <c r="I212" s="41">
        <f t="shared" si="1"/>
        <v>1416979.97</v>
      </c>
      <c r="J212" s="41">
        <f t="shared" si="1"/>
        <v>325638.88</v>
      </c>
      <c r="K212" s="41">
        <f t="shared" si="1"/>
        <v>35372.960000000006</v>
      </c>
      <c r="L212" s="41">
        <f t="shared" si="1"/>
        <v>30936576.749999996</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f>4468332.47+5795.16+127652.38</f>
        <v>4601780.01</v>
      </c>
      <c r="G216" s="18">
        <f>2063357.3+518.45+82161.48</f>
        <v>2146037.23</v>
      </c>
      <c r="H216" s="18">
        <f>21894.96+307.72</f>
        <v>22202.68</v>
      </c>
      <c r="I216" s="18">
        <f>56077.65</f>
        <v>56077.65</v>
      </c>
      <c r="J216" s="18">
        <f>23317.31</f>
        <v>23317.31</v>
      </c>
      <c r="K216" s="18">
        <f>2211</f>
        <v>2211</v>
      </c>
      <c r="L216" s="19">
        <f>SUM(F216:K216)</f>
        <v>6851625.8799999999</v>
      </c>
      <c r="M216" s="8"/>
      <c r="N216" s="266"/>
    </row>
    <row r="217" spans="1:14" s="3" customFormat="1" ht="12.2" customHeight="1" x14ac:dyDescent="0.15">
      <c r="A217" s="1" t="s">
        <v>439</v>
      </c>
      <c r="B217" s="2" t="s">
        <v>346</v>
      </c>
      <c r="C217" s="2" t="s">
        <v>291</v>
      </c>
      <c r="D217" s="2" t="s">
        <v>431</v>
      </c>
      <c r="E217" s="6">
        <v>1200</v>
      </c>
      <c r="F217" s="18">
        <f>618948.31+838773.68+139096.31+815.83</f>
        <v>1597634.1300000004</v>
      </c>
      <c r="G217" s="18">
        <f>201961.16+370643.06+44664.12+204.6+22426.05</f>
        <v>639898.99</v>
      </c>
      <c r="H217" s="18">
        <f>399548.92+99363.5+2753.66+36391.48</f>
        <v>538057.55999999994</v>
      </c>
      <c r="I217" s="18">
        <f>1599.77+21.7+3901.86</f>
        <v>5523.33</v>
      </c>
      <c r="J217" s="18">
        <f>1749.29</f>
        <v>1749.29</v>
      </c>
      <c r="K217" s="18"/>
      <c r="L217" s="19">
        <f>SUM(F217:K217)</f>
        <v>2782863.3000000003</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f>19825+57202.29+33284.53</f>
        <v>110311.82</v>
      </c>
      <c r="G219" s="18">
        <f>4319.02+11856.97+15250.78+1346.91</f>
        <v>32773.68</v>
      </c>
      <c r="H219" s="18">
        <f>22911.99</f>
        <v>22911.99</v>
      </c>
      <c r="I219" s="18">
        <f>528.34</f>
        <v>528.34</v>
      </c>
      <c r="J219" s="18">
        <f>18114.21</f>
        <v>18114.21</v>
      </c>
      <c r="K219" s="18">
        <f>4381</f>
        <v>4381</v>
      </c>
      <c r="L219" s="19">
        <f>SUM(F219:K219)</f>
        <v>189021.03999999998</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f>338316.94+98970.37+85604.48+131980.26+24704.21+57665.17</f>
        <v>737241.43</v>
      </c>
      <c r="G221" s="18">
        <f>167299.73+39790.36+43266.41+67465.49+5795.3+17250.09+11852.8</f>
        <v>352720.18000000005</v>
      </c>
      <c r="H221" s="18">
        <f>377+12037.981736+17360+15218.69</f>
        <v>44993.671736000004</v>
      </c>
      <c r="I221" s="18">
        <f>605.71+1831.33+70.93+3620.66</f>
        <v>6128.6299999999992</v>
      </c>
      <c r="J221" s="18">
        <f>2149.37</f>
        <v>2149.37</v>
      </c>
      <c r="K221" s="18">
        <f>590.74</f>
        <v>590.74</v>
      </c>
      <c r="L221" s="19">
        <f t="shared" ref="L221:L227" si="2">SUM(F221:K221)</f>
        <v>1143824.0217360002</v>
      </c>
      <c r="M221" s="8"/>
      <c r="N221" s="266"/>
    </row>
    <row r="222" spans="1:14" s="3" customFormat="1" ht="12.2" customHeight="1" x14ac:dyDescent="0.15">
      <c r="A222" s="1" t="s">
        <v>443</v>
      </c>
      <c r="B222" s="2" t="s">
        <v>346</v>
      </c>
      <c r="C222" s="2" t="s">
        <v>295</v>
      </c>
      <c r="D222" s="2" t="s">
        <v>431</v>
      </c>
      <c r="E222" s="6">
        <v>2200</v>
      </c>
      <c r="F222" s="18">
        <f>19275+191447.58+26123.05+117962.49</f>
        <v>354808.12</v>
      </c>
      <c r="G222" s="18">
        <f>4890.54+75885.96+4911.71+74954.12+4040.73</f>
        <v>164683.06000000003</v>
      </c>
      <c r="H222" s="18">
        <f>2335.15+23151</f>
        <v>25486.15</v>
      </c>
      <c r="I222" s="18">
        <f>11456.86+1063.95+986.02+71175.49</f>
        <v>84682.32</v>
      </c>
      <c r="J222" s="18">
        <f>473.89+11049.35</f>
        <v>11523.24</v>
      </c>
      <c r="K222" s="18">
        <f>938.25</f>
        <v>938.25</v>
      </c>
      <c r="L222" s="19">
        <f t="shared" si="2"/>
        <v>642121.14000000013</v>
      </c>
      <c r="M222" s="8"/>
      <c r="N222" s="266"/>
    </row>
    <row r="223" spans="1:14" s="3" customFormat="1" ht="12.2" customHeight="1" x14ac:dyDescent="0.15">
      <c r="A223" s="1" t="s">
        <v>444</v>
      </c>
      <c r="B223" s="2" t="s">
        <v>346</v>
      </c>
      <c r="C223" s="2" t="s">
        <v>296</v>
      </c>
      <c r="D223" s="2" t="s">
        <v>431</v>
      </c>
      <c r="E223" s="6">
        <v>2300</v>
      </c>
      <c r="F223" s="18">
        <f>140475.94</f>
        <v>140475.94</v>
      </c>
      <c r="G223" s="18">
        <f>44617.74</f>
        <v>44617.74</v>
      </c>
      <c r="H223" s="18">
        <f>134039.57</f>
        <v>134039.57</v>
      </c>
      <c r="I223" s="18">
        <f>8435.79</f>
        <v>8435.7900000000009</v>
      </c>
      <c r="J223" s="18">
        <f>15339.44</f>
        <v>15339.44</v>
      </c>
      <c r="K223" s="18">
        <f>1989.47</f>
        <v>1989.47</v>
      </c>
      <c r="L223" s="19">
        <f t="shared" si="2"/>
        <v>344897.94999999995</v>
      </c>
      <c r="M223" s="8"/>
      <c r="N223" s="266"/>
    </row>
    <row r="224" spans="1:14" s="3" customFormat="1" ht="12.2" customHeight="1" x14ac:dyDescent="0.15">
      <c r="A224" s="1" t="s">
        <v>445</v>
      </c>
      <c r="B224" s="2" t="s">
        <v>346</v>
      </c>
      <c r="C224" s="2" t="s">
        <v>297</v>
      </c>
      <c r="D224" s="2" t="s">
        <v>431</v>
      </c>
      <c r="E224" s="6">
        <v>2400</v>
      </c>
      <c r="F224" s="18">
        <f>671126.34+6301.35</f>
        <v>677427.69</v>
      </c>
      <c r="G224" s="18">
        <f>272416.19+1264.66+11516.08</f>
        <v>285196.93</v>
      </c>
      <c r="H224" s="18">
        <f>21501.33</f>
        <v>21501.33</v>
      </c>
      <c r="I224" s="18">
        <f>6426.18</f>
        <v>6426.18</v>
      </c>
      <c r="J224" s="18">
        <f>818.16</f>
        <v>818.16</v>
      </c>
      <c r="K224" s="18">
        <f>5221.97</f>
        <v>5221.97</v>
      </c>
      <c r="L224" s="19">
        <f t="shared" si="2"/>
        <v>996592.25999999989</v>
      </c>
      <c r="M224" s="8"/>
      <c r="N224" s="266"/>
    </row>
    <row r="225" spans="1:14" s="3" customFormat="1" ht="12.2" customHeight="1" x14ac:dyDescent="0.15">
      <c r="A225" s="1" t="s">
        <v>446</v>
      </c>
      <c r="B225" s="2" t="s">
        <v>346</v>
      </c>
      <c r="C225" s="2" t="s">
        <v>298</v>
      </c>
      <c r="D225" s="2" t="s">
        <v>431</v>
      </c>
      <c r="E225" s="6">
        <v>2500</v>
      </c>
      <c r="F225" s="18">
        <f>93492.82</f>
        <v>93492.82</v>
      </c>
      <c r="G225" s="18">
        <f>39580.07</f>
        <v>39580.07</v>
      </c>
      <c r="H225" s="18">
        <f>3534.85</f>
        <v>3534.85</v>
      </c>
      <c r="I225" s="18">
        <f>209.58</f>
        <v>209.58</v>
      </c>
      <c r="J225" s="18">
        <f>2066.58</f>
        <v>2066.58</v>
      </c>
      <c r="K225" s="18">
        <f>4375.97</f>
        <v>4375.97</v>
      </c>
      <c r="L225" s="19">
        <f t="shared" si="2"/>
        <v>143259.87</v>
      </c>
      <c r="M225" s="8"/>
      <c r="N225" s="266"/>
    </row>
    <row r="226" spans="1:14" s="3" customFormat="1" ht="12.2" customHeight="1" x14ac:dyDescent="0.15">
      <c r="A226" s="1" t="s">
        <v>447</v>
      </c>
      <c r="B226" s="2" t="s">
        <v>346</v>
      </c>
      <c r="C226" s="2" t="s">
        <v>299</v>
      </c>
      <c r="D226" s="2" t="s">
        <v>431</v>
      </c>
      <c r="E226" s="6">
        <v>2600</v>
      </c>
      <c r="F226" s="18">
        <f>270983.82+92747.61</f>
        <v>363731.43</v>
      </c>
      <c r="G226" s="18">
        <f>115926.95+42663.85+4714.18</f>
        <v>163304.97999999998</v>
      </c>
      <c r="H226" s="18">
        <f>490.43+71768.15+15486+7917.6+67704.52</f>
        <v>163366.70000000001</v>
      </c>
      <c r="I226" s="18">
        <f>29019.89+263805.41+228+15195.48</f>
        <v>308248.77999999997</v>
      </c>
      <c r="J226" s="18">
        <f>16205.45+10861.99</f>
        <v>27067.440000000002</v>
      </c>
      <c r="K226" s="18">
        <f>187.62</f>
        <v>187.62</v>
      </c>
      <c r="L226" s="19">
        <f t="shared" si="2"/>
        <v>1025906.9499999998</v>
      </c>
      <c r="M226" s="8"/>
      <c r="N226" s="266"/>
    </row>
    <row r="227" spans="1:14" s="3" customFormat="1" ht="12.2" customHeight="1" x14ac:dyDescent="0.15">
      <c r="A227" s="1" t="s">
        <v>448</v>
      </c>
      <c r="B227" s="2" t="s">
        <v>346</v>
      </c>
      <c r="C227" s="2" t="s">
        <v>300</v>
      </c>
      <c r="D227" s="2" t="s">
        <v>431</v>
      </c>
      <c r="E227" s="6">
        <v>2700</v>
      </c>
      <c r="F227" s="18">
        <f>342248.08</f>
        <v>342248.08</v>
      </c>
      <c r="G227" s="18">
        <f>118922.77</f>
        <v>118922.77</v>
      </c>
      <c r="H227" s="18">
        <f>28626.12+759.8+110489.22</f>
        <v>139875.14000000001</v>
      </c>
      <c r="I227" s="18">
        <f>54110.15</f>
        <v>54110.15</v>
      </c>
      <c r="J227" s="18">
        <f>30784.42</f>
        <v>30784.42</v>
      </c>
      <c r="K227" s="18">
        <f>383.99</f>
        <v>383.99</v>
      </c>
      <c r="L227" s="19">
        <f t="shared" si="2"/>
        <v>686324.55</v>
      </c>
      <c r="M227" s="8"/>
      <c r="N227" s="266"/>
    </row>
    <row r="228" spans="1:14" s="3" customFormat="1" ht="12.2" customHeight="1" x14ac:dyDescent="0.15">
      <c r="A228" s="1" t="s">
        <v>449</v>
      </c>
      <c r="B228" s="2" t="s">
        <v>346</v>
      </c>
      <c r="C228" s="2" t="s">
        <v>343</v>
      </c>
      <c r="D228" s="2" t="s">
        <v>431</v>
      </c>
      <c r="E228" s="6">
        <v>2800</v>
      </c>
      <c r="F228" s="18">
        <f>59665.19</f>
        <v>59665.19</v>
      </c>
      <c r="G228" s="18">
        <f>31853.71</f>
        <v>31853.71</v>
      </c>
      <c r="H228" s="18">
        <f>14045.69</f>
        <v>14045.69</v>
      </c>
      <c r="I228" s="18">
        <f>11961.08</f>
        <v>11961.08</v>
      </c>
      <c r="J228" s="18"/>
      <c r="K228" s="18"/>
      <c r="L228" s="19">
        <f>SUM(F228:K228)</f>
        <v>117525.67</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9078816.6600000001</v>
      </c>
      <c r="G230" s="41">
        <f>SUM(G216:G229)</f>
        <v>4019589.3400000003</v>
      </c>
      <c r="H230" s="41">
        <f>SUM(H216:H229)</f>
        <v>1130015.3317359998</v>
      </c>
      <c r="I230" s="41">
        <f>SUM(I216:I229)</f>
        <v>542331.82999999996</v>
      </c>
      <c r="J230" s="41">
        <f>SUM(J216:J229)</f>
        <v>132929.46000000002</v>
      </c>
      <c r="K230" s="41">
        <f t="shared" si="3"/>
        <v>20280.010000000002</v>
      </c>
      <c r="L230" s="41">
        <f t="shared" si="3"/>
        <v>14923962.631735997</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f>6139397.58+9113.41+219873.44+2739.86</f>
        <v>6371124.290000001</v>
      </c>
      <c r="G234" s="18">
        <f>2878345.64+815.32+109503.74</f>
        <v>2988664.7</v>
      </c>
      <c r="H234" s="18">
        <f>345167.53+483.91</f>
        <v>345651.44</v>
      </c>
      <c r="I234" s="18">
        <f>98874.6</f>
        <v>98874.6</v>
      </c>
      <c r="J234" s="18">
        <f>65173.93</f>
        <v>65173.93</v>
      </c>
      <c r="K234" s="18">
        <f>425+3477</f>
        <v>3902</v>
      </c>
      <c r="L234" s="19">
        <f>SUM(F234:K234)</f>
        <v>9873390.9600000009</v>
      </c>
      <c r="M234" s="8"/>
      <c r="N234" s="266"/>
    </row>
    <row r="235" spans="1:14" s="3" customFormat="1" ht="12.2" customHeight="1" x14ac:dyDescent="0.15">
      <c r="A235" s="1" t="s">
        <v>439</v>
      </c>
      <c r="B235" s="2" t="s">
        <v>350</v>
      </c>
      <c r="C235" s="2" t="s">
        <v>291</v>
      </c>
      <c r="D235" s="2" t="s">
        <v>431</v>
      </c>
      <c r="E235" s="6">
        <v>1200</v>
      </c>
      <c r="F235" s="18">
        <f>834342.54+1417062.61+348053.37+828.85</f>
        <v>2600287.3700000006</v>
      </c>
      <c r="G235" s="18">
        <f>261007.37+624019.14+171800.4+207.87+46872.45</f>
        <v>1103907.23</v>
      </c>
      <c r="H235" s="18">
        <f>1405970.81+154358.81+12169.68+36972.04</f>
        <v>1609471.34</v>
      </c>
      <c r="I235" s="18">
        <f>897.33+7992.21+132+3964.11</f>
        <v>12985.650000000001</v>
      </c>
      <c r="J235" s="18">
        <f>1777.19</f>
        <v>1777.19</v>
      </c>
      <c r="K235" s="18"/>
      <c r="L235" s="19">
        <f>SUM(F235:K235)</f>
        <v>5328428.7800000012</v>
      </c>
      <c r="M235" s="8"/>
      <c r="N235" s="266"/>
    </row>
    <row r="236" spans="1:14" s="3" customFormat="1" ht="12.2" customHeight="1" x14ac:dyDescent="0.15">
      <c r="A236" s="1" t="s">
        <v>440</v>
      </c>
      <c r="B236" s="2" t="s">
        <v>350</v>
      </c>
      <c r="C236" s="2" t="s">
        <v>292</v>
      </c>
      <c r="D236" s="2" t="s">
        <v>431</v>
      </c>
      <c r="E236" s="6">
        <v>1300</v>
      </c>
      <c r="F236" s="18">
        <f>168443.19+167071.38+57354.96+219362.94+428628.15</f>
        <v>1040860.62</v>
      </c>
      <c r="G236" s="18">
        <f>83495.62+87129.69+25110.76+117423.85+182847.23+17846.55</f>
        <v>513853.7</v>
      </c>
      <c r="H236" s="18">
        <f>7422.59+2635.04+3636.86</f>
        <v>13694.490000000002</v>
      </c>
      <c r="I236" s="18">
        <f>21910.91+900.25+999.1+14864.23+23314.16</f>
        <v>61988.649999999994</v>
      </c>
      <c r="J236" s="18">
        <f>3939</f>
        <v>3939</v>
      </c>
      <c r="K236" s="18">
        <f>100</f>
        <v>100</v>
      </c>
      <c r="L236" s="19">
        <f>SUM(F236:K236)</f>
        <v>1634436.46</v>
      </c>
      <c r="M236" s="8"/>
      <c r="N236" s="266"/>
    </row>
    <row r="237" spans="1:14" s="3" customFormat="1" ht="12.2" customHeight="1" x14ac:dyDescent="0.15">
      <c r="A237" s="1" t="s">
        <v>441</v>
      </c>
      <c r="B237" s="2" t="s">
        <v>350</v>
      </c>
      <c r="C237" s="2" t="s">
        <v>293</v>
      </c>
      <c r="D237" s="2" t="s">
        <v>431</v>
      </c>
      <c r="E237" s="6">
        <v>1400</v>
      </c>
      <c r="F237" s="18">
        <f>79574+228244.3+1567.5+52342.96</f>
        <v>361728.76</v>
      </c>
      <c r="G237" s="18">
        <f>18471.24+34839.84+173.15+23983.24+6734.55</f>
        <v>84202.02</v>
      </c>
      <c r="H237" s="18">
        <f>141695.88</f>
        <v>141695.88</v>
      </c>
      <c r="I237" s="18">
        <f>29923.86</f>
        <v>29923.86</v>
      </c>
      <c r="J237" s="18">
        <f>5143.84</f>
        <v>5143.84</v>
      </c>
      <c r="K237" s="18">
        <f>25109.55</f>
        <v>25109.55</v>
      </c>
      <c r="L237" s="19">
        <f>SUM(F237:K237)</f>
        <v>647803.91</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f>678205.04+129185.94+103519.18+145750.98+69826.38+33130+65472.94+29640.44+61019.48</f>
        <v>1315750.3799999999</v>
      </c>
      <c r="G239" s="18">
        <f>324342.36+73872.96+46601.72+52650+31842.48+19330.48+40885.1+2599.13+18094.84+21819.94</f>
        <v>632039.00999999989</v>
      </c>
      <c r="H239" s="18">
        <f>1235+9472.13+17360+16917.78</f>
        <v>44984.909999999996</v>
      </c>
      <c r="I239" s="18">
        <f>1279+1737.97+3678.43</f>
        <v>6695.4</v>
      </c>
      <c r="J239" s="18">
        <f>2183.65</f>
        <v>2183.65</v>
      </c>
      <c r="K239" s="18">
        <f>150+90+600.16</f>
        <v>840.16</v>
      </c>
      <c r="L239" s="19">
        <f t="shared" ref="L239:L245" si="4">SUM(F239:K239)</f>
        <v>2002493.5099999993</v>
      </c>
      <c r="M239" s="8"/>
      <c r="N239" s="266"/>
    </row>
    <row r="240" spans="1:14" s="3" customFormat="1" ht="12.2" customHeight="1" x14ac:dyDescent="0.15">
      <c r="A240" s="1" t="s">
        <v>443</v>
      </c>
      <c r="B240" s="2" t="s">
        <v>350</v>
      </c>
      <c r="C240" s="2" t="s">
        <v>295</v>
      </c>
      <c r="D240" s="2" t="s">
        <v>431</v>
      </c>
      <c r="E240" s="6">
        <v>2200</v>
      </c>
      <c r="F240" s="18">
        <f>34913.32+203557.37+22130.42+182522.09</f>
        <v>443123.19999999995</v>
      </c>
      <c r="G240" s="18">
        <f>18548.62+89350.14+4683.3+112965.17+4377.46</f>
        <v>229924.68999999997</v>
      </c>
      <c r="H240" s="18">
        <f>35749.59</f>
        <v>35749.589999999997</v>
      </c>
      <c r="I240" s="18">
        <f>41160.09+643.25+23955.93+111071.93</f>
        <v>176831.19999999998</v>
      </c>
      <c r="J240" s="18">
        <f>559.99+17376.11</f>
        <v>17936.100000000002</v>
      </c>
      <c r="K240" s="18">
        <f>1475.48</f>
        <v>1475.48</v>
      </c>
      <c r="L240" s="19">
        <f t="shared" si="4"/>
        <v>905040.25999999978</v>
      </c>
      <c r="M240" s="8"/>
      <c r="N240" s="266"/>
    </row>
    <row r="241" spans="1:14" s="3" customFormat="1" ht="12.2" customHeight="1" x14ac:dyDescent="0.15">
      <c r="A241" s="1" t="s">
        <v>444</v>
      </c>
      <c r="B241" s="2" t="s">
        <v>350</v>
      </c>
      <c r="C241" s="2" t="s">
        <v>296</v>
      </c>
      <c r="D241" s="2" t="s">
        <v>431</v>
      </c>
      <c r="E241" s="6">
        <v>2300</v>
      </c>
      <c r="F241" s="18">
        <f>220911.27</f>
        <v>220911.27</v>
      </c>
      <c r="G241" s="18">
        <f>70165.48</f>
        <v>70165.48</v>
      </c>
      <c r="H241" s="18">
        <f>210789.5</f>
        <v>210789.5</v>
      </c>
      <c r="I241" s="18">
        <f>13266.05</f>
        <v>13266.05</v>
      </c>
      <c r="J241" s="18">
        <f>24122.67</f>
        <v>24122.67</v>
      </c>
      <c r="K241" s="18">
        <f>3128.63</f>
        <v>3128.63</v>
      </c>
      <c r="L241" s="19">
        <f t="shared" si="4"/>
        <v>542383.6</v>
      </c>
      <c r="M241" s="8"/>
      <c r="N241" s="266"/>
    </row>
    <row r="242" spans="1:14" s="3" customFormat="1" ht="12.2" customHeight="1" x14ac:dyDescent="0.15">
      <c r="A242" s="1" t="s">
        <v>445</v>
      </c>
      <c r="B242" s="2" t="s">
        <v>350</v>
      </c>
      <c r="C242" s="2" t="s">
        <v>297</v>
      </c>
      <c r="D242" s="2" t="s">
        <v>431</v>
      </c>
      <c r="E242" s="6">
        <v>2400</v>
      </c>
      <c r="F242" s="18">
        <f>1251391.39+9909.45</f>
        <v>1261300.8399999999</v>
      </c>
      <c r="G242" s="18">
        <f>485829.02+1988.79+20742.41+1548.95</f>
        <v>510109.17</v>
      </c>
      <c r="H242" s="18">
        <f>26428.31+23748.16</f>
        <v>50176.47</v>
      </c>
      <c r="I242" s="18">
        <f>6154.05+4189.51</f>
        <v>10343.560000000001</v>
      </c>
      <c r="J242" s="18">
        <f>25399.98+34176.9</f>
        <v>59576.880000000005</v>
      </c>
      <c r="K242" s="18">
        <f>13046.11</f>
        <v>13046.11</v>
      </c>
      <c r="L242" s="19">
        <f t="shared" si="4"/>
        <v>1904553.03</v>
      </c>
      <c r="M242" s="8"/>
      <c r="N242" s="266"/>
    </row>
    <row r="243" spans="1:14" s="3" customFormat="1" ht="12.2" customHeight="1" x14ac:dyDescent="0.15">
      <c r="A243" s="1" t="s">
        <v>446</v>
      </c>
      <c r="B243" s="2" t="s">
        <v>350</v>
      </c>
      <c r="C243" s="2" t="s">
        <v>298</v>
      </c>
      <c r="D243" s="2" t="s">
        <v>431</v>
      </c>
      <c r="E243" s="6">
        <v>2500</v>
      </c>
      <c r="F243" s="18">
        <f>45222+136353.64</f>
        <v>181575.64</v>
      </c>
      <c r="G243" s="18">
        <f>16424.13+57725.15+808.15</f>
        <v>74957.429999999993</v>
      </c>
      <c r="H243" s="18">
        <f>50470.16+5155.36</f>
        <v>55625.520000000004</v>
      </c>
      <c r="I243" s="18">
        <f>20139.51+305.66</f>
        <v>20445.169999999998</v>
      </c>
      <c r="J243" s="18">
        <f>3013.99</f>
        <v>3013.99</v>
      </c>
      <c r="K243" s="18">
        <f>6382.09</f>
        <v>6382.09</v>
      </c>
      <c r="L243" s="19">
        <f t="shared" si="4"/>
        <v>341999.84</v>
      </c>
      <c r="M243" s="8"/>
      <c r="N243" s="266"/>
    </row>
    <row r="244" spans="1:14" s="3" customFormat="1" ht="12.2" customHeight="1" x14ac:dyDescent="0.15">
      <c r="A244" s="1" t="s">
        <v>447</v>
      </c>
      <c r="B244" s="2" t="s">
        <v>350</v>
      </c>
      <c r="C244" s="2" t="s">
        <v>299</v>
      </c>
      <c r="D244" s="2" t="s">
        <v>431</v>
      </c>
      <c r="E244" s="6">
        <v>2600</v>
      </c>
      <c r="F244" s="18">
        <f>556985.85+195810.84</f>
        <v>752796.69</v>
      </c>
      <c r="G244" s="18">
        <f>183661.01+90072.88+9091.64</f>
        <v>282825.53000000003</v>
      </c>
      <c r="H244" s="18">
        <f>1451.9+167171.03+85882.38+21212.9+142939.29</f>
        <v>418657.5</v>
      </c>
      <c r="I244" s="18">
        <f>45967.56+730662.36+32081.05</f>
        <v>808710.97</v>
      </c>
      <c r="J244" s="18">
        <f>52403.36+9191.6+11400.2+22932.08</f>
        <v>95927.24</v>
      </c>
      <c r="K244" s="18">
        <f>396.12</f>
        <v>396.12</v>
      </c>
      <c r="L244" s="19">
        <f t="shared" si="4"/>
        <v>2359314.0500000003</v>
      </c>
      <c r="M244" s="8"/>
      <c r="N244" s="266"/>
    </row>
    <row r="245" spans="1:14" s="3" customFormat="1" ht="12.2" customHeight="1" x14ac:dyDescent="0.15">
      <c r="A245" s="1" t="s">
        <v>448</v>
      </c>
      <c r="B245" s="2" t="s">
        <v>350</v>
      </c>
      <c r="C245" s="2" t="s">
        <v>300</v>
      </c>
      <c r="D245" s="2" t="s">
        <v>431</v>
      </c>
      <c r="E245" s="6">
        <v>2700</v>
      </c>
      <c r="F245" s="18">
        <f>538216.47</f>
        <v>538216.47</v>
      </c>
      <c r="G245" s="18">
        <f>187016.94</f>
        <v>187016.94</v>
      </c>
      <c r="H245" s="18">
        <f>110770.08+23118.88+173754.42</f>
        <v>307643.38</v>
      </c>
      <c r="I245" s="18">
        <f>85093.17</f>
        <v>85093.17</v>
      </c>
      <c r="J245" s="18">
        <f>48411.31</f>
        <v>48411.31</v>
      </c>
      <c r="K245" s="18">
        <f>603.87</f>
        <v>603.87</v>
      </c>
      <c r="L245" s="19">
        <f t="shared" si="4"/>
        <v>1166985.1400000001</v>
      </c>
      <c r="M245" s="8"/>
      <c r="N245" s="266"/>
    </row>
    <row r="246" spans="1:14" s="3" customFormat="1" ht="12.2" customHeight="1" x14ac:dyDescent="0.15">
      <c r="A246" s="1" t="s">
        <v>449</v>
      </c>
      <c r="B246" s="2" t="s">
        <v>350</v>
      </c>
      <c r="C246" s="2" t="s">
        <v>343</v>
      </c>
      <c r="D246" s="2" t="s">
        <v>431</v>
      </c>
      <c r="E246" s="6">
        <v>2800</v>
      </c>
      <c r="F246" s="18">
        <f>87018.08</f>
        <v>87018.08</v>
      </c>
      <c r="G246" s="18">
        <f>46456.72</f>
        <v>46456.72</v>
      </c>
      <c r="H246" s="18">
        <f>20484.79</f>
        <v>20484.79</v>
      </c>
      <c r="I246" s="18">
        <f>17444.5</f>
        <v>17444.5</v>
      </c>
      <c r="J246" s="18"/>
      <c r="K246" s="18"/>
      <c r="L246" s="19">
        <f>SUM(F246:K246)</f>
        <v>171404.09</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15174693.610000001</v>
      </c>
      <c r="G248" s="41">
        <f t="shared" si="5"/>
        <v>6724122.6200000001</v>
      </c>
      <c r="H248" s="41">
        <f t="shared" si="5"/>
        <v>3254624.81</v>
      </c>
      <c r="I248" s="41">
        <f t="shared" si="5"/>
        <v>1342602.7799999998</v>
      </c>
      <c r="J248" s="41">
        <f t="shared" si="5"/>
        <v>327205.8</v>
      </c>
      <c r="K248" s="41">
        <f t="shared" si="5"/>
        <v>54984.010000000009</v>
      </c>
      <c r="L248" s="41">
        <f t="shared" si="5"/>
        <v>26878233.630000006</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f>73694.94</f>
        <v>73694.94</v>
      </c>
      <c r="G252" s="18">
        <f>20118.96+1414.26</f>
        <v>21533.219999999998</v>
      </c>
      <c r="H252" s="18"/>
      <c r="I252" s="18">
        <f>7385.84</f>
        <v>7385.84</v>
      </c>
      <c r="J252" s="18">
        <f>2796.8</f>
        <v>2796.8</v>
      </c>
      <c r="K252" s="18"/>
      <c r="L252" s="19">
        <f t="shared" si="6"/>
        <v>105410.8</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f>81502</f>
        <v>81502</v>
      </c>
      <c r="G256" s="18">
        <f>24517.03</f>
        <v>24517.03</v>
      </c>
      <c r="H256" s="18">
        <f>222408.18+334796.99</f>
        <v>557205.16999999993</v>
      </c>
      <c r="I256" s="18"/>
      <c r="J256" s="18"/>
      <c r="K256" s="18"/>
      <c r="L256" s="19">
        <f t="shared" si="6"/>
        <v>663224.19999999995</v>
      </c>
      <c r="M256" s="8"/>
      <c r="N256" s="266"/>
    </row>
    <row r="257" spans="1:14" s="3" customFormat="1" ht="12.2" customHeight="1" thickTop="1" thickBot="1" x14ac:dyDescent="0.2">
      <c r="A257" s="38" t="s">
        <v>461</v>
      </c>
      <c r="B257" s="40">
        <v>10</v>
      </c>
      <c r="C257" s="40">
        <v>7</v>
      </c>
      <c r="D257" s="39" t="s">
        <v>431</v>
      </c>
      <c r="E257" s="40"/>
      <c r="F257" s="41">
        <f t="shared" ref="F257:K257" si="7">SUM(F251:F256)</f>
        <v>155196.94</v>
      </c>
      <c r="G257" s="41">
        <f t="shared" si="7"/>
        <v>46050.25</v>
      </c>
      <c r="H257" s="41">
        <f t="shared" si="7"/>
        <v>557205.16999999993</v>
      </c>
      <c r="I257" s="41">
        <f t="shared" si="7"/>
        <v>7385.84</v>
      </c>
      <c r="J257" s="41">
        <f t="shared" si="7"/>
        <v>2796.8</v>
      </c>
      <c r="K257" s="41">
        <f t="shared" si="7"/>
        <v>0</v>
      </c>
      <c r="L257" s="41">
        <f>SUM(F257:K257)</f>
        <v>768634.99999999988</v>
      </c>
      <c r="M257" s="8"/>
      <c r="N257" s="266"/>
    </row>
    <row r="258" spans="1:14" s="3" customFormat="1" ht="12.2" customHeight="1" thickTop="1" x14ac:dyDescent="0.15">
      <c r="A258" s="38" t="s">
        <v>462</v>
      </c>
      <c r="B258" s="40">
        <v>10</v>
      </c>
      <c r="C258" s="40">
        <v>8</v>
      </c>
      <c r="D258" s="39" t="s">
        <v>431</v>
      </c>
      <c r="E258" s="40"/>
      <c r="F258" s="41">
        <f t="shared" ref="F258:L258" si="8">F212+F230+F248+F257</f>
        <v>43341048.629999995</v>
      </c>
      <c r="G258" s="41">
        <f t="shared" si="8"/>
        <v>18844804.16</v>
      </c>
      <c r="H258" s="41">
        <f t="shared" si="8"/>
        <v>7113046.8817359991</v>
      </c>
      <c r="I258" s="41">
        <f t="shared" si="8"/>
        <v>3309300.4199999995</v>
      </c>
      <c r="J258" s="41">
        <f t="shared" si="8"/>
        <v>788570.94000000006</v>
      </c>
      <c r="K258" s="41">
        <f t="shared" si="8"/>
        <v>110636.98000000001</v>
      </c>
      <c r="L258" s="41">
        <f t="shared" si="8"/>
        <v>73507408.011736006</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f>270000+1880000+1832622.18</f>
        <v>3982622.1799999997</v>
      </c>
      <c r="L261" s="19">
        <f>SUM(F261:K261)</f>
        <v>3982622.1799999997</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f>109147.5+2276142.5</f>
        <v>2385290</v>
      </c>
      <c r="L262" s="19">
        <f>SUM(F262:K262)</f>
        <v>2385290</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f>125071.07</f>
        <v>125071.07</v>
      </c>
      <c r="L264" s="19">
        <f>SUM(F264:K264)</f>
        <v>125071.07</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f>3832801.33+832920.97+164305.25</f>
        <v>4830027.55</v>
      </c>
      <c r="L267" s="19">
        <f t="shared" si="9"/>
        <v>4830027.55</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f>166738.16</f>
        <v>166738.16</v>
      </c>
      <c r="L269" s="19">
        <f t="shared" si="9"/>
        <v>166738.16</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11489748.960000001</v>
      </c>
      <c r="L271" s="41">
        <f t="shared" si="9"/>
        <v>11489748.960000001</v>
      </c>
      <c r="M271" s="8"/>
      <c r="N271" s="266"/>
    </row>
    <row r="272" spans="1:14" s="34" customFormat="1" ht="12.2" customHeight="1" thickTop="1" x14ac:dyDescent="0.2">
      <c r="A272" s="43" t="s">
        <v>464</v>
      </c>
      <c r="B272" s="40">
        <v>10</v>
      </c>
      <c r="C272" s="40">
        <v>18</v>
      </c>
      <c r="D272" s="39" t="s">
        <v>431</v>
      </c>
      <c r="E272" s="40"/>
      <c r="F272" s="42">
        <f t="shared" ref="F272:L272" si="11">F258+F271</f>
        <v>43341048.629999995</v>
      </c>
      <c r="G272" s="42">
        <f t="shared" si="11"/>
        <v>18844804.16</v>
      </c>
      <c r="H272" s="42">
        <f t="shared" si="11"/>
        <v>7113046.8817359991</v>
      </c>
      <c r="I272" s="42">
        <f t="shared" si="11"/>
        <v>3309300.4199999995</v>
      </c>
      <c r="J272" s="42">
        <f t="shared" si="11"/>
        <v>788570.94000000006</v>
      </c>
      <c r="K272" s="42">
        <f t="shared" si="11"/>
        <v>11600385.940000001</v>
      </c>
      <c r="L272" s="42">
        <f t="shared" si="11"/>
        <v>84997156.971736014</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f>518009.77+1423.71</f>
        <v>519433.48000000004</v>
      </c>
      <c r="G277" s="18">
        <f>107254.45+1220.71</f>
        <v>108475.16</v>
      </c>
      <c r="H277" s="18">
        <f>300</f>
        <v>300</v>
      </c>
      <c r="I277" s="18">
        <f>14597.78+13459.44</f>
        <v>28057.22</v>
      </c>
      <c r="J277" s="18">
        <f>42995</f>
        <v>42995</v>
      </c>
      <c r="K277" s="18"/>
      <c r="L277" s="19">
        <f>SUM(F277:K277)</f>
        <v>699260.86</v>
      </c>
      <c r="M277" s="8"/>
      <c r="N277" s="266"/>
    </row>
    <row r="278" spans="1:14" s="3" customFormat="1" ht="12.2" customHeight="1" x14ac:dyDescent="0.15">
      <c r="A278" s="1" t="s">
        <v>439</v>
      </c>
      <c r="B278" s="2" t="s">
        <v>357</v>
      </c>
      <c r="C278" s="2" t="s">
        <v>291</v>
      </c>
      <c r="D278" s="2" t="s">
        <v>431</v>
      </c>
      <c r="E278" s="6">
        <v>1200</v>
      </c>
      <c r="F278" s="18">
        <f>872895.23+31664.38</f>
        <v>904559.61</v>
      </c>
      <c r="G278" s="18">
        <f>414568.85+2623.24</f>
        <v>417192.08999999997</v>
      </c>
      <c r="H278" s="18">
        <f>41242.5+115226.99</f>
        <v>156469.49</v>
      </c>
      <c r="I278" s="18">
        <f>3945.66+2094.29</f>
        <v>6039.95</v>
      </c>
      <c r="J278" s="18">
        <f>15133.98</f>
        <v>15133.98</v>
      </c>
      <c r="K278" s="18"/>
      <c r="L278" s="19">
        <f>SUM(F278:K278)</f>
        <v>1499395.1199999999</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f>81097.25+124963.5+19514.23</f>
        <v>225574.98</v>
      </c>
      <c r="G280" s="18">
        <f>13476.74+14322.91+2807.42</f>
        <v>30607.07</v>
      </c>
      <c r="H280" s="18"/>
      <c r="I280" s="18">
        <f>22933.38+1951.63</f>
        <v>24885.010000000002</v>
      </c>
      <c r="J280" s="18"/>
      <c r="K280" s="18"/>
      <c r="L280" s="19">
        <f>SUM(F280:K280)</f>
        <v>281067.06</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f>2232.1+675+254542.65+42827.91</f>
        <v>300277.66000000003</v>
      </c>
      <c r="G282" s="18">
        <f>947.99+129.41+52272.21+7548.28</f>
        <v>60897.89</v>
      </c>
      <c r="H282" s="18">
        <f>8913.7+202.7</f>
        <v>9116.4000000000015</v>
      </c>
      <c r="I282" s="18">
        <f>607.2+483.69+3040.41+105.54</f>
        <v>4236.84</v>
      </c>
      <c r="J282" s="18"/>
      <c r="K282" s="18"/>
      <c r="L282" s="19">
        <f t="shared" ref="L282:L288" si="12">SUM(F282:K282)</f>
        <v>374528.7900000001</v>
      </c>
      <c r="M282" s="8"/>
      <c r="N282" s="266"/>
    </row>
    <row r="283" spans="1:14" s="3" customFormat="1" ht="12.2" customHeight="1" x14ac:dyDescent="0.15">
      <c r="A283" s="1" t="s">
        <v>443</v>
      </c>
      <c r="B283" s="2" t="s">
        <v>357</v>
      </c>
      <c r="C283" s="2" t="s">
        <v>295</v>
      </c>
      <c r="D283" s="2" t="s">
        <v>431</v>
      </c>
      <c r="E283" s="6">
        <v>2200</v>
      </c>
      <c r="F283" s="18">
        <f>69231.57+42531.5</f>
        <v>111763.07</v>
      </c>
      <c r="G283" s="18">
        <f>19469.39+12792.04</f>
        <v>32261.43</v>
      </c>
      <c r="H283" s="18">
        <f>38448.85+53987.96</f>
        <v>92436.81</v>
      </c>
      <c r="I283" s="18">
        <f>8162.93+47.37+34482.27</f>
        <v>42692.57</v>
      </c>
      <c r="J283" s="18">
        <f>795.61</f>
        <v>795.61</v>
      </c>
      <c r="K283" s="18"/>
      <c r="L283" s="19">
        <f t="shared" si="12"/>
        <v>279949.49</v>
      </c>
      <c r="M283" s="8"/>
      <c r="N283" s="266"/>
    </row>
    <row r="284" spans="1:14" s="3" customFormat="1" ht="12.2" customHeight="1" x14ac:dyDescent="0.15">
      <c r="A284" s="1" t="s">
        <v>444</v>
      </c>
      <c r="B284" s="2" t="s">
        <v>357</v>
      </c>
      <c r="C284" s="2" t="s">
        <v>296</v>
      </c>
      <c r="D284" s="2" t="s">
        <v>431</v>
      </c>
      <c r="E284" s="6">
        <v>2300</v>
      </c>
      <c r="F284" s="18">
        <f>840+16040</f>
        <v>16880</v>
      </c>
      <c r="G284" s="18">
        <f>64.26+6335.53</f>
        <v>6399.79</v>
      </c>
      <c r="H284" s="18">
        <f>3072.05</f>
        <v>3072.05</v>
      </c>
      <c r="I284" s="18">
        <f>599.58</f>
        <v>599.58000000000004</v>
      </c>
      <c r="J284" s="18"/>
      <c r="K284" s="18"/>
      <c r="L284" s="19">
        <f t="shared" si="12"/>
        <v>26951.420000000002</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f>4312</f>
        <v>4312</v>
      </c>
      <c r="I287" s="18">
        <f>8746.24</f>
        <v>8746.24</v>
      </c>
      <c r="J287" s="18">
        <f>15446.23</f>
        <v>15446.23</v>
      </c>
      <c r="K287" s="18"/>
      <c r="L287" s="19">
        <f t="shared" si="12"/>
        <v>28504.47</v>
      </c>
      <c r="M287" s="8"/>
      <c r="N287" s="266"/>
    </row>
    <row r="288" spans="1:14" s="3" customFormat="1" ht="12.2" customHeight="1" x14ac:dyDescent="0.15">
      <c r="A288" s="1" t="s">
        <v>448</v>
      </c>
      <c r="B288" s="2" t="s">
        <v>357</v>
      </c>
      <c r="C288" s="2" t="s">
        <v>300</v>
      </c>
      <c r="D288" s="2" t="s">
        <v>431</v>
      </c>
      <c r="E288" s="6">
        <v>2700</v>
      </c>
      <c r="F288" s="18"/>
      <c r="G288" s="18"/>
      <c r="H288" s="18">
        <f>27208.16</f>
        <v>27208.16</v>
      </c>
      <c r="I288" s="18"/>
      <c r="J288" s="18"/>
      <c r="K288" s="18"/>
      <c r="L288" s="19">
        <f t="shared" si="12"/>
        <v>27208.16</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2078488.8</v>
      </c>
      <c r="G291" s="42">
        <f t="shared" si="13"/>
        <v>655833.43000000005</v>
      </c>
      <c r="H291" s="42">
        <f t="shared" si="13"/>
        <v>292914.90999999997</v>
      </c>
      <c r="I291" s="42">
        <f t="shared" si="13"/>
        <v>115257.41</v>
      </c>
      <c r="J291" s="42">
        <f t="shared" si="13"/>
        <v>74370.819999999992</v>
      </c>
      <c r="K291" s="42">
        <f t="shared" si="13"/>
        <v>0</v>
      </c>
      <c r="L291" s="41">
        <f t="shared" si="13"/>
        <v>3216865.3700000006</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f>32398.69+730.02</f>
        <v>33128.71</v>
      </c>
      <c r="G296" s="18">
        <f>10351.2+625.93</f>
        <v>10977.130000000001</v>
      </c>
      <c r="H296" s="18"/>
      <c r="I296" s="18">
        <f>28674.6+6901.39</f>
        <v>35575.99</v>
      </c>
      <c r="J296" s="18">
        <f>2128.46+2974.9</f>
        <v>5103.3600000000006</v>
      </c>
      <c r="K296" s="18"/>
      <c r="L296" s="19">
        <f>SUM(F296:K296)</f>
        <v>84785.189999999988</v>
      </c>
      <c r="M296" s="8"/>
      <c r="N296" s="266"/>
    </row>
    <row r="297" spans="1:14" s="3" customFormat="1" ht="12.2" customHeight="1" x14ac:dyDescent="0.15">
      <c r="A297" s="1" t="s">
        <v>439</v>
      </c>
      <c r="B297" s="2" t="s">
        <v>358</v>
      </c>
      <c r="C297" s="2" t="s">
        <v>291</v>
      </c>
      <c r="D297" s="2" t="s">
        <v>431</v>
      </c>
      <c r="E297" s="6">
        <v>1200</v>
      </c>
      <c r="F297" s="18">
        <f>142491.96</f>
        <v>142491.96</v>
      </c>
      <c r="G297" s="18">
        <f>59515.33</f>
        <v>59515.33</v>
      </c>
      <c r="H297" s="18">
        <f>4804.78+52803.14</f>
        <v>57607.92</v>
      </c>
      <c r="I297" s="18">
        <f>959.71</f>
        <v>959.71</v>
      </c>
      <c r="J297" s="18">
        <f>6935.19</f>
        <v>6935.19</v>
      </c>
      <c r="K297" s="18"/>
      <c r="L297" s="19">
        <f>SUM(F297:K297)</f>
        <v>267510.10999999993</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f>23115+10006.02</f>
        <v>33121.020000000004</v>
      </c>
      <c r="G299" s="18">
        <f>4542.44+1439.52</f>
        <v>5981.9599999999991</v>
      </c>
      <c r="H299" s="18"/>
      <c r="I299" s="18">
        <f>1000.71</f>
        <v>1000.71</v>
      </c>
      <c r="J299" s="18"/>
      <c r="K299" s="18"/>
      <c r="L299" s="19">
        <f>SUM(F299:K299)</f>
        <v>40103.69</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f>21960.23</f>
        <v>21960.23</v>
      </c>
      <c r="G301" s="18">
        <f>3870.42</f>
        <v>3870.42</v>
      </c>
      <c r="H301" s="18">
        <f>103.93</f>
        <v>103.93</v>
      </c>
      <c r="I301" s="18">
        <f>60.26+54.12</f>
        <v>114.38</v>
      </c>
      <c r="J301" s="18"/>
      <c r="K301" s="18"/>
      <c r="L301" s="19">
        <f t="shared" ref="L301:L307" si="14">SUM(F301:K301)</f>
        <v>26048.960000000003</v>
      </c>
      <c r="M301" s="8"/>
      <c r="N301" s="266"/>
    </row>
    <row r="302" spans="1:14" s="3" customFormat="1" ht="12.2" customHeight="1" x14ac:dyDescent="0.15">
      <c r="A302" s="1" t="s">
        <v>443</v>
      </c>
      <c r="B302" s="2" t="s">
        <v>358</v>
      </c>
      <c r="C302" s="2" t="s">
        <v>295</v>
      </c>
      <c r="D302" s="2" t="s">
        <v>431</v>
      </c>
      <c r="E302" s="6">
        <v>2200</v>
      </c>
      <c r="F302" s="18">
        <f>17540+16104.32</f>
        <v>33644.32</v>
      </c>
      <c r="G302" s="18">
        <f>4451.22+4843.63</f>
        <v>9294.85</v>
      </c>
      <c r="H302" s="18">
        <f>11949.75+20442.25</f>
        <v>32392</v>
      </c>
      <c r="I302" s="18">
        <f>13056.52</f>
        <v>13056.52</v>
      </c>
      <c r="J302" s="18">
        <f>301.25</f>
        <v>301.25</v>
      </c>
      <c r="K302" s="18"/>
      <c r="L302" s="19">
        <f t="shared" si="14"/>
        <v>88688.94</v>
      </c>
      <c r="M302" s="8"/>
      <c r="N302" s="266"/>
    </row>
    <row r="303" spans="1:14" s="3" customFormat="1" ht="12.2" customHeight="1" x14ac:dyDescent="0.15">
      <c r="A303" s="1" t="s">
        <v>444</v>
      </c>
      <c r="B303" s="2" t="s">
        <v>358</v>
      </c>
      <c r="C303" s="2" t="s">
        <v>296</v>
      </c>
      <c r="D303" s="2" t="s">
        <v>431</v>
      </c>
      <c r="E303" s="6">
        <v>2300</v>
      </c>
      <c r="F303" s="18">
        <f>8224.59</f>
        <v>8224.59</v>
      </c>
      <c r="G303" s="18">
        <f>3248.58</f>
        <v>3248.58</v>
      </c>
      <c r="H303" s="18">
        <f>1575.21</f>
        <v>1575.21</v>
      </c>
      <c r="I303" s="18">
        <f>307.44</f>
        <v>307.44</v>
      </c>
      <c r="J303" s="18"/>
      <c r="K303" s="18"/>
      <c r="L303" s="19">
        <f t="shared" si="14"/>
        <v>13355.820000000002</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f>2211</f>
        <v>2211</v>
      </c>
      <c r="I306" s="18">
        <f>4484.68</f>
        <v>4484.68</v>
      </c>
      <c r="J306" s="18">
        <f>7920.13</f>
        <v>7920.13</v>
      </c>
      <c r="K306" s="18"/>
      <c r="L306" s="19">
        <f t="shared" si="14"/>
        <v>14615.810000000001</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272570.83</v>
      </c>
      <c r="G310" s="42">
        <f t="shared" si="15"/>
        <v>92888.270000000019</v>
      </c>
      <c r="H310" s="42">
        <f t="shared" si="15"/>
        <v>93890.060000000012</v>
      </c>
      <c r="I310" s="42">
        <f t="shared" si="15"/>
        <v>55499.43</v>
      </c>
      <c r="J310" s="42">
        <f t="shared" si="15"/>
        <v>20259.93</v>
      </c>
      <c r="K310" s="42">
        <f t="shared" si="15"/>
        <v>0</v>
      </c>
      <c r="L310" s="41">
        <f t="shared" si="15"/>
        <v>535108.52</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f>1148.02</f>
        <v>1148.02</v>
      </c>
      <c r="G315" s="18">
        <f>984.33</f>
        <v>984.33</v>
      </c>
      <c r="H315" s="18"/>
      <c r="I315" s="18">
        <f>9035+10853.07</f>
        <v>19888.07</v>
      </c>
      <c r="J315" s="18">
        <f>2296.25</f>
        <v>2296.25</v>
      </c>
      <c r="K315" s="18"/>
      <c r="L315" s="19">
        <f>SUM(F315:K315)</f>
        <v>24316.67</v>
      </c>
      <c r="M315" s="8"/>
      <c r="N315" s="266"/>
    </row>
    <row r="316" spans="1:14" s="3" customFormat="1" ht="12.2" customHeight="1" x14ac:dyDescent="0.15">
      <c r="A316" s="1" t="s">
        <v>439</v>
      </c>
      <c r="B316" s="2" t="s">
        <v>359</v>
      </c>
      <c r="C316" s="2" t="s">
        <v>291</v>
      </c>
      <c r="D316" s="2" t="s">
        <v>431</v>
      </c>
      <c r="E316" s="6">
        <v>1200</v>
      </c>
      <c r="F316" s="18">
        <f>234.85+11453</f>
        <v>11687.85</v>
      </c>
      <c r="G316" s="18">
        <f>59.77+5805.56</f>
        <v>5865.3300000000008</v>
      </c>
      <c r="H316" s="18">
        <f>53645.5</f>
        <v>53645.5</v>
      </c>
      <c r="I316" s="18">
        <f>975.02</f>
        <v>975.02</v>
      </c>
      <c r="J316" s="18">
        <f>7045.83</f>
        <v>7045.83</v>
      </c>
      <c r="K316" s="18"/>
      <c r="L316" s="19">
        <f>SUM(F316:K316)</f>
        <v>79219.53</v>
      </c>
      <c r="M316" s="8"/>
      <c r="N316" s="266"/>
    </row>
    <row r="317" spans="1:14" s="3" customFormat="1" ht="12.2" customHeight="1" x14ac:dyDescent="0.15">
      <c r="A317" s="1" t="s">
        <v>440</v>
      </c>
      <c r="B317" s="2" t="s">
        <v>359</v>
      </c>
      <c r="C317" s="2" t="s">
        <v>292</v>
      </c>
      <c r="D317" s="2" t="s">
        <v>431</v>
      </c>
      <c r="E317" s="6">
        <v>1300</v>
      </c>
      <c r="F317" s="18">
        <f>99977.39</f>
        <v>99977.39</v>
      </c>
      <c r="G317" s="18">
        <f>48011.7</f>
        <v>48011.7</v>
      </c>
      <c r="H317" s="18">
        <f>6000+14986.16</f>
        <v>20986.16</v>
      </c>
      <c r="I317" s="18">
        <f>2879+8223.67+29409.02+21998.08</f>
        <v>62509.770000000004</v>
      </c>
      <c r="J317" s="18">
        <f>9499</f>
        <v>9499</v>
      </c>
      <c r="K317" s="18">
        <f>3000</f>
        <v>3000</v>
      </c>
      <c r="L317" s="19">
        <f>SUM(F317:K317)</f>
        <v>243984.02000000002</v>
      </c>
      <c r="M317" s="8"/>
      <c r="N317" s="266"/>
    </row>
    <row r="318" spans="1:14" s="3" customFormat="1" ht="12.2" customHeight="1" x14ac:dyDescent="0.15">
      <c r="A318" s="1" t="s">
        <v>441</v>
      </c>
      <c r="B318" s="2" t="s">
        <v>359</v>
      </c>
      <c r="C318" s="2" t="s">
        <v>293</v>
      </c>
      <c r="D318" s="2" t="s">
        <v>431</v>
      </c>
      <c r="E318" s="6">
        <v>1400</v>
      </c>
      <c r="F318" s="18">
        <f>19923.5+15735.39</f>
        <v>35658.89</v>
      </c>
      <c r="G318" s="18">
        <f>4983.15+2263.78</f>
        <v>7246.93</v>
      </c>
      <c r="H318" s="18">
        <f>287</f>
        <v>287</v>
      </c>
      <c r="I318" s="18">
        <f>1000+814.23+1573.71</f>
        <v>3387.94</v>
      </c>
      <c r="J318" s="18"/>
      <c r="K318" s="18"/>
      <c r="L318" s="19">
        <f>SUM(F318:K318)</f>
        <v>46580.76</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f>34534.47</f>
        <v>34534.47</v>
      </c>
      <c r="G320" s="18">
        <f>6086.59</f>
        <v>6086.59</v>
      </c>
      <c r="H320" s="18">
        <f>7834.05+163.45</f>
        <v>7997.5</v>
      </c>
      <c r="I320" s="18">
        <f>149.74+44356.72+85.1</f>
        <v>44591.56</v>
      </c>
      <c r="J320" s="18"/>
      <c r="K320" s="18"/>
      <c r="L320" s="19">
        <f t="shared" ref="L320:L326" si="16">SUM(F320:K320)</f>
        <v>93210.12</v>
      </c>
      <c r="M320" s="8"/>
      <c r="N320" s="266"/>
    </row>
    <row r="321" spans="1:14" s="3" customFormat="1" ht="12.2" customHeight="1" x14ac:dyDescent="0.15">
      <c r="A321" s="1" t="s">
        <v>443</v>
      </c>
      <c r="B321" s="2" t="s">
        <v>359</v>
      </c>
      <c r="C321" s="2" t="s">
        <v>295</v>
      </c>
      <c r="D321" s="2" t="s">
        <v>431</v>
      </c>
      <c r="E321" s="6">
        <v>2200</v>
      </c>
      <c r="F321" s="18">
        <f>38978.53+23487.18</f>
        <v>62465.71</v>
      </c>
      <c r="G321" s="18">
        <f>3031.61+7064.15</f>
        <v>10095.76</v>
      </c>
      <c r="H321" s="18">
        <f>51750.95+9810.8+29813.78</f>
        <v>91375.53</v>
      </c>
      <c r="I321" s="18">
        <f>762.96+19042.15</f>
        <v>19805.11</v>
      </c>
      <c r="J321" s="18">
        <f>439.36</f>
        <v>439.36</v>
      </c>
      <c r="K321" s="18">
        <f>2805.76</f>
        <v>2805.76</v>
      </c>
      <c r="L321" s="19">
        <f t="shared" si="16"/>
        <v>186987.22999999998</v>
      </c>
      <c r="M321" s="8"/>
      <c r="N321" s="266"/>
    </row>
    <row r="322" spans="1:14" s="3" customFormat="1" ht="12.2" customHeight="1" x14ac:dyDescent="0.15">
      <c r="A322" s="1" t="s">
        <v>444</v>
      </c>
      <c r="B322" s="2" t="s">
        <v>359</v>
      </c>
      <c r="C322" s="2" t="s">
        <v>296</v>
      </c>
      <c r="D322" s="2" t="s">
        <v>431</v>
      </c>
      <c r="E322" s="6">
        <v>2300</v>
      </c>
      <c r="F322" s="18">
        <f>12933.92</f>
        <v>12933.92</v>
      </c>
      <c r="G322" s="18">
        <f>5108.68</f>
        <v>5108.68</v>
      </c>
      <c r="H322" s="18">
        <f>2477.16</f>
        <v>2477.16</v>
      </c>
      <c r="I322" s="18">
        <f>483.47</f>
        <v>483.47</v>
      </c>
      <c r="J322" s="18"/>
      <c r="K322" s="18"/>
      <c r="L322" s="19">
        <f t="shared" si="16"/>
        <v>21003.23</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f>3477</f>
        <v>3477</v>
      </c>
      <c r="I325" s="18">
        <f>7052.56</f>
        <v>7052.56</v>
      </c>
      <c r="J325" s="18">
        <f>12455.13</f>
        <v>12455.13</v>
      </c>
      <c r="K325" s="18"/>
      <c r="L325" s="19">
        <f t="shared" si="16"/>
        <v>22984.690000000002</v>
      </c>
      <c r="M325" s="8"/>
      <c r="N325" s="266"/>
    </row>
    <row r="326" spans="1:14" s="3" customFormat="1" ht="12.2" customHeight="1" x14ac:dyDescent="0.15">
      <c r="A326" s="1" t="s">
        <v>448</v>
      </c>
      <c r="B326" s="2" t="s">
        <v>359</v>
      </c>
      <c r="C326" s="2" t="s">
        <v>300</v>
      </c>
      <c r="D326" s="2" t="s">
        <v>431</v>
      </c>
      <c r="E326" s="6">
        <v>2700</v>
      </c>
      <c r="F326" s="18"/>
      <c r="G326" s="18"/>
      <c r="H326" s="18">
        <f>35125.62+93939.84</f>
        <v>129065.45999999999</v>
      </c>
      <c r="I326" s="18"/>
      <c r="J326" s="18"/>
      <c r="K326" s="18"/>
      <c r="L326" s="19">
        <f t="shared" si="16"/>
        <v>129065.45999999999</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258406.25</v>
      </c>
      <c r="G329" s="42">
        <f t="shared" si="17"/>
        <v>83399.320000000007</v>
      </c>
      <c r="H329" s="42">
        <f t="shared" si="17"/>
        <v>309311.31</v>
      </c>
      <c r="I329" s="42">
        <f t="shared" si="17"/>
        <v>158693.49999999997</v>
      </c>
      <c r="J329" s="42">
        <f t="shared" si="17"/>
        <v>31735.57</v>
      </c>
      <c r="K329" s="42">
        <f t="shared" si="17"/>
        <v>5805.76</v>
      </c>
      <c r="L329" s="41">
        <f t="shared" si="17"/>
        <v>847351.71</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v>118.11</v>
      </c>
      <c r="J334" s="18"/>
      <c r="K334" s="18"/>
      <c r="L334" s="19">
        <f t="shared" si="18"/>
        <v>118.11</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f>116484.25</f>
        <v>116484.25</v>
      </c>
      <c r="K337" s="18"/>
      <c r="L337" s="19">
        <f t="shared" si="18"/>
        <v>116484.25</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118.11</v>
      </c>
      <c r="J338" s="41">
        <f t="shared" si="19"/>
        <v>116484.25</v>
      </c>
      <c r="K338" s="41">
        <f t="shared" si="19"/>
        <v>0</v>
      </c>
      <c r="L338" s="41">
        <f t="shared" si="18"/>
        <v>116602.36</v>
      </c>
      <c r="M338" s="8"/>
      <c r="N338" s="266"/>
    </row>
    <row r="339" spans="1:43" s="3" customFormat="1" ht="12.2" customHeight="1" thickTop="1" x14ac:dyDescent="0.15">
      <c r="A339" s="38" t="s">
        <v>468</v>
      </c>
      <c r="B339" s="40">
        <v>14</v>
      </c>
      <c r="C339" s="40">
        <v>7</v>
      </c>
      <c r="D339" s="39" t="s">
        <v>431</v>
      </c>
      <c r="E339" s="40"/>
      <c r="F339" s="41">
        <f t="shared" ref="F339:L339" si="20">F291+F310+F329+F338</f>
        <v>2609465.88</v>
      </c>
      <c r="G339" s="41">
        <f t="shared" si="20"/>
        <v>832121.02</v>
      </c>
      <c r="H339" s="41">
        <f t="shared" si="20"/>
        <v>696116.28</v>
      </c>
      <c r="I339" s="41">
        <f t="shared" si="20"/>
        <v>329568.44999999995</v>
      </c>
      <c r="J339" s="41">
        <f t="shared" si="20"/>
        <v>242850.57</v>
      </c>
      <c r="K339" s="41">
        <f t="shared" si="20"/>
        <v>5805.76</v>
      </c>
      <c r="L339" s="41">
        <f t="shared" si="20"/>
        <v>4715927.9600000009</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f>7457.14+86290.31</f>
        <v>93747.45</v>
      </c>
      <c r="L345" s="19">
        <f t="shared" ref="L345:L351" si="21">SUM(F345:K345)</f>
        <v>93747.45</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93747.45</v>
      </c>
      <c r="L352" s="41">
        <f>SUM(L342:L351)</f>
        <v>93747.45</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2609465.88</v>
      </c>
      <c r="G353" s="41">
        <f>G339</f>
        <v>832121.02</v>
      </c>
      <c r="H353" s="41">
        <f>H339</f>
        <v>696116.28</v>
      </c>
      <c r="I353" s="41">
        <f>I339</f>
        <v>329568.44999999995</v>
      </c>
      <c r="J353" s="41">
        <f>J339</f>
        <v>242850.57</v>
      </c>
      <c r="K353" s="47">
        <f>K339+K352</f>
        <v>99553.209999999992</v>
      </c>
      <c r="L353" s="41">
        <f>L339+L352</f>
        <v>4809675.4100000011</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f>53805.29+245095.55+3737.96</f>
        <v>302638.8</v>
      </c>
      <c r="G359" s="18">
        <f>22954.44+69448.26+285.94</f>
        <v>92688.639999999999</v>
      </c>
      <c r="H359" s="18">
        <f>17372.94+14096.3</f>
        <v>31469.239999999998</v>
      </c>
      <c r="I359" s="18">
        <f>34146.24+378930.94</f>
        <v>413077.18</v>
      </c>
      <c r="J359" s="18">
        <f>17535.58</f>
        <v>17535.580000000002</v>
      </c>
      <c r="K359" s="18">
        <f>884.82</f>
        <v>884.82</v>
      </c>
      <c r="L359" s="13">
        <f>SUM(F359:K359)</f>
        <v>858294.25999999989</v>
      </c>
      <c r="M359" s="8"/>
      <c r="N359" s="266"/>
    </row>
    <row r="360" spans="1:22" s="3" customFormat="1" ht="12.2" customHeight="1" x14ac:dyDescent="0.15">
      <c r="A360" s="1" t="s">
        <v>542</v>
      </c>
      <c r="B360" s="2" t="s">
        <v>366</v>
      </c>
      <c r="C360" s="6">
        <v>2</v>
      </c>
      <c r="D360" s="2" t="s">
        <v>431</v>
      </c>
      <c r="E360" s="6"/>
      <c r="F360" s="18">
        <f>27588.94+91481.89</f>
        <v>119070.83</v>
      </c>
      <c r="G360" s="18">
        <f>11770+10427.57</f>
        <v>22197.57</v>
      </c>
      <c r="H360" s="18">
        <f>8908.07+9858.97</f>
        <v>18767.04</v>
      </c>
      <c r="I360" s="18">
        <f>17508.66+132938.41</f>
        <v>150447.07</v>
      </c>
      <c r="J360" s="18">
        <f>8034.25</f>
        <v>8034.25</v>
      </c>
      <c r="K360" s="18">
        <f>453.7</f>
        <v>453.7</v>
      </c>
      <c r="L360" s="19">
        <f>SUM(F360:K360)</f>
        <v>318970.46000000002</v>
      </c>
      <c r="M360" s="8"/>
      <c r="N360" s="266"/>
    </row>
    <row r="361" spans="1:22" s="3" customFormat="1" ht="12.2" customHeight="1" x14ac:dyDescent="0.15">
      <c r="A361" s="3" t="s">
        <v>543</v>
      </c>
      <c r="B361" s="2" t="s">
        <v>366</v>
      </c>
      <c r="C361" s="6">
        <v>3</v>
      </c>
      <c r="D361" s="2" t="s">
        <v>431</v>
      </c>
      <c r="E361" s="6"/>
      <c r="F361" s="18">
        <f>43386.13+182476.29</f>
        <v>225862.42</v>
      </c>
      <c r="G361" s="18">
        <f>18509.41+34745.28</f>
        <v>53254.69</v>
      </c>
      <c r="H361" s="18">
        <f>14008.75+4174.93</f>
        <v>18183.68</v>
      </c>
      <c r="I361" s="18">
        <f>27533.97+280444.98</f>
        <v>307978.94999999995</v>
      </c>
      <c r="J361" s="18"/>
      <c r="K361" s="18">
        <f>713.48</f>
        <v>713.48</v>
      </c>
      <c r="L361" s="19">
        <f>SUM(F361:K361)</f>
        <v>605993.22</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647572.05000000005</v>
      </c>
      <c r="G363" s="47">
        <f t="shared" si="22"/>
        <v>168140.9</v>
      </c>
      <c r="H363" s="47">
        <f t="shared" si="22"/>
        <v>68419.959999999992</v>
      </c>
      <c r="I363" s="47">
        <f t="shared" si="22"/>
        <v>871503.2</v>
      </c>
      <c r="J363" s="47">
        <f t="shared" si="22"/>
        <v>25569.83</v>
      </c>
      <c r="K363" s="47">
        <f t="shared" si="22"/>
        <v>2052</v>
      </c>
      <c r="L363" s="47">
        <f t="shared" si="22"/>
        <v>1783257.94</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f>24329.2+339210.73</f>
        <v>363539.93</v>
      </c>
      <c r="G368" s="18">
        <f>12474.92+115451.85</f>
        <v>127926.77</v>
      </c>
      <c r="H368" s="18">
        <f>19617.95+256663.87</f>
        <v>276281.82</v>
      </c>
      <c r="I368" s="56">
        <f>SUM(F368:H368)</f>
        <v>767748.52</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f>9817.04+39720.21</f>
        <v>49537.25</v>
      </c>
      <c r="G369" s="63">
        <f>5033.74+17486.56</f>
        <v>22520.300000000003</v>
      </c>
      <c r="H369" s="63">
        <f>7916.02+23781.11</f>
        <v>31697.13</v>
      </c>
      <c r="I369" s="56">
        <f>SUM(F369:H369)</f>
        <v>103754.68000000001</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413077.18</v>
      </c>
      <c r="G370" s="47">
        <f>SUM(G368:G369)</f>
        <v>150447.07</v>
      </c>
      <c r="H370" s="47">
        <f>SUM(H368:H369)</f>
        <v>307978.95</v>
      </c>
      <c r="I370" s="47">
        <f>SUM(I368:I369)</f>
        <v>871503.20000000007</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f>16176.86+489611.7+1230681.8</f>
        <v>1736470.36</v>
      </c>
      <c r="I380" s="18"/>
      <c r="J380" s="18">
        <f>3247.87</f>
        <v>3247.87</v>
      </c>
      <c r="K380" s="18"/>
      <c r="L380" s="13">
        <f t="shared" si="23"/>
        <v>1739718.2300000002</v>
      </c>
      <c r="M380" s="8"/>
      <c r="N380" s="266"/>
    </row>
    <row r="381" spans="1:14" s="3" customFormat="1" ht="12.2" customHeight="1" x14ac:dyDescent="0.15">
      <c r="A381" s="1" t="s">
        <v>510</v>
      </c>
      <c r="B381" s="2" t="s">
        <v>366</v>
      </c>
      <c r="C381" s="2" t="s">
        <v>347</v>
      </c>
      <c r="D381" s="2" t="s">
        <v>431</v>
      </c>
      <c r="E381" s="6">
        <v>4900</v>
      </c>
      <c r="F381" s="18"/>
      <c r="G381" s="18"/>
      <c r="H381" s="18">
        <f>5500+3488.73+35123</f>
        <v>44111.729999999996</v>
      </c>
      <c r="I381" s="18">
        <f>7992.26+7102.93+1288.47</f>
        <v>16383.66</v>
      </c>
      <c r="J381" s="18">
        <f>2710.75+20086+31047.51+10563.24</f>
        <v>64407.499999999993</v>
      </c>
      <c r="K381" s="18"/>
      <c r="L381" s="13">
        <f t="shared" si="23"/>
        <v>124902.88999999998</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1780582.09</v>
      </c>
      <c r="I383" s="41">
        <f t="shared" si="24"/>
        <v>16383.66</v>
      </c>
      <c r="J383" s="47">
        <f t="shared" si="24"/>
        <v>67655.37</v>
      </c>
      <c r="K383" s="47">
        <f t="shared" si="24"/>
        <v>0</v>
      </c>
      <c r="L383" s="47">
        <f t="shared" si="24"/>
        <v>1864621.12</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f>4556125.36+273902.19</f>
        <v>4830027.5500000007</v>
      </c>
      <c r="H401" s="18">
        <f>111222.07+2412.95</f>
        <v>113635.02</v>
      </c>
      <c r="I401" s="18">
        <f>46595.56</f>
        <v>46595.56</v>
      </c>
      <c r="J401" s="24" t="s">
        <v>288</v>
      </c>
      <c r="K401" s="24" t="s">
        <v>288</v>
      </c>
      <c r="L401" s="56">
        <f t="shared" si="26"/>
        <v>4990258.13</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4830027.5500000007</v>
      </c>
      <c r="H402" s="47">
        <f>SUM(H396:H401)</f>
        <v>113635.02</v>
      </c>
      <c r="I402" s="47">
        <f>SUM(I396:I401)</f>
        <v>46595.56</v>
      </c>
      <c r="J402" s="45" t="s">
        <v>288</v>
      </c>
      <c r="K402" s="45" t="s">
        <v>288</v>
      </c>
      <c r="L402" s="47">
        <f>SUM(L396:L401)</f>
        <v>4990258.13</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4830027.5500000007</v>
      </c>
      <c r="H409" s="47">
        <f>H394+H402+H408</f>
        <v>113635.02</v>
      </c>
      <c r="I409" s="47">
        <f>I394+I402+I408</f>
        <v>46595.56</v>
      </c>
      <c r="J409" s="24" t="s">
        <v>288</v>
      </c>
      <c r="K409" s="24" t="s">
        <v>288</v>
      </c>
      <c r="L409" s="47">
        <f>L394+L402+L408</f>
        <v>4990258.13</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f>91401.67</f>
        <v>91401.67</v>
      </c>
      <c r="L427" s="56">
        <f t="shared" si="29"/>
        <v>91401.67</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91401.67</v>
      </c>
      <c r="L428" s="47">
        <f t="shared" si="30"/>
        <v>91401.67</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v>29159</v>
      </c>
      <c r="I430" s="18"/>
      <c r="J430" s="18"/>
      <c r="K430" s="18"/>
      <c r="L430" s="56">
        <f>SUM(F430:K430)</f>
        <v>29159</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29159</v>
      </c>
      <c r="I434" s="47">
        <f t="shared" si="31"/>
        <v>0</v>
      </c>
      <c r="J434" s="47">
        <f t="shared" si="31"/>
        <v>0</v>
      </c>
      <c r="K434" s="47">
        <f t="shared" si="31"/>
        <v>0</v>
      </c>
      <c r="L434" s="47">
        <f t="shared" si="31"/>
        <v>29159</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29159</v>
      </c>
      <c r="I435" s="47">
        <f t="shared" si="32"/>
        <v>0</v>
      </c>
      <c r="J435" s="47">
        <f t="shared" si="32"/>
        <v>0</v>
      </c>
      <c r="K435" s="47">
        <f t="shared" si="32"/>
        <v>91401.67</v>
      </c>
      <c r="L435" s="47">
        <f t="shared" si="32"/>
        <v>120560.67</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f>10817808.17+464132.14</f>
        <v>11281940.310000001</v>
      </c>
      <c r="H441" s="18"/>
      <c r="I441" s="56">
        <f t="shared" si="33"/>
        <v>11281940.310000001</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f>-1797634.2+93749.4</f>
        <v>-1703884.8</v>
      </c>
      <c r="H442" s="18"/>
      <c r="I442" s="56">
        <f t="shared" si="33"/>
        <v>-1703884.8</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0</v>
      </c>
      <c r="G447" s="13">
        <f>SUM(G440:G446)</f>
        <v>9578055.5099999998</v>
      </c>
      <c r="H447" s="13">
        <f>SUM(H440:H446)</f>
        <v>0</v>
      </c>
      <c r="I447" s="13">
        <f>SUM(I440:I446)</f>
        <v>9578055.5099999998</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f>-3959410.04+93827.22</f>
        <v>-3865582.82</v>
      </c>
      <c r="H449" s="18"/>
      <c r="I449" s="56">
        <f>SUM(F449:H449)</f>
        <v>-3865582.82</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-3865582.82</v>
      </c>
      <c r="H453" s="72">
        <f>SUM(H449:H452)</f>
        <v>0</v>
      </c>
      <c r="I453" s="72">
        <f>SUM(I449:I452)</f>
        <v>-3865582.82</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f>21450</f>
        <v>21450</v>
      </c>
      <c r="H456" s="18"/>
      <c r="I456" s="56">
        <f t="shared" si="34"/>
        <v>21450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f>12979584.01+442604.32</f>
        <v>13422188.33</v>
      </c>
      <c r="H460" s="18"/>
      <c r="I460" s="56">
        <f t="shared" si="34"/>
        <v>13422188.33</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0</v>
      </c>
      <c r="G461" s="83">
        <f>SUM(G455:G460)</f>
        <v>13443638.33</v>
      </c>
      <c r="H461" s="83">
        <f>SUM(H455:H460)</f>
        <v>0</v>
      </c>
      <c r="I461" s="83">
        <f>SUM(I455:I460)</f>
        <v>13443638.33</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0</v>
      </c>
      <c r="G462" s="42">
        <f>G453+G461</f>
        <v>9578055.5099999998</v>
      </c>
      <c r="H462" s="42">
        <f>H453+H461</f>
        <v>0</v>
      </c>
      <c r="I462" s="42">
        <f>I453+I461</f>
        <v>9578055.5099999998</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4047248.64</v>
      </c>
      <c r="G466" s="18">
        <v>208401.55</v>
      </c>
      <c r="H466" s="18">
        <v>330411.89</v>
      </c>
      <c r="I466" s="18">
        <v>2899914.91</v>
      </c>
      <c r="J466" s="18">
        <v>8573940.8699999992</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84105119.769999996</v>
      </c>
      <c r="G469" s="18">
        <v>1619770.94</v>
      </c>
      <c r="H469" s="18">
        <v>4793666.1100000003</v>
      </c>
      <c r="I469" s="18">
        <v>101111.05</v>
      </c>
      <c r="J469" s="18">
        <f>4941249.62+49008.51</f>
        <v>4990258.13</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84105119.769999996</v>
      </c>
      <c r="G471" s="53">
        <f>SUM(G469:G470)</f>
        <v>1619770.94</v>
      </c>
      <c r="H471" s="53">
        <f>SUM(H469:H470)</f>
        <v>4793666.1100000003</v>
      </c>
      <c r="I471" s="53">
        <f>SUM(I469:I470)</f>
        <v>101111.05</v>
      </c>
      <c r="J471" s="53">
        <f>SUM(J469:J470)</f>
        <v>4990258.13</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84997156.969999999</v>
      </c>
      <c r="G473" s="18">
        <f>1783257.94</f>
        <v>1783257.94</v>
      </c>
      <c r="H473" s="18">
        <f>4809675.41</f>
        <v>4809675.41</v>
      </c>
      <c r="I473" s="18">
        <v>1864621.12</v>
      </c>
      <c r="J473" s="18">
        <f>91401.67+29159</f>
        <v>120560.67</v>
      </c>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84997156.969999999</v>
      </c>
      <c r="G475" s="53">
        <f>SUM(G473:G474)</f>
        <v>1783257.94</v>
      </c>
      <c r="H475" s="53">
        <f>SUM(H473:H474)</f>
        <v>4809675.41</v>
      </c>
      <c r="I475" s="53">
        <f>SUM(I473:I474)</f>
        <v>1864621.12</v>
      </c>
      <c r="J475" s="53">
        <f>SUM(J473:J474)</f>
        <v>120560.67</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3155211.4399999976</v>
      </c>
      <c r="G477" s="53">
        <f>(G466+G471)- G475</f>
        <v>44914.550000000047</v>
      </c>
      <c r="H477" s="53">
        <f>(H466+H471)- H475</f>
        <v>314402.58999999985</v>
      </c>
      <c r="I477" s="53">
        <f>(I466+I471)- I475</f>
        <v>1136404.8399999999</v>
      </c>
      <c r="J477" s="53">
        <f>(J466+J471)- J475</f>
        <v>13443638.33</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t="s">
        <v>1642</v>
      </c>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t="s">
        <v>1643</v>
      </c>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t="s">
        <v>1644</v>
      </c>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v>99903145.400000006</v>
      </c>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54" t="s">
        <v>1642</v>
      </c>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v>57325000</v>
      </c>
      <c r="G496" s="18"/>
      <c r="H496" s="18"/>
      <c r="I496" s="18"/>
      <c r="J496" s="18"/>
      <c r="K496" s="53">
        <f>SUM(F496:J496)</f>
        <v>57325000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v>3330000</v>
      </c>
      <c r="G498" s="18"/>
      <c r="H498" s="18"/>
      <c r="I498" s="18"/>
      <c r="J498" s="18"/>
      <c r="K498" s="53">
        <f t="shared" si="35"/>
        <v>3330000</v>
      </c>
      <c r="L498" s="24" t="s">
        <v>288</v>
      </c>
      <c r="N498" s="265"/>
    </row>
    <row r="499" spans="1:14" s="52" customFormat="1" ht="12.2" customHeight="1" x14ac:dyDescent="0.2">
      <c r="A499" s="200" t="s">
        <v>622</v>
      </c>
      <c r="B499" s="201">
        <v>20</v>
      </c>
      <c r="C499" s="202">
        <v>9</v>
      </c>
      <c r="D499" s="203" t="s">
        <v>432</v>
      </c>
      <c r="E499" s="202"/>
      <c r="F499" s="204">
        <v>53940000</v>
      </c>
      <c r="G499" s="204"/>
      <c r="H499" s="204"/>
      <c r="I499" s="204"/>
      <c r="J499" s="204"/>
      <c r="K499" s="205">
        <f t="shared" si="35"/>
        <v>53940000</v>
      </c>
      <c r="L499" s="206" t="s">
        <v>288</v>
      </c>
      <c r="N499" s="265"/>
    </row>
    <row r="500" spans="1:14" s="52" customFormat="1" ht="12.2" customHeight="1" thickBot="1" x14ac:dyDescent="0.25">
      <c r="A500" s="22" t="s">
        <v>623</v>
      </c>
      <c r="B500" s="75">
        <v>20</v>
      </c>
      <c r="C500" s="115">
        <v>10</v>
      </c>
      <c r="D500" s="2" t="s">
        <v>432</v>
      </c>
      <c r="E500" s="115"/>
      <c r="F500" s="18">
        <f>2982912.22-856447.38</f>
        <v>2126464.8400000003</v>
      </c>
      <c r="G500" s="18"/>
      <c r="H500" s="18"/>
      <c r="I500" s="18"/>
      <c r="J500" s="18"/>
      <c r="K500" s="53">
        <f t="shared" si="35"/>
        <v>2126464.8400000003</v>
      </c>
      <c r="L500" s="24" t="s">
        <v>288</v>
      </c>
      <c r="N500" s="265"/>
    </row>
    <row r="501" spans="1:14" s="52" customFormat="1" ht="12.2" customHeight="1" thickTop="1" x14ac:dyDescent="0.2">
      <c r="A501" s="139" t="s">
        <v>624</v>
      </c>
      <c r="B501" s="44">
        <v>20</v>
      </c>
      <c r="C501" s="195">
        <v>11</v>
      </c>
      <c r="D501" s="39" t="s">
        <v>432</v>
      </c>
      <c r="E501" s="195"/>
      <c r="F501" s="42">
        <f>SUM(F499:F500)</f>
        <v>56066464.840000004</v>
      </c>
      <c r="G501" s="42">
        <f>SUM(G499:G500)</f>
        <v>0</v>
      </c>
      <c r="H501" s="42">
        <f>SUM(H499:H500)</f>
        <v>0</v>
      </c>
      <c r="I501" s="42">
        <f>SUM(I499:I500)</f>
        <v>0</v>
      </c>
      <c r="J501" s="42">
        <f>SUM(J499:J500)</f>
        <v>0</v>
      </c>
      <c r="K501" s="42">
        <f t="shared" si="35"/>
        <v>56066464.840000004</v>
      </c>
      <c r="L501" s="45" t="s">
        <v>288</v>
      </c>
      <c r="N501" s="265"/>
    </row>
    <row r="502" spans="1:14" s="52" customFormat="1" ht="12.2" customHeight="1" x14ac:dyDescent="0.2">
      <c r="A502" s="200" t="s">
        <v>651</v>
      </c>
      <c r="B502" s="201">
        <v>20</v>
      </c>
      <c r="C502" s="202">
        <v>12</v>
      </c>
      <c r="D502" s="203" t="s">
        <v>432</v>
      </c>
      <c r="E502" s="202"/>
      <c r="F502" s="204">
        <v>3330000</v>
      </c>
      <c r="G502" s="204"/>
      <c r="H502" s="204"/>
      <c r="I502" s="204"/>
      <c r="J502" s="204"/>
      <c r="K502" s="205">
        <f t="shared" si="35"/>
        <v>3330000</v>
      </c>
      <c r="L502" s="206" t="s">
        <v>288</v>
      </c>
      <c r="N502" s="265"/>
    </row>
    <row r="503" spans="1:14" s="52" customFormat="1" ht="12.2" customHeight="1" thickBot="1" x14ac:dyDescent="0.25">
      <c r="A503" s="22" t="s">
        <v>625</v>
      </c>
      <c r="B503" s="75">
        <v>20</v>
      </c>
      <c r="C503" s="115">
        <v>13</v>
      </c>
      <c r="D503" s="2" t="s">
        <v>432</v>
      </c>
      <c r="E503" s="115"/>
      <c r="F503" s="18">
        <f>2827437-841894.38</f>
        <v>1985542.62</v>
      </c>
      <c r="G503" s="18"/>
      <c r="H503" s="18"/>
      <c r="I503" s="18"/>
      <c r="J503" s="18"/>
      <c r="K503" s="53">
        <f t="shared" si="35"/>
        <v>1985542.62</v>
      </c>
      <c r="L503" s="24" t="s">
        <v>288</v>
      </c>
      <c r="N503" s="265"/>
    </row>
    <row r="504" spans="1:14" s="52" customFormat="1" ht="12.2" customHeight="1" thickTop="1" x14ac:dyDescent="0.2">
      <c r="A504" s="139" t="s">
        <v>626</v>
      </c>
      <c r="B504" s="44">
        <v>20</v>
      </c>
      <c r="C504" s="195">
        <v>14</v>
      </c>
      <c r="D504" s="39" t="s">
        <v>432</v>
      </c>
      <c r="E504" s="195"/>
      <c r="F504" s="42">
        <f>SUM(F502:F503)</f>
        <v>5315542.62</v>
      </c>
      <c r="G504" s="42">
        <f>SUM(G502:G503)</f>
        <v>0</v>
      </c>
      <c r="H504" s="42">
        <f>SUM(H502:H503)</f>
        <v>0</v>
      </c>
      <c r="I504" s="42">
        <f>SUM(I502:I503)</f>
        <v>0</v>
      </c>
      <c r="J504" s="42">
        <f>SUM(J502:J503)</f>
        <v>0</v>
      </c>
      <c r="K504" s="42">
        <f t="shared" si="35"/>
        <v>5315542.62</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f>4674685.15</f>
        <v>4674685.1500000004</v>
      </c>
      <c r="G522" s="18">
        <f>1628937.3</f>
        <v>1628937.3</v>
      </c>
      <c r="H522" s="18">
        <f>966085.33</f>
        <v>966085.33</v>
      </c>
      <c r="I522" s="18">
        <f>26114.73</f>
        <v>26114.73</v>
      </c>
      <c r="J522" s="18">
        <f>29951.27</f>
        <v>29951.27</v>
      </c>
      <c r="K522" s="18"/>
      <c r="L522" s="88">
        <f>SUM(F522:K522)</f>
        <v>7325773.7800000003</v>
      </c>
      <c r="N522" s="265"/>
    </row>
    <row r="523" spans="1:14" s="52" customFormat="1" ht="12.2" customHeight="1" x14ac:dyDescent="0.2">
      <c r="A523" s="22" t="s">
        <v>634</v>
      </c>
      <c r="B523" s="105">
        <v>21</v>
      </c>
      <c r="C523" s="115">
        <v>2</v>
      </c>
      <c r="D523" s="2" t="s">
        <v>432</v>
      </c>
      <c r="E523" s="115"/>
      <c r="F523" s="18">
        <f>1740126.09</f>
        <v>1740126.09</v>
      </c>
      <c r="G523" s="18">
        <f>676988.27</f>
        <v>676988.27</v>
      </c>
      <c r="H523" s="18">
        <f>591895.55</f>
        <v>591895.55000000005</v>
      </c>
      <c r="I523" s="18">
        <f>6483.04</f>
        <v>6483.04</v>
      </c>
      <c r="J523" s="18">
        <f>8684.48</f>
        <v>8684.48</v>
      </c>
      <c r="K523" s="18"/>
      <c r="L523" s="88">
        <f>SUM(F523:K523)</f>
        <v>3024177.43</v>
      </c>
      <c r="N523" s="265"/>
    </row>
    <row r="524" spans="1:14" s="52" customFormat="1" ht="12.2" customHeight="1" thickBot="1" x14ac:dyDescent="0.25">
      <c r="A524" s="22" t="s">
        <v>635</v>
      </c>
      <c r="B524" s="105">
        <v>21</v>
      </c>
      <c r="C524" s="115">
        <v>3</v>
      </c>
      <c r="D524" s="2" t="s">
        <v>432</v>
      </c>
      <c r="E524" s="115"/>
      <c r="F524" s="18">
        <f>2611975.22</f>
        <v>2611975.2200000002</v>
      </c>
      <c r="G524" s="18">
        <f>1062900.11</f>
        <v>1062900.1100000001</v>
      </c>
      <c r="H524" s="18">
        <f>1659286.76</f>
        <v>1659286.76</v>
      </c>
      <c r="I524" s="18">
        <f>13960.67</f>
        <v>13960.67</v>
      </c>
      <c r="J524" s="18">
        <f>8823.02</f>
        <v>8823.02</v>
      </c>
      <c r="K524" s="18"/>
      <c r="L524" s="88">
        <f>SUM(F524:K524)</f>
        <v>5356945.7799999993</v>
      </c>
      <c r="N524" s="265"/>
    </row>
    <row r="525" spans="1:14" s="52" customFormat="1" ht="12.2" customHeight="1" thickTop="1" x14ac:dyDescent="0.2">
      <c r="A525" s="139" t="s">
        <v>63</v>
      </c>
      <c r="B525" s="107">
        <v>21</v>
      </c>
      <c r="C525" s="195">
        <v>4</v>
      </c>
      <c r="D525" s="196" t="s">
        <v>432</v>
      </c>
      <c r="E525" s="195"/>
      <c r="F525" s="108">
        <f>SUM(F522:F524)</f>
        <v>9026786.4600000009</v>
      </c>
      <c r="G525" s="108">
        <f t="shared" ref="G525:L525" si="36">SUM(G522:G524)</f>
        <v>3368825.6800000006</v>
      </c>
      <c r="H525" s="108">
        <f t="shared" si="36"/>
        <v>3217267.6399999997</v>
      </c>
      <c r="I525" s="108">
        <f t="shared" si="36"/>
        <v>46558.44</v>
      </c>
      <c r="J525" s="108">
        <f t="shared" si="36"/>
        <v>47458.770000000004</v>
      </c>
      <c r="K525" s="108">
        <f t="shared" si="36"/>
        <v>0</v>
      </c>
      <c r="L525" s="89">
        <f t="shared" si="36"/>
        <v>15706896.99</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f>1627237.36</f>
        <v>1627237.36</v>
      </c>
      <c r="G527" s="18">
        <f>576011.68</f>
        <v>576011.68000000005</v>
      </c>
      <c r="H527" s="18">
        <f>197071.17</f>
        <v>197071.17</v>
      </c>
      <c r="I527" s="18">
        <f>22477.31</f>
        <v>22477.31</v>
      </c>
      <c r="J527" s="18">
        <f>4770.33</f>
        <v>4770.33</v>
      </c>
      <c r="K527" s="18">
        <f>1289.1</f>
        <v>1289.0999999999999</v>
      </c>
      <c r="L527" s="88">
        <f>SUM(F527:K527)</f>
        <v>2428856.9500000002</v>
      </c>
      <c r="M527" s="8"/>
      <c r="N527" s="266"/>
    </row>
    <row r="528" spans="1:14" s="3" customFormat="1" ht="12.2" customHeight="1" x14ac:dyDescent="0.15">
      <c r="A528" s="22" t="s">
        <v>634</v>
      </c>
      <c r="B528" s="105">
        <v>21</v>
      </c>
      <c r="C528" s="115">
        <v>6</v>
      </c>
      <c r="D528" s="2" t="s">
        <v>432</v>
      </c>
      <c r="E528" s="115"/>
      <c r="F528" s="18">
        <f>317540.99</f>
        <v>317540.99</v>
      </c>
      <c r="G528" s="18">
        <f>136624.48</f>
        <v>136624.48000000001</v>
      </c>
      <c r="H528" s="18">
        <f>50021.92</f>
        <v>50021.919999999998</v>
      </c>
      <c r="I528" s="18">
        <f>3973.71</f>
        <v>3973.71</v>
      </c>
      <c r="J528" s="18">
        <f>2149.37</f>
        <v>2149.37</v>
      </c>
      <c r="K528" s="18">
        <f>590.74</f>
        <v>590.74</v>
      </c>
      <c r="L528" s="88">
        <f>SUM(F528:K528)</f>
        <v>510901.20999999996</v>
      </c>
      <c r="M528" s="8"/>
      <c r="N528" s="266"/>
    </row>
    <row r="529" spans="1:14" s="3" customFormat="1" ht="12.2" customHeight="1" thickBot="1" x14ac:dyDescent="0.2">
      <c r="A529" s="22" t="s">
        <v>635</v>
      </c>
      <c r="B529" s="118">
        <v>21</v>
      </c>
      <c r="C529" s="118">
        <v>7</v>
      </c>
      <c r="D529" s="2" t="s">
        <v>432</v>
      </c>
      <c r="E529" s="118"/>
      <c r="F529" s="18">
        <f>581238.36</f>
        <v>581238.36</v>
      </c>
      <c r="G529" s="18">
        <f>232905.35</f>
        <v>232905.35</v>
      </c>
      <c r="H529" s="18">
        <f>129126.94</f>
        <v>129126.94</v>
      </c>
      <c r="I529" s="18">
        <f>23903.04</f>
        <v>23903.040000000001</v>
      </c>
      <c r="J529" s="18">
        <f>13583.85</f>
        <v>13583.85</v>
      </c>
      <c r="K529" s="18">
        <f>600.16</f>
        <v>600.16</v>
      </c>
      <c r="L529" s="88">
        <f>SUM(F529:K529)</f>
        <v>981357.7</v>
      </c>
      <c r="M529" s="8"/>
      <c r="N529" s="266"/>
    </row>
    <row r="530" spans="1:14" s="3" customFormat="1" ht="12.2" customHeight="1" thickTop="1" x14ac:dyDescent="0.15">
      <c r="A530" s="139" t="s">
        <v>65</v>
      </c>
      <c r="B530" s="107">
        <v>21</v>
      </c>
      <c r="C530" s="107">
        <v>8</v>
      </c>
      <c r="D530" s="158" t="s">
        <v>432</v>
      </c>
      <c r="E530" s="107"/>
      <c r="F530" s="89">
        <f>SUM(F527:F529)</f>
        <v>2526016.71</v>
      </c>
      <c r="G530" s="89">
        <f t="shared" ref="G530:L530" si="37">SUM(G527:G529)</f>
        <v>945541.51</v>
      </c>
      <c r="H530" s="89">
        <f t="shared" si="37"/>
        <v>376220.03</v>
      </c>
      <c r="I530" s="89">
        <f t="shared" si="37"/>
        <v>50354.06</v>
      </c>
      <c r="J530" s="89">
        <f t="shared" si="37"/>
        <v>20503.55</v>
      </c>
      <c r="K530" s="89">
        <f t="shared" si="37"/>
        <v>2480</v>
      </c>
      <c r="L530" s="89">
        <f t="shared" si="37"/>
        <v>3921115.8600000003</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f>70567.6</f>
        <v>70567.600000000006</v>
      </c>
      <c r="G532" s="18">
        <f>23442.96</f>
        <v>23442.959999999999</v>
      </c>
      <c r="H532" s="18"/>
      <c r="I532" s="18"/>
      <c r="J532" s="18"/>
      <c r="K532" s="18"/>
      <c r="L532" s="88">
        <f>SUM(F532:K532)</f>
        <v>94010.559999999998</v>
      </c>
      <c r="M532" s="8"/>
      <c r="N532" s="266"/>
    </row>
    <row r="533" spans="1:14" s="3" customFormat="1" ht="12.2" customHeight="1" x14ac:dyDescent="0.15">
      <c r="A533" s="22" t="s">
        <v>634</v>
      </c>
      <c r="B533" s="105">
        <v>21</v>
      </c>
      <c r="C533" s="105">
        <v>10</v>
      </c>
      <c r="D533" s="2" t="s">
        <v>432</v>
      </c>
      <c r="E533" s="105"/>
      <c r="F533" s="18">
        <f>32337.82</f>
        <v>32337.82</v>
      </c>
      <c r="G533" s="18">
        <f>10742.81</f>
        <v>10742.81</v>
      </c>
      <c r="H533" s="18"/>
      <c r="I533" s="18"/>
      <c r="J533" s="18"/>
      <c r="K533" s="18"/>
      <c r="L533" s="88">
        <f>SUM(F533:K533)</f>
        <v>43080.63</v>
      </c>
      <c r="M533" s="8"/>
      <c r="N533" s="266"/>
    </row>
    <row r="534" spans="1:14" s="3" customFormat="1" ht="12.2" customHeight="1" thickBot="1" x14ac:dyDescent="0.2">
      <c r="A534" s="22" t="s">
        <v>635</v>
      </c>
      <c r="B534" s="105">
        <v>21</v>
      </c>
      <c r="C534" s="105">
        <v>11</v>
      </c>
      <c r="D534" s="2" t="s">
        <v>432</v>
      </c>
      <c r="E534" s="105"/>
      <c r="F534" s="18">
        <f>32853.71</f>
        <v>32853.71</v>
      </c>
      <c r="G534" s="18">
        <f>10914.19</f>
        <v>10914.19</v>
      </c>
      <c r="H534" s="18"/>
      <c r="I534" s="18"/>
      <c r="J534" s="18"/>
      <c r="K534" s="18"/>
      <c r="L534" s="88">
        <f>SUM(F534:K534)</f>
        <v>43767.9</v>
      </c>
      <c r="M534" s="8"/>
      <c r="N534" s="266"/>
    </row>
    <row r="535" spans="1:14" s="3" customFormat="1" ht="12.2" customHeight="1" thickTop="1" x14ac:dyDescent="0.15">
      <c r="A535" s="139" t="s">
        <v>67</v>
      </c>
      <c r="B535" s="107">
        <v>21</v>
      </c>
      <c r="C535" s="107">
        <v>12</v>
      </c>
      <c r="D535" s="158" t="s">
        <v>432</v>
      </c>
      <c r="E535" s="107"/>
      <c r="F535" s="89">
        <f>SUM(F532:F534)</f>
        <v>135759.13</v>
      </c>
      <c r="G535" s="89">
        <f t="shared" ref="G535:L535" si="38">SUM(G532:G534)</f>
        <v>45099.96</v>
      </c>
      <c r="H535" s="89">
        <f t="shared" si="38"/>
        <v>0</v>
      </c>
      <c r="I535" s="89">
        <f t="shared" si="38"/>
        <v>0</v>
      </c>
      <c r="J535" s="89">
        <f t="shared" si="38"/>
        <v>0</v>
      </c>
      <c r="K535" s="89">
        <f t="shared" si="38"/>
        <v>0</v>
      </c>
      <c r="L535" s="89">
        <f t="shared" si="38"/>
        <v>180859.09</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f>8226.76</f>
        <v>8226.76</v>
      </c>
      <c r="I537" s="18"/>
      <c r="J537" s="18"/>
      <c r="K537" s="18"/>
      <c r="L537" s="88">
        <f>SUM(F537:K537)</f>
        <v>8226.76</v>
      </c>
      <c r="M537" s="8"/>
      <c r="N537" s="266"/>
    </row>
    <row r="538" spans="1:14" s="3" customFormat="1" ht="12.2" customHeight="1" x14ac:dyDescent="0.15">
      <c r="A538" s="22" t="s">
        <v>634</v>
      </c>
      <c r="B538" s="105">
        <v>21</v>
      </c>
      <c r="C538" s="105">
        <v>14</v>
      </c>
      <c r="D538" s="2" t="s">
        <v>432</v>
      </c>
      <c r="E538" s="105"/>
      <c r="F538" s="18"/>
      <c r="G538" s="18"/>
      <c r="H538" s="18">
        <f>3769.94</f>
        <v>3769.94</v>
      </c>
      <c r="I538" s="18"/>
      <c r="J538" s="18"/>
      <c r="K538" s="18"/>
      <c r="L538" s="88">
        <f>SUM(F538:K538)</f>
        <v>3769.94</v>
      </c>
      <c r="M538" s="8"/>
      <c r="N538" s="266"/>
    </row>
    <row r="539" spans="1:14" s="3" customFormat="1" ht="12.2" customHeight="1" thickBot="1" x14ac:dyDescent="0.2">
      <c r="A539" s="22" t="s">
        <v>635</v>
      </c>
      <c r="B539" s="105">
        <v>21</v>
      </c>
      <c r="C539" s="105">
        <v>15</v>
      </c>
      <c r="D539" s="2" t="s">
        <v>432</v>
      </c>
      <c r="E539" s="105"/>
      <c r="F539" s="18"/>
      <c r="G539" s="18"/>
      <c r="H539" s="18">
        <f>3830.08</f>
        <v>3830.08</v>
      </c>
      <c r="I539" s="18"/>
      <c r="J539" s="18"/>
      <c r="K539" s="18"/>
      <c r="L539" s="88">
        <f>SUM(F539:K539)</f>
        <v>3830.08</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15826.78</v>
      </c>
      <c r="I540" s="89">
        <f t="shared" si="39"/>
        <v>0</v>
      </c>
      <c r="J540" s="89">
        <f t="shared" si="39"/>
        <v>0</v>
      </c>
      <c r="K540" s="89">
        <f t="shared" si="39"/>
        <v>0</v>
      </c>
      <c r="L540" s="89">
        <f t="shared" si="39"/>
        <v>15826.78</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f>263241.35</f>
        <v>263241.34999999998</v>
      </c>
      <c r="G542" s="18">
        <f>95147.1</f>
        <v>95147.1</v>
      </c>
      <c r="H542" s="18">
        <f>126472.27</f>
        <v>126472.27</v>
      </c>
      <c r="I542" s="18"/>
      <c r="J542" s="18"/>
      <c r="K542" s="18">
        <f>394.6</f>
        <v>394.6</v>
      </c>
      <c r="L542" s="88">
        <f>SUM(F542:K542)</f>
        <v>485255.31999999995</v>
      </c>
      <c r="M542" s="8"/>
      <c r="N542" s="266"/>
    </row>
    <row r="543" spans="1:14" s="3" customFormat="1" ht="12.2" customHeight="1" x14ac:dyDescent="0.15">
      <c r="A543" s="22" t="s">
        <v>634</v>
      </c>
      <c r="B543" s="105">
        <v>21</v>
      </c>
      <c r="C543" s="105">
        <v>18</v>
      </c>
      <c r="D543" s="2" t="s">
        <v>432</v>
      </c>
      <c r="E543" s="105"/>
      <c r="F543" s="18">
        <f>134978.34</f>
        <v>134978.34</v>
      </c>
      <c r="G543" s="18">
        <f>48787.16</f>
        <v>48787.16</v>
      </c>
      <c r="H543" s="18">
        <f>64849.3</f>
        <v>64849.3</v>
      </c>
      <c r="I543" s="18"/>
      <c r="J543" s="18"/>
      <c r="K543" s="18">
        <f>202.33</f>
        <v>202.33</v>
      </c>
      <c r="L543" s="88">
        <f>SUM(F543:K543)</f>
        <v>248817.12999999998</v>
      </c>
      <c r="M543" s="8"/>
      <c r="N543" s="266"/>
    </row>
    <row r="544" spans="1:14" s="3" customFormat="1" ht="12.2" customHeight="1" thickBot="1" x14ac:dyDescent="0.2">
      <c r="A544" s="22" t="s">
        <v>635</v>
      </c>
      <c r="B544" s="105">
        <v>21</v>
      </c>
      <c r="C544" s="105">
        <v>19</v>
      </c>
      <c r="D544" s="2" t="s">
        <v>432</v>
      </c>
      <c r="E544" s="105"/>
      <c r="F544" s="18">
        <f>212265.81</f>
        <v>212265.81</v>
      </c>
      <c r="G544" s="18">
        <f>76722.27</f>
        <v>76722.27</v>
      </c>
      <c r="H544" s="18">
        <f>101981.47</f>
        <v>101981.47</v>
      </c>
      <c r="I544" s="18"/>
      <c r="J544" s="18"/>
      <c r="K544" s="18">
        <f>318.2</f>
        <v>318.2</v>
      </c>
      <c r="L544" s="88">
        <f>SUM(F544:K544)</f>
        <v>391287.75000000006</v>
      </c>
      <c r="M544" s="8"/>
      <c r="N544" s="266"/>
    </row>
    <row r="545" spans="1:14" s="3" customFormat="1" ht="12.2" customHeight="1" thickTop="1" thickBot="1" x14ac:dyDescent="0.2">
      <c r="A545" s="130" t="s">
        <v>71</v>
      </c>
      <c r="B545" s="191">
        <v>21</v>
      </c>
      <c r="C545" s="191">
        <v>20</v>
      </c>
      <c r="D545" s="192" t="s">
        <v>432</v>
      </c>
      <c r="E545" s="191"/>
      <c r="F545" s="193">
        <f>SUM(F542:F544)</f>
        <v>610485.5</v>
      </c>
      <c r="G545" s="193">
        <f t="shared" ref="G545:L545" si="40">SUM(G542:G544)</f>
        <v>220656.53000000003</v>
      </c>
      <c r="H545" s="193">
        <f t="shared" si="40"/>
        <v>293303.04000000004</v>
      </c>
      <c r="I545" s="193">
        <f t="shared" si="40"/>
        <v>0</v>
      </c>
      <c r="J545" s="193">
        <f t="shared" si="40"/>
        <v>0</v>
      </c>
      <c r="K545" s="193">
        <f t="shared" si="40"/>
        <v>915.13000000000011</v>
      </c>
      <c r="L545" s="193">
        <f t="shared" si="40"/>
        <v>1125360.2</v>
      </c>
      <c r="M545" s="8"/>
      <c r="N545" s="266"/>
    </row>
    <row r="546" spans="1:14" s="3" customFormat="1" ht="12.2" customHeight="1" thickTop="1" x14ac:dyDescent="0.15">
      <c r="A546" s="98" t="s">
        <v>72</v>
      </c>
      <c r="B546" s="107">
        <v>21</v>
      </c>
      <c r="C546" s="107">
        <v>21</v>
      </c>
      <c r="D546" s="158" t="s">
        <v>432</v>
      </c>
      <c r="E546" s="107"/>
      <c r="F546" s="89">
        <f>F525+F530+F535+F540+F545</f>
        <v>12299047.800000003</v>
      </c>
      <c r="G546" s="89">
        <f t="shared" ref="G546:L546" si="41">G525+G530+G535+G540+G545</f>
        <v>4580123.6800000006</v>
      </c>
      <c r="H546" s="89">
        <f t="shared" si="41"/>
        <v>3902617.4899999998</v>
      </c>
      <c r="I546" s="89">
        <f t="shared" si="41"/>
        <v>96912.5</v>
      </c>
      <c r="J546" s="89">
        <f t="shared" si="41"/>
        <v>67962.320000000007</v>
      </c>
      <c r="K546" s="89">
        <f t="shared" si="41"/>
        <v>3395.13</v>
      </c>
      <c r="L546" s="89">
        <f t="shared" si="41"/>
        <v>20950058.920000002</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7325773.7800000003</v>
      </c>
      <c r="G550" s="87">
        <f>L527</f>
        <v>2428856.9500000002</v>
      </c>
      <c r="H550" s="87">
        <f>L532</f>
        <v>94010.559999999998</v>
      </c>
      <c r="I550" s="87">
        <f>L537</f>
        <v>8226.76</v>
      </c>
      <c r="J550" s="87">
        <f>L542</f>
        <v>485255.31999999995</v>
      </c>
      <c r="K550" s="87">
        <f>SUM(F550:J550)</f>
        <v>10342123.370000001</v>
      </c>
      <c r="L550" s="24" t="s">
        <v>288</v>
      </c>
      <c r="M550" s="8"/>
      <c r="N550" s="266"/>
    </row>
    <row r="551" spans="1:14" s="3" customFormat="1" ht="12.2" customHeight="1" x14ac:dyDescent="0.15">
      <c r="A551" s="22" t="s">
        <v>634</v>
      </c>
      <c r="B551" s="75">
        <v>21</v>
      </c>
      <c r="C551" s="75">
        <v>23</v>
      </c>
      <c r="D551" s="2" t="s">
        <v>432</v>
      </c>
      <c r="E551" s="75"/>
      <c r="F551" s="87">
        <f>L523</f>
        <v>3024177.43</v>
      </c>
      <c r="G551" s="87">
        <f>L528</f>
        <v>510901.20999999996</v>
      </c>
      <c r="H551" s="87">
        <f>L533</f>
        <v>43080.63</v>
      </c>
      <c r="I551" s="87">
        <f>L538</f>
        <v>3769.94</v>
      </c>
      <c r="J551" s="87">
        <f>L543</f>
        <v>248817.12999999998</v>
      </c>
      <c r="K551" s="87">
        <f>SUM(F551:J551)</f>
        <v>3830746.34</v>
      </c>
      <c r="L551" s="24" t="s">
        <v>288</v>
      </c>
      <c r="M551" s="8"/>
      <c r="N551" s="266"/>
    </row>
    <row r="552" spans="1:14" s="3" customFormat="1" ht="12.2" customHeight="1" thickBot="1" x14ac:dyDescent="0.2">
      <c r="A552" s="22" t="s">
        <v>635</v>
      </c>
      <c r="B552" s="75">
        <v>21</v>
      </c>
      <c r="C552" s="75">
        <v>24</v>
      </c>
      <c r="D552" s="2" t="s">
        <v>432</v>
      </c>
      <c r="E552" s="75"/>
      <c r="F552" s="87">
        <f>L524</f>
        <v>5356945.7799999993</v>
      </c>
      <c r="G552" s="87">
        <f>L529</f>
        <v>981357.7</v>
      </c>
      <c r="H552" s="87">
        <f>L534</f>
        <v>43767.9</v>
      </c>
      <c r="I552" s="87">
        <f>L539</f>
        <v>3830.08</v>
      </c>
      <c r="J552" s="87">
        <f>L544</f>
        <v>391287.75000000006</v>
      </c>
      <c r="K552" s="87">
        <f>SUM(F552:J552)</f>
        <v>6777189.21</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15706896.99</v>
      </c>
      <c r="G553" s="89">
        <f t="shared" si="42"/>
        <v>3921115.8600000003</v>
      </c>
      <c r="H553" s="89">
        <f t="shared" si="42"/>
        <v>180859.09</v>
      </c>
      <c r="I553" s="89">
        <f t="shared" si="42"/>
        <v>15826.78</v>
      </c>
      <c r="J553" s="89">
        <f t="shared" si="42"/>
        <v>1125360.2</v>
      </c>
      <c r="K553" s="89">
        <f t="shared" si="42"/>
        <v>20950058.920000002</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f>353038.96</f>
        <v>353038.96</v>
      </c>
      <c r="G563" s="18">
        <f>107490.4</f>
        <v>107490.4</v>
      </c>
      <c r="H563" s="18">
        <f>15110.46+2461.12</f>
        <v>17571.579999999998</v>
      </c>
      <c r="I563" s="18">
        <f>2393.24+1524.05</f>
        <v>3917.29</v>
      </c>
      <c r="J563" s="18"/>
      <c r="K563" s="18"/>
      <c r="L563" s="88">
        <f>SUM(F563:K563)</f>
        <v>482018.23</v>
      </c>
      <c r="M563" s="8"/>
      <c r="N563" s="266"/>
    </row>
    <row r="564" spans="1:14" s="3" customFormat="1" ht="12.2" customHeight="1" x14ac:dyDescent="0.15">
      <c r="A564" s="22" t="s">
        <v>634</v>
      </c>
      <c r="B564" s="105">
        <v>22</v>
      </c>
      <c r="C564" s="115">
        <v>6</v>
      </c>
      <c r="D564" s="2" t="s">
        <v>432</v>
      </c>
      <c r="E564" s="115"/>
      <c r="F564" s="18">
        <f>139096.31</f>
        <v>139096.31</v>
      </c>
      <c r="G564" s="18">
        <f>44664.12</f>
        <v>44664.12</v>
      </c>
      <c r="H564" s="18">
        <f>2753.66+1261.95</f>
        <v>4015.6099999999997</v>
      </c>
      <c r="I564" s="18">
        <f>21.7+781.46</f>
        <v>803.16000000000008</v>
      </c>
      <c r="J564" s="18"/>
      <c r="K564" s="18"/>
      <c r="L564" s="88">
        <f>SUM(F564:K564)</f>
        <v>188579.19999999998</v>
      </c>
      <c r="M564" s="8"/>
      <c r="N564" s="266"/>
    </row>
    <row r="565" spans="1:14" s="3" customFormat="1" ht="12.2" customHeight="1" thickBot="1" x14ac:dyDescent="0.2">
      <c r="A565" s="22" t="s">
        <v>635</v>
      </c>
      <c r="B565" s="105">
        <v>22</v>
      </c>
      <c r="C565" s="118">
        <v>7</v>
      </c>
      <c r="D565" s="2" t="s">
        <v>432</v>
      </c>
      <c r="E565" s="118"/>
      <c r="F565" s="18">
        <f>359506.37</f>
        <v>359506.37</v>
      </c>
      <c r="G565" s="18">
        <f>177605.96</f>
        <v>177605.96</v>
      </c>
      <c r="H565" s="18">
        <f>12169.68+1984.53</f>
        <v>14154.210000000001</v>
      </c>
      <c r="I565" s="18">
        <f>132+1228.92</f>
        <v>1360.92</v>
      </c>
      <c r="J565" s="18"/>
      <c r="K565" s="18"/>
      <c r="L565" s="88">
        <f>SUM(F565:K565)</f>
        <v>552627.46</v>
      </c>
      <c r="M565" s="8"/>
      <c r="N565" s="266"/>
    </row>
    <row r="566" spans="1:14" s="3" customFormat="1" ht="12.2" customHeight="1" thickTop="1" x14ac:dyDescent="0.15">
      <c r="A566" s="139" t="s">
        <v>65</v>
      </c>
      <c r="B566" s="107">
        <v>22</v>
      </c>
      <c r="C566" s="107">
        <v>8</v>
      </c>
      <c r="D566" s="196" t="s">
        <v>432</v>
      </c>
      <c r="E566" s="107"/>
      <c r="F566" s="89">
        <f t="shared" ref="F566:L566" si="44">SUM(F563:F565)</f>
        <v>851641.64</v>
      </c>
      <c r="G566" s="89">
        <f t="shared" si="44"/>
        <v>329760.48</v>
      </c>
      <c r="H566" s="89">
        <f t="shared" si="44"/>
        <v>35741.4</v>
      </c>
      <c r="I566" s="89">
        <f t="shared" si="44"/>
        <v>6081.37</v>
      </c>
      <c r="J566" s="89">
        <f t="shared" si="44"/>
        <v>0</v>
      </c>
      <c r="K566" s="89">
        <f t="shared" si="44"/>
        <v>0</v>
      </c>
      <c r="L566" s="89">
        <f t="shared" si="44"/>
        <v>1223224.8899999999</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851641.64</v>
      </c>
      <c r="G572" s="89">
        <f t="shared" ref="G572:L572" si="46">G561+G566+G571</f>
        <v>329760.48</v>
      </c>
      <c r="H572" s="89">
        <f t="shared" si="46"/>
        <v>35741.4</v>
      </c>
      <c r="I572" s="89">
        <f t="shared" si="46"/>
        <v>6081.37</v>
      </c>
      <c r="J572" s="89">
        <f t="shared" si="46"/>
        <v>0</v>
      </c>
      <c r="K572" s="89">
        <f t="shared" si="46"/>
        <v>0</v>
      </c>
      <c r="L572" s="89">
        <f t="shared" si="46"/>
        <v>1223224.8899999999</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v>2123.5</v>
      </c>
      <c r="G580" s="18"/>
      <c r="H580" s="18"/>
      <c r="I580" s="87">
        <f t="shared" si="47"/>
        <v>2123.5</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v>241813.3</v>
      </c>
      <c r="G583" s="18">
        <v>399548.92</v>
      </c>
      <c r="H583" s="18">
        <f>1358915.36+3699</f>
        <v>1362614.36</v>
      </c>
      <c r="I583" s="87">
        <f t="shared" si="47"/>
        <v>2003976.58</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f>774775.79</f>
        <v>774775.79</v>
      </c>
      <c r="I592" s="18">
        <f>397270.24</f>
        <v>397270.24</v>
      </c>
      <c r="J592" s="18">
        <f>624743.82</f>
        <v>624743.81999999995</v>
      </c>
      <c r="K592" s="104">
        <f t="shared" ref="K592:K598" si="48">SUM(H592:J592)</f>
        <v>1796789.85</v>
      </c>
      <c r="L592" s="24" t="s">
        <v>288</v>
      </c>
      <c r="M592" s="8"/>
      <c r="N592" s="266"/>
    </row>
    <row r="593" spans="1:14" s="3" customFormat="1" ht="12.2" customHeight="1" x14ac:dyDescent="0.15">
      <c r="A593" s="3" t="s">
        <v>638</v>
      </c>
      <c r="B593" s="75">
        <v>23</v>
      </c>
      <c r="C593" s="75">
        <v>2</v>
      </c>
      <c r="D593" s="2" t="s">
        <v>432</v>
      </c>
      <c r="E593" s="75"/>
      <c r="F593" s="102">
        <v>2722</v>
      </c>
      <c r="G593" s="103" t="s">
        <v>97</v>
      </c>
      <c r="H593" s="18">
        <f>485255.32</f>
        <v>485255.32</v>
      </c>
      <c r="I593" s="18">
        <f>248817.13</f>
        <v>248817.13</v>
      </c>
      <c r="J593" s="18">
        <f>391287.75</f>
        <v>391287.75</v>
      </c>
      <c r="K593" s="104">
        <f t="shared" si="48"/>
        <v>1125360.2</v>
      </c>
      <c r="L593" s="24" t="s">
        <v>288</v>
      </c>
      <c r="M593" s="8"/>
      <c r="N593" s="266"/>
    </row>
    <row r="594" spans="1:14" s="3" customFormat="1" ht="12.2" customHeight="1" x14ac:dyDescent="0.15">
      <c r="A594" s="3" t="s">
        <v>639</v>
      </c>
      <c r="B594" s="75">
        <v>23</v>
      </c>
      <c r="C594" s="75">
        <v>3</v>
      </c>
      <c r="D594" s="2" t="s">
        <v>432</v>
      </c>
      <c r="E594" s="75"/>
      <c r="F594" s="102">
        <v>2723</v>
      </c>
      <c r="G594" s="103" t="s">
        <v>97</v>
      </c>
      <c r="H594" s="18">
        <f>2440.24</f>
        <v>2440.2399999999998</v>
      </c>
      <c r="I594" s="18">
        <f>1251.24</f>
        <v>1251.24</v>
      </c>
      <c r="J594" s="18">
        <f>1967.69</f>
        <v>1967.69</v>
      </c>
      <c r="K594" s="104">
        <f t="shared" si="48"/>
        <v>5659.17</v>
      </c>
      <c r="L594" s="24" t="s">
        <v>288</v>
      </c>
      <c r="M594" s="8"/>
      <c r="N594" s="266"/>
    </row>
    <row r="595" spans="1:14" s="3" customFormat="1" ht="12.2" customHeight="1" x14ac:dyDescent="0.15">
      <c r="A595" s="22" t="s">
        <v>640</v>
      </c>
      <c r="B595" s="75">
        <v>23</v>
      </c>
      <c r="C595" s="75">
        <v>4</v>
      </c>
      <c r="D595" s="2" t="s">
        <v>432</v>
      </c>
      <c r="E595" s="75"/>
      <c r="F595" s="102">
        <v>2724</v>
      </c>
      <c r="G595" s="103" t="s">
        <v>97</v>
      </c>
      <c r="H595" s="18">
        <f>5511.56</f>
        <v>5511.56</v>
      </c>
      <c r="I595" s="18">
        <f>31452.22</f>
        <v>31452.22</v>
      </c>
      <c r="J595" s="18">
        <f>115214.36</f>
        <v>115214.36</v>
      </c>
      <c r="K595" s="104">
        <f t="shared" si="48"/>
        <v>152178.14000000001</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f>3473.74</f>
        <v>3473.74</v>
      </c>
      <c r="I596" s="18">
        <f>2183.63</f>
        <v>2183.63</v>
      </c>
      <c r="J596" s="18">
        <f>25357.98</f>
        <v>25357.98</v>
      </c>
      <c r="K596" s="104">
        <f t="shared" si="48"/>
        <v>31015.35</v>
      </c>
      <c r="L596" s="24" t="s">
        <v>288</v>
      </c>
      <c r="M596" s="8"/>
      <c r="N596" s="266"/>
    </row>
    <row r="597" spans="1:14" s="3" customFormat="1" ht="12.2" customHeight="1" x14ac:dyDescent="0.15">
      <c r="A597" s="22" t="s">
        <v>641</v>
      </c>
      <c r="B597" s="75">
        <v>23</v>
      </c>
      <c r="C597" s="75">
        <v>6</v>
      </c>
      <c r="D597" s="2" t="s">
        <v>432</v>
      </c>
      <c r="E597" s="75"/>
      <c r="F597" s="102">
        <v>2726</v>
      </c>
      <c r="G597" s="103" t="s">
        <v>97</v>
      </c>
      <c r="H597" s="18">
        <f>1809.14</f>
        <v>1809.14</v>
      </c>
      <c r="I597" s="18">
        <f>927.64</f>
        <v>927.64</v>
      </c>
      <c r="J597" s="18">
        <f>1458.82</f>
        <v>1458.82</v>
      </c>
      <c r="K597" s="104">
        <f t="shared" si="48"/>
        <v>4195.6000000000004</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f>21367.05</f>
        <v>21367.05</v>
      </c>
      <c r="I598" s="18">
        <f>4422.45</f>
        <v>4422.45</v>
      </c>
      <c r="J598" s="18">
        <f>6954.72</f>
        <v>6954.72</v>
      </c>
      <c r="K598" s="104">
        <f t="shared" si="48"/>
        <v>32744.22</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1294632.8400000001</v>
      </c>
      <c r="I599" s="108">
        <f>SUM(I592:I598)</f>
        <v>686324.54999999993</v>
      </c>
      <c r="J599" s="108">
        <f>SUM(J592:J598)</f>
        <v>1166985.1399999999</v>
      </c>
      <c r="K599" s="108">
        <f>SUM(K592:K598)</f>
        <v>3147942.5300000003</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f>400009.7</f>
        <v>400009.7</v>
      </c>
      <c r="I605" s="18">
        <f>153189.39</f>
        <v>153189.39000000001</v>
      </c>
      <c r="J605" s="18">
        <f>361738.17</f>
        <v>361738.17</v>
      </c>
      <c r="K605" s="104">
        <f>SUM(H605:J605)</f>
        <v>914937.26</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400009.7</v>
      </c>
      <c r="I606" s="108">
        <f>SUM(I603:I605)</f>
        <v>153189.39000000001</v>
      </c>
      <c r="J606" s="108">
        <f>SUM(J603:J605)</f>
        <v>361738.17</v>
      </c>
      <c r="K606" s="108">
        <f>SUM(K603:K605)</f>
        <v>914937.26</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129219131.22999999</v>
      </c>
      <c r="H618" s="109">
        <f>SUM(F52)</f>
        <v>129219131.22999999</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7046705.2000000002</v>
      </c>
      <c r="H619" s="109">
        <f>SUM(G52)</f>
        <v>7046705.2000000002</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51856167.989999995</v>
      </c>
      <c r="H620" s="109">
        <f>SUM(H52)</f>
        <v>51856167.990000002</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68906560.179999992</v>
      </c>
      <c r="H621" s="109">
        <f>SUM(I52)</f>
        <v>68906560.180000022</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9578055.5099999998</v>
      </c>
      <c r="H622" s="109">
        <f>SUM(J52)</f>
        <v>9578055.5099999998</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3155211.44</v>
      </c>
      <c r="H623" s="109">
        <f>F477</f>
        <v>3155211.4399999976</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44914.549999999996</v>
      </c>
      <c r="H624" s="109">
        <f>G477</f>
        <v>44914.550000000047</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314402.59000000148</v>
      </c>
      <c r="H625" s="109">
        <f>H477</f>
        <v>314402.58999999985</v>
      </c>
      <c r="I625" s="121" t="s">
        <v>103</v>
      </c>
      <c r="J625" s="109">
        <f t="shared" si="50"/>
        <v>1.6298145055770874E-9</v>
      </c>
      <c r="K625" s="109"/>
      <c r="L625" s="109"/>
      <c r="M625" s="8"/>
    </row>
    <row r="626" spans="1:13" s="3" customFormat="1" ht="12.2" customHeight="1" x14ac:dyDescent="0.15">
      <c r="A626" s="97"/>
      <c r="B626" s="105"/>
      <c r="C626" s="105"/>
      <c r="D626" s="105"/>
      <c r="E626" s="105"/>
      <c r="F626" s="120" t="s">
        <v>868</v>
      </c>
      <c r="G626" s="109">
        <f>I51</f>
        <v>1136404.8400000143</v>
      </c>
      <c r="H626" s="109">
        <f>I477</f>
        <v>1136404.8399999999</v>
      </c>
      <c r="I626" s="121" t="s">
        <v>104</v>
      </c>
      <c r="J626" s="109">
        <f t="shared" si="50"/>
        <v>1.4435499906539917E-8</v>
      </c>
      <c r="K626" s="109"/>
      <c r="L626" s="109"/>
      <c r="M626" s="8"/>
    </row>
    <row r="627" spans="1:13" s="3" customFormat="1" ht="12.2" customHeight="1" x14ac:dyDescent="0.15">
      <c r="A627" s="22"/>
      <c r="B627" s="105"/>
      <c r="C627" s="105"/>
      <c r="D627" s="105"/>
      <c r="E627" s="105"/>
      <c r="F627" s="120" t="s">
        <v>869</v>
      </c>
      <c r="G627" s="109">
        <f>J51</f>
        <v>13443638.33</v>
      </c>
      <c r="H627" s="109">
        <f>J477</f>
        <v>13443638.33</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84105119.769999996</v>
      </c>
      <c r="H628" s="104">
        <f>SUM(F469)</f>
        <v>84105119.769999996</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1619770.94</v>
      </c>
      <c r="H629" s="104">
        <f>SUM(G469)</f>
        <v>1619770.94</v>
      </c>
      <c r="I629" s="140" t="s">
        <v>107</v>
      </c>
      <c r="J629" s="109">
        <f>G629-H629</f>
        <v>0</v>
      </c>
      <c r="K629" s="85"/>
      <c r="L629" s="88"/>
      <c r="M629" s="8"/>
    </row>
    <row r="630" spans="1:13" s="3" customFormat="1" ht="12.2" customHeight="1" x14ac:dyDescent="0.15">
      <c r="A630" s="22"/>
      <c r="B630" s="105"/>
      <c r="C630" s="105"/>
      <c r="D630" s="105"/>
      <c r="E630" s="105"/>
      <c r="F630" s="120" t="s">
        <v>660</v>
      </c>
      <c r="G630" s="109">
        <f>H194</f>
        <v>4793666.1100000003</v>
      </c>
      <c r="H630" s="104">
        <f>SUM(H469)</f>
        <v>4793666.1100000003</v>
      </c>
      <c r="I630" s="140" t="s">
        <v>108</v>
      </c>
      <c r="J630" s="109">
        <f>G630-H630</f>
        <v>0</v>
      </c>
      <c r="K630" s="85"/>
      <c r="L630" s="88"/>
      <c r="M630" s="8"/>
    </row>
    <row r="631" spans="1:13" s="3" customFormat="1" ht="12.2" customHeight="1" x14ac:dyDescent="0.15">
      <c r="A631" s="22"/>
      <c r="B631" s="105"/>
      <c r="C631" s="105"/>
      <c r="D631" s="105"/>
      <c r="E631" s="105"/>
      <c r="F631" s="120" t="s">
        <v>661</v>
      </c>
      <c r="G631" s="109">
        <f>I194</f>
        <v>101111.05</v>
      </c>
      <c r="H631" s="104">
        <f>SUM(I469)</f>
        <v>101111.05</v>
      </c>
      <c r="I631" s="140" t="s">
        <v>109</v>
      </c>
      <c r="J631" s="109">
        <f>G631-H631</f>
        <v>0</v>
      </c>
      <c r="K631" s="85"/>
      <c r="L631" s="88"/>
      <c r="M631" s="8"/>
    </row>
    <row r="632" spans="1:13" s="3" customFormat="1" ht="12.2" customHeight="1" x14ac:dyDescent="0.15">
      <c r="A632" s="22"/>
      <c r="B632" s="105"/>
      <c r="C632" s="105"/>
      <c r="D632" s="105"/>
      <c r="E632" s="105"/>
      <c r="F632" s="120" t="s">
        <v>662</v>
      </c>
      <c r="G632" s="109">
        <f>J194</f>
        <v>4990258.1300000008</v>
      </c>
      <c r="H632" s="104">
        <f>SUM(J469)</f>
        <v>4990258.13</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84997156.971736014</v>
      </c>
      <c r="H633" s="104">
        <f>SUM(F473)</f>
        <v>84997156.969999999</v>
      </c>
      <c r="I633" s="140" t="s">
        <v>111</v>
      </c>
      <c r="J633" s="109">
        <f t="shared" si="50"/>
        <v>1.7360150814056396E-3</v>
      </c>
      <c r="K633" s="85"/>
      <c r="L633" s="88"/>
      <c r="M633" s="8"/>
    </row>
    <row r="634" spans="1:13" s="3" customFormat="1" ht="12.2" customHeight="1" x14ac:dyDescent="0.15">
      <c r="A634" s="22"/>
      <c r="B634" s="105"/>
      <c r="C634" s="105"/>
      <c r="D634" s="105"/>
      <c r="E634" s="105"/>
      <c r="F634" s="120" t="s">
        <v>395</v>
      </c>
      <c r="G634" s="109">
        <f>SUM(L353)</f>
        <v>4809675.4100000011</v>
      </c>
      <c r="H634" s="104">
        <f>SUM(H473)</f>
        <v>4809675.41</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871503.2</v>
      </c>
      <c r="H635" s="104">
        <f>I370</f>
        <v>871503.20000000007</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1783257.94</v>
      </c>
      <c r="H636" s="104">
        <f>SUM(G473)</f>
        <v>1783257.94</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1864621.12</v>
      </c>
      <c r="H637" s="104">
        <f>SUM(I473)</f>
        <v>1864621.12</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4990258.13</v>
      </c>
      <c r="H638" s="164">
        <f>SUM(J469)</f>
        <v>4990258.13</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120560.67</v>
      </c>
      <c r="H639" s="164">
        <f>SUM(J473)</f>
        <v>120560.67</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9578055.5099999998</v>
      </c>
      <c r="H641" s="104">
        <f>SUM(G462)</f>
        <v>9578055.5099999998</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9578055.5099999998</v>
      </c>
      <c r="H643" s="104">
        <f>SUM(I462)</f>
        <v>9578055.5099999998</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113635.02</v>
      </c>
      <c r="H645" s="104">
        <f>H409</f>
        <v>113635.02</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4830027.5500000007</v>
      </c>
      <c r="H646" s="104">
        <f>G409</f>
        <v>4830027.5500000007</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4990258.1300000008</v>
      </c>
      <c r="H647" s="104">
        <f>L409</f>
        <v>4990258.13</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3147942.5300000003</v>
      </c>
      <c r="H648" s="104">
        <f>L209+L227+L245</f>
        <v>3147942.5300000003</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914937.26</v>
      </c>
      <c r="H649" s="104">
        <f>(J258+J339)-(J256+J337)</f>
        <v>914937.26</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1294632.8400000001</v>
      </c>
      <c r="H650" s="104">
        <f>H599</f>
        <v>1294632.8400000001</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686324.55</v>
      </c>
      <c r="H651" s="104">
        <f>I599</f>
        <v>686324.54999999993</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1166985.1400000001</v>
      </c>
      <c r="H652" s="104">
        <f>J599</f>
        <v>1166985.1399999999</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125071.07</v>
      </c>
      <c r="H653" s="104">
        <f>K264+K346</f>
        <v>125071.07</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4830027.5500000007</v>
      </c>
      <c r="H656" s="104">
        <f>K267+K348</f>
        <v>4830027.55</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1.7360448837280273E-3</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35011736.379999995</v>
      </c>
      <c r="G661" s="19">
        <f>(L230+L310+L360)</f>
        <v>15778041.611735998</v>
      </c>
      <c r="H661" s="19">
        <f>(L248+L329+L361)</f>
        <v>28331578.560000006</v>
      </c>
      <c r="I661" s="19">
        <f>SUM(F661:H661)</f>
        <v>79121356.551735997</v>
      </c>
      <c r="J661" s="13"/>
      <c r="K661" s="13"/>
      <c r="L661" s="13"/>
      <c r="M661" s="9"/>
    </row>
    <row r="662" spans="1:13" s="3" customFormat="1" ht="12.2" customHeight="1" x14ac:dyDescent="0.2">
      <c r="A662" s="1" t="s">
        <v>127</v>
      </c>
      <c r="F662" s="19">
        <f>(L359/IF(SUM(L359:L361)=0,1,SUM(L359:L361))*(SUM(G97:G110)))</f>
        <v>301796.0763988251</v>
      </c>
      <c r="G662" s="19">
        <f>(L360/IF(SUM(L359:L361)=0,1,SUM(L359:L361))*(SUM(G97:G110)))</f>
        <v>112157.37748861144</v>
      </c>
      <c r="H662" s="19">
        <f>(L361/IF(SUM(L359:L361)=0,1,SUM(L359:L361))*(SUM(G97:G110)))</f>
        <v>213081.20611256335</v>
      </c>
      <c r="I662" s="19">
        <f>SUM(F662:H662)</f>
        <v>627034.65999999992</v>
      </c>
      <c r="J662"/>
      <c r="K662" s="13"/>
      <c r="L662" s="13"/>
      <c r="M662" s="8"/>
    </row>
    <row r="663" spans="1:13" s="3" customFormat="1" ht="12.2" customHeight="1" x14ac:dyDescent="0.2">
      <c r="A663" s="1" t="s">
        <v>128</v>
      </c>
      <c r="F663" s="19">
        <f>(L209+L288)-(J209+J288)</f>
        <v>1261803.73</v>
      </c>
      <c r="G663" s="19">
        <f>(L227+L307)-(J227+J307)</f>
        <v>655540.13</v>
      </c>
      <c r="H663" s="19">
        <f>(L245+L326)-(J245+J326)</f>
        <v>1247639.29</v>
      </c>
      <c r="I663" s="19">
        <f>SUM(F663:H663)</f>
        <v>3164983.15</v>
      </c>
      <c r="J663"/>
      <c r="K663" s="13"/>
      <c r="L663" s="13"/>
      <c r="M663" s="9"/>
    </row>
    <row r="664" spans="1:13" s="3" customFormat="1" ht="12.2" customHeight="1" x14ac:dyDescent="0.15">
      <c r="A664" s="198" t="s">
        <v>129</v>
      </c>
      <c r="B664" s="169"/>
      <c r="C664" s="169"/>
      <c r="D664" s="169"/>
      <c r="E664" s="169"/>
      <c r="F664" s="199">
        <f>SUM(F576:F588)+SUM(H603:H605)+SUM(L612)</f>
        <v>643946.5</v>
      </c>
      <c r="G664" s="199">
        <f>SUM(G576:G588)+SUM(I603:I605)+L613</f>
        <v>552738.31000000006</v>
      </c>
      <c r="H664" s="199">
        <f>SUM(H576:H588)+SUM(J603:J605)+L614</f>
        <v>1724352.53</v>
      </c>
      <c r="I664" s="19">
        <f>SUM(F664:H664)</f>
        <v>2921037.34</v>
      </c>
      <c r="J664" s="13"/>
      <c r="K664" s="13"/>
      <c r="L664" s="13"/>
      <c r="M664" s="9"/>
    </row>
    <row r="665" spans="1:13" s="3" customFormat="1" ht="12.2" customHeight="1" x14ac:dyDescent="0.15">
      <c r="A665" s="1" t="s">
        <v>130</v>
      </c>
      <c r="F665" s="19">
        <f>F661-SUM(F662:F664)</f>
        <v>32804190.073601171</v>
      </c>
      <c r="G665" s="19">
        <f>G661-SUM(G662:G664)</f>
        <v>14457605.794247387</v>
      </c>
      <c r="H665" s="19">
        <f>H661-SUM(H662:H664)</f>
        <v>25146505.533887442</v>
      </c>
      <c r="I665" s="19">
        <f>I661-SUM(I662:I664)</f>
        <v>72408301.401735991</v>
      </c>
      <c r="J665" s="13"/>
      <c r="K665" s="13"/>
      <c r="L665" s="13"/>
      <c r="M665" s="8"/>
    </row>
    <row r="666" spans="1:13" s="3" customFormat="1" ht="12.2" customHeight="1" x14ac:dyDescent="0.2">
      <c r="A666" s="1" t="s">
        <v>131</v>
      </c>
      <c r="F666" s="246">
        <f>56.38+279.28+1447.43</f>
        <v>1783.0900000000001</v>
      </c>
      <c r="G666" s="247">
        <v>946.52</v>
      </c>
      <c r="H666" s="247">
        <v>1495.81</v>
      </c>
      <c r="I666" s="19">
        <f>SUM(F666:H666)</f>
        <v>4225.42</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18397.38</v>
      </c>
      <c r="G668" s="19">
        <f>ROUND(G665/G666,2)</f>
        <v>15274.49</v>
      </c>
      <c r="H668" s="19">
        <f>ROUND(H665/H666,2)</f>
        <v>16811.3</v>
      </c>
      <c r="I668" s="19">
        <f>ROUND(I665/I666,2)</f>
        <v>17136.36</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144.62</v>
      </c>
      <c r="I671" s="19">
        <f>SUM(F671:H671)</f>
        <v>144.62</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18397.38</v>
      </c>
      <c r="G673" s="19">
        <f>ROUND((G665+G670)/(G666+G671),2)</f>
        <v>15274.49</v>
      </c>
      <c r="H673" s="19">
        <f>ROUND((H665+H670)/(H666+H671),2)</f>
        <v>15329.22</v>
      </c>
      <c r="I673" s="19">
        <f>ROUND((I665+I670)/(I666+I671),2)</f>
        <v>16569.25</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t="s">
        <v>1638</v>
      </c>
      <c r="C3" s="326"/>
      <c r="D3" s="326"/>
      <c r="E3" s="326"/>
      <c r="F3" s="326"/>
      <c r="G3" s="326"/>
      <c r="H3" s="326"/>
      <c r="I3" t="s">
        <v>1638</v>
      </c>
    </row>
    <row r="4" spans="1:9" x14ac:dyDescent="0.2">
      <c r="I4" t="s">
        <v>1639</v>
      </c>
    </row>
    <row r="5" spans="1:9" ht="15.75" x14ac:dyDescent="0.25">
      <c r="A5" s="322" t="s">
        <v>911</v>
      </c>
      <c r="B5" s="343" t="str">
        <f>'DOE25'!A2</f>
        <v>Concord</v>
      </c>
      <c r="C5" s="344"/>
      <c r="D5" s="344"/>
      <c r="E5" s="344"/>
      <c r="F5" s="344"/>
    </row>
    <row r="8" spans="1:9" ht="18" x14ac:dyDescent="0.25">
      <c r="A8" s="323" t="s">
        <v>1591</v>
      </c>
      <c r="F8" s="330" t="s">
        <v>1609</v>
      </c>
    </row>
    <row r="9" spans="1:9" ht="15" x14ac:dyDescent="0.2">
      <c r="A9" s="321" t="s">
        <v>1592</v>
      </c>
      <c r="B9" s="324">
        <f>'DOE25'!G97</f>
        <v>623894.56999999995</v>
      </c>
      <c r="F9" s="321" t="s">
        <v>1605</v>
      </c>
    </row>
    <row r="10" spans="1:9" ht="15" x14ac:dyDescent="0.2">
      <c r="A10" s="321" t="s">
        <v>1593</v>
      </c>
      <c r="B10" s="324">
        <f>'DOE25'!G112-'DOE25'!G97</f>
        <v>3180.0499999999302</v>
      </c>
      <c r="F10" s="321" t="s">
        <v>1606</v>
      </c>
    </row>
    <row r="11" spans="1:9" ht="15" x14ac:dyDescent="0.2">
      <c r="A11" s="321" t="s">
        <v>1594</v>
      </c>
      <c r="B11" s="324">
        <f>'DOE25'!G140</f>
        <v>28083.52</v>
      </c>
      <c r="F11" s="321" t="s">
        <v>1607</v>
      </c>
    </row>
    <row r="12" spans="1:9" ht="15" x14ac:dyDescent="0.2">
      <c r="A12" s="321" t="s">
        <v>1595</v>
      </c>
      <c r="B12" s="324">
        <f>'DOE25'!G170</f>
        <v>839541.73</v>
      </c>
      <c r="F12" s="321" t="s">
        <v>1608</v>
      </c>
    </row>
    <row r="13" spans="1:9" ht="15" x14ac:dyDescent="0.2">
      <c r="A13" s="321" t="s">
        <v>1596</v>
      </c>
      <c r="B13" s="324">
        <f>'DOE25'!G193-'DOE25'!G180</f>
        <v>0</v>
      </c>
      <c r="F13" s="321" t="s">
        <v>1618</v>
      </c>
    </row>
    <row r="14" spans="1:9" ht="18" x14ac:dyDescent="0.25">
      <c r="A14" s="323" t="s">
        <v>732</v>
      </c>
      <c r="B14" s="325">
        <f>SUM(B9:B13)</f>
        <v>1494699.8699999999</v>
      </c>
    </row>
    <row r="16" spans="1:9" ht="18" x14ac:dyDescent="0.25">
      <c r="A16" s="323" t="s">
        <v>786</v>
      </c>
      <c r="F16" s="330" t="s">
        <v>1610</v>
      </c>
    </row>
    <row r="17" spans="1:6" ht="15" x14ac:dyDescent="0.2">
      <c r="A17" s="321" t="s">
        <v>1597</v>
      </c>
      <c r="B17" s="324">
        <f>'DOE25'!L363-'DOE25'!L362</f>
        <v>1783257.94</v>
      </c>
      <c r="F17" s="321" t="s">
        <v>1611</v>
      </c>
    </row>
    <row r="18" spans="1:6" ht="15" x14ac:dyDescent="0.2">
      <c r="A18" s="321" t="s">
        <v>1598</v>
      </c>
      <c r="B18" s="338">
        <v>0</v>
      </c>
      <c r="F18" s="330" t="s">
        <v>1637</v>
      </c>
    </row>
    <row r="19" spans="1:6" ht="18" x14ac:dyDescent="0.25">
      <c r="A19" s="323" t="s">
        <v>725</v>
      </c>
      <c r="B19" s="325">
        <f>SUM(B17:B18)</f>
        <v>1783257.94</v>
      </c>
    </row>
    <row r="21" spans="1:6" ht="18.75" thickBot="1" x14ac:dyDescent="0.3">
      <c r="A21" s="323" t="s">
        <v>1599</v>
      </c>
    </row>
    <row r="22" spans="1:6" ht="18.75" thickTop="1" x14ac:dyDescent="0.25">
      <c r="A22" s="323" t="s">
        <v>1600</v>
      </c>
      <c r="B22" s="329">
        <f>B14-B19</f>
        <v>-288558.07000000007</v>
      </c>
      <c r="F22" s="321" t="s">
        <v>1612</v>
      </c>
    </row>
    <row r="26" spans="1:6" ht="18" x14ac:dyDescent="0.25">
      <c r="A26" s="323" t="s">
        <v>186</v>
      </c>
    </row>
    <row r="27" spans="1:6" ht="15" x14ac:dyDescent="0.2">
      <c r="A27" s="321" t="s">
        <v>1601</v>
      </c>
      <c r="B27" s="324">
        <f>'DOE25'!G180</f>
        <v>125071.07</v>
      </c>
      <c r="F27" s="321" t="s">
        <v>1613</v>
      </c>
    </row>
    <row r="28" spans="1:6" ht="15" x14ac:dyDescent="0.2">
      <c r="A28" s="321" t="s">
        <v>1603</v>
      </c>
      <c r="B28" s="324">
        <f>'DOE25'!L362</f>
        <v>0</v>
      </c>
      <c r="F28" s="321" t="s">
        <v>1614</v>
      </c>
    </row>
    <row r="31" spans="1:6" ht="15" x14ac:dyDescent="0.2">
      <c r="A31" s="321" t="s">
        <v>1640</v>
      </c>
      <c r="B31" s="324">
        <f>'DOE25'!G466</f>
        <v>208401.55</v>
      </c>
      <c r="F31" s="321" t="s">
        <v>1615</v>
      </c>
    </row>
    <row r="33" spans="1:6" ht="15" x14ac:dyDescent="0.2">
      <c r="A33" s="321" t="s">
        <v>1641</v>
      </c>
      <c r="B33" s="324">
        <f>'DOE25'!G477</f>
        <v>44914.550000000047</v>
      </c>
      <c r="F33" s="321" t="s">
        <v>1616</v>
      </c>
    </row>
    <row r="36" spans="1:6" ht="15" x14ac:dyDescent="0.2">
      <c r="A36" s="321" t="s">
        <v>1602</v>
      </c>
      <c r="B36" s="339">
        <v>50530.96</v>
      </c>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85"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B29" sqref="B29"/>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Concord</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20243906.310000002</v>
      </c>
      <c r="C9" s="229">
        <f>'DOE25'!G198+'DOE25'!G216+'DOE25'!G234+'DOE25'!G277+'DOE25'!G296+'DOE25'!G315</f>
        <v>9247172.540000001</v>
      </c>
    </row>
    <row r="10" spans="1:3" x14ac:dyDescent="0.2">
      <c r="A10" t="s">
        <v>775</v>
      </c>
      <c r="B10" s="240">
        <v>19618661.77</v>
      </c>
      <c r="C10" s="240">
        <f>B10/B9*C9</f>
        <v>8961568.3659569249</v>
      </c>
    </row>
    <row r="11" spans="1:3" x14ac:dyDescent="0.2">
      <c r="A11" t="s">
        <v>776</v>
      </c>
      <c r="B11" s="240">
        <v>85708.69</v>
      </c>
      <c r="C11" s="240">
        <f>B11/B9*C9</f>
        <v>39150.697126861611</v>
      </c>
    </row>
    <row r="12" spans="1:3" x14ac:dyDescent="0.2">
      <c r="A12" t="s">
        <v>777</v>
      </c>
      <c r="B12" s="240">
        <f>B9-B10-B11</f>
        <v>539535.85000000289</v>
      </c>
      <c r="C12" s="240">
        <f>B12/B9*C9</f>
        <v>246453.47691621407</v>
      </c>
    </row>
    <row r="13" spans="1:3" x14ac:dyDescent="0.2">
      <c r="A13" t="str">
        <f>IF(B9=B13,IF(C9=C13,"Check Total OK","Check Total Error"),"Check Total Error")</f>
        <v>Check Total OK</v>
      </c>
      <c r="B13" s="231">
        <f>SUM(B10:B12)</f>
        <v>20243906.310000002</v>
      </c>
      <c r="C13" s="231">
        <f>SUM(C10:C12)</f>
        <v>9247172.540000001</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9026786.4600000009</v>
      </c>
      <c r="C18" s="229">
        <f>'DOE25'!G199+'DOE25'!G217+'DOE25'!G235+'DOE25'!G278+'DOE25'!G297+'DOE25'!G316</f>
        <v>3511598.0999999996</v>
      </c>
    </row>
    <row r="19" spans="1:3" x14ac:dyDescent="0.2">
      <c r="A19" t="s">
        <v>775</v>
      </c>
      <c r="B19" s="240">
        <v>4647851.1399999997</v>
      </c>
      <c r="C19" s="240">
        <f>B19/B18*C18</f>
        <v>1808105.8308658416</v>
      </c>
    </row>
    <row r="20" spans="1:3" x14ac:dyDescent="0.2">
      <c r="A20" t="s">
        <v>776</v>
      </c>
      <c r="B20" s="240">
        <v>3858936.25</v>
      </c>
      <c r="C20" s="240">
        <f>B20/B18*C18</f>
        <v>1501202.3673728427</v>
      </c>
    </row>
    <row r="21" spans="1:3" x14ac:dyDescent="0.2">
      <c r="A21" t="s">
        <v>777</v>
      </c>
      <c r="B21" s="240">
        <f>B18-B19-B20</f>
        <v>519999.07000000123</v>
      </c>
      <c r="C21" s="240">
        <f>B21/B18*C18</f>
        <v>202289.9017613153</v>
      </c>
    </row>
    <row r="22" spans="1:3" x14ac:dyDescent="0.2">
      <c r="A22" t="str">
        <f>IF(B18=B22,IF(C18=C22,"Check Total OK","Check Total Error"),"Check Total Error")</f>
        <v>Check Total OK</v>
      </c>
      <c r="B22" s="231">
        <f>SUM(B19:B21)</f>
        <v>9026786.4600000009</v>
      </c>
      <c r="C22" s="231">
        <f>SUM(C19:C21)</f>
        <v>3511598.0999999996</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1140838.01</v>
      </c>
      <c r="C27" s="234">
        <f>'DOE25'!G200+'DOE25'!G218+'DOE25'!G236+'DOE25'!G279+'DOE25'!G298+'DOE25'!G317</f>
        <v>561865.4</v>
      </c>
    </row>
    <row r="28" spans="1:3" x14ac:dyDescent="0.2">
      <c r="A28" t="s">
        <v>775</v>
      </c>
      <c r="B28" s="240">
        <v>952632.25</v>
      </c>
      <c r="C28" s="240">
        <f>B28/B27*C27</f>
        <v>469173.62106400193</v>
      </c>
    </row>
    <row r="29" spans="1:3" x14ac:dyDescent="0.2">
      <c r="A29" t="s">
        <v>776</v>
      </c>
      <c r="B29" s="240">
        <v>38172.019999999997</v>
      </c>
      <c r="C29" s="240">
        <f>B29/B27*C27</f>
        <v>18799.809524323264</v>
      </c>
    </row>
    <row r="30" spans="1:3" x14ac:dyDescent="0.2">
      <c r="A30" t="s">
        <v>777</v>
      </c>
      <c r="B30" s="240">
        <f>B27-B28-B29</f>
        <v>150033.74000000002</v>
      </c>
      <c r="C30" s="240">
        <f>B30/B27*C27</f>
        <v>73891.969411674843</v>
      </c>
    </row>
    <row r="31" spans="1:3" x14ac:dyDescent="0.2">
      <c r="A31" t="str">
        <f>IF(B27=B31,IF(C27=C31,"Check Total OK","Check Total Error"),"Check Total Error")</f>
        <v>Check Total OK</v>
      </c>
      <c r="B31" s="231">
        <f>SUM(B28:B30)</f>
        <v>1140838.01</v>
      </c>
      <c r="C31" s="231">
        <f>SUM(C28:C30)</f>
        <v>561865.4</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849833.57000000007</v>
      </c>
      <c r="C36" s="235">
        <f>'DOE25'!G201+'DOE25'!G219+'DOE25'!G237+'DOE25'!G280+'DOE25'!G299+'DOE25'!G318</f>
        <v>194829.02</v>
      </c>
    </row>
    <row r="37" spans="1:3" x14ac:dyDescent="0.2">
      <c r="A37" t="s">
        <v>775</v>
      </c>
      <c r="B37" s="240"/>
      <c r="C37" s="240">
        <f>B37/B36*C36</f>
        <v>0</v>
      </c>
    </row>
    <row r="38" spans="1:3" x14ac:dyDescent="0.2">
      <c r="A38" t="s">
        <v>776</v>
      </c>
      <c r="B38" s="240"/>
      <c r="C38" s="240">
        <f>B38/B36*C36</f>
        <v>0</v>
      </c>
    </row>
    <row r="39" spans="1:3" x14ac:dyDescent="0.2">
      <c r="A39" t="s">
        <v>777</v>
      </c>
      <c r="B39" s="240">
        <f>B36-B37-B38</f>
        <v>849833.57000000007</v>
      </c>
      <c r="C39" s="240">
        <f>B39/B36*C36</f>
        <v>194829.02</v>
      </c>
    </row>
    <row r="40" spans="1:3" x14ac:dyDescent="0.2">
      <c r="A40" t="str">
        <f>IF(B36=B40,IF(C36=C40,"Check Total OK","Check Total Error"),"Check Total Error")</f>
        <v>Check Total OK</v>
      </c>
      <c r="B40" s="231">
        <f>SUM(B37:B39)</f>
        <v>849833.57000000007</v>
      </c>
      <c r="C40" s="231">
        <f>SUM(C37:C39)</f>
        <v>194829.02</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D12" sqref="D12"/>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1"/>
    </row>
    <row r="2" spans="1:9" x14ac:dyDescent="0.2">
      <c r="A2" s="33" t="s">
        <v>713</v>
      </c>
      <c r="B2" s="260" t="str">
        <f>'DOE25'!A2</f>
        <v>Concord</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46550917.510000005</v>
      </c>
      <c r="D5" s="20">
        <f>SUM('DOE25'!L198:L201)+SUM('DOE25'!L216:L219)+SUM('DOE25'!L234:L237)-F5-G5-H5</f>
        <v>45371835.590000011</v>
      </c>
      <c r="E5" s="243"/>
      <c r="F5" s="244">
        <v>911244.66</v>
      </c>
      <c r="G5" s="53">
        <f>SUM('DOE25'!J198:J201)+SUM('DOE25'!J216:J219)+SUM('DOE25'!J234:J237)</f>
        <v>227821.71</v>
      </c>
      <c r="H5" s="53">
        <f>SUM('DOE25'!K198:K201)+SUM('DOE25'!K216:K219)+SUM('DOE25'!K234:K237)</f>
        <v>40015.550000000003</v>
      </c>
      <c r="I5" s="256"/>
    </row>
    <row r="6" spans="1:9" x14ac:dyDescent="0.2">
      <c r="A6" s="32">
        <v>2100</v>
      </c>
      <c r="B6" t="s">
        <v>796</v>
      </c>
      <c r="C6" s="276">
        <f t="shared" si="0"/>
        <v>6303688.6117359996</v>
      </c>
      <c r="D6" s="20">
        <f>'DOE25'!L203+'DOE25'!L221+'DOE25'!L239-F6-G6-H6</f>
        <v>6170191.1917359997</v>
      </c>
      <c r="E6" s="243"/>
      <c r="F6" s="244">
        <v>121155.05</v>
      </c>
      <c r="G6" s="53">
        <f>'DOE25'!J203+'DOE25'!J221+'DOE25'!J239</f>
        <v>9622.3700000000008</v>
      </c>
      <c r="H6" s="53">
        <f>'DOE25'!K203+'DOE25'!K221+'DOE25'!K239</f>
        <v>2720</v>
      </c>
      <c r="I6" s="256"/>
    </row>
    <row r="7" spans="1:9" x14ac:dyDescent="0.2">
      <c r="A7" s="32">
        <v>2200</v>
      </c>
      <c r="B7" t="s">
        <v>821</v>
      </c>
      <c r="C7" s="276">
        <f t="shared" si="0"/>
        <v>2968271.19</v>
      </c>
      <c r="D7" s="20">
        <f>'DOE25'!L204+'DOE25'!L222+'DOE25'!L240-F7-G7-H7</f>
        <v>2913019.3200000003</v>
      </c>
      <c r="E7" s="243"/>
      <c r="F7" s="244"/>
      <c r="G7" s="53">
        <f>'DOE25'!J204+'DOE25'!J222+'DOE25'!J240</f>
        <v>51008.320000000007</v>
      </c>
      <c r="H7" s="53">
        <f>'DOE25'!K204+'DOE25'!K222+'DOE25'!K240</f>
        <v>4243.5499999999993</v>
      </c>
      <c r="I7" s="256"/>
    </row>
    <row r="8" spans="1:9" x14ac:dyDescent="0.2">
      <c r="A8" s="32">
        <v>2300</v>
      </c>
      <c r="B8" t="s">
        <v>797</v>
      </c>
      <c r="C8" s="276">
        <f t="shared" si="0"/>
        <v>913383.73999999964</v>
      </c>
      <c r="D8" s="243"/>
      <c r="E8" s="20">
        <f>'DOE25'!L205+'DOE25'!L223+'DOE25'!L241-F8-G8-H8-D9-D11</f>
        <v>835007.84999999974</v>
      </c>
      <c r="F8" s="244"/>
      <c r="G8" s="53">
        <f>'DOE25'!J205+'DOE25'!J223+'DOE25'!J241</f>
        <v>69377.820000000007</v>
      </c>
      <c r="H8" s="53">
        <f>'DOE25'!K205+'DOE25'!K223+'DOE25'!K241</f>
        <v>8998.07</v>
      </c>
      <c r="I8" s="256"/>
    </row>
    <row r="9" spans="1:9" ht="14.25" x14ac:dyDescent="0.2">
      <c r="A9" s="32">
        <v>2310</v>
      </c>
      <c r="B9" s="185" t="s">
        <v>890</v>
      </c>
      <c r="C9" s="276">
        <f t="shared" si="0"/>
        <v>56011.21</v>
      </c>
      <c r="D9" s="244">
        <v>56011.21</v>
      </c>
      <c r="E9" s="243"/>
      <c r="F9" s="253"/>
      <c r="G9" s="253"/>
      <c r="H9" s="253"/>
      <c r="I9" s="256"/>
    </row>
    <row r="10" spans="1:9" ht="14.25" x14ac:dyDescent="0.2">
      <c r="A10" s="32">
        <v>2317</v>
      </c>
      <c r="B10" s="185" t="s">
        <v>891</v>
      </c>
      <c r="C10" s="276">
        <f t="shared" si="0"/>
        <v>47450</v>
      </c>
      <c r="D10" s="243"/>
      <c r="E10" s="244">
        <v>47450</v>
      </c>
      <c r="F10" s="253"/>
      <c r="G10" s="253"/>
      <c r="H10" s="253"/>
      <c r="I10" s="256"/>
    </row>
    <row r="11" spans="1:9" ht="14.25" x14ac:dyDescent="0.2">
      <c r="A11" s="32">
        <v>2321</v>
      </c>
      <c r="B11" s="185" t="s">
        <v>892</v>
      </c>
      <c r="C11" s="276">
        <f t="shared" si="0"/>
        <v>590523.38</v>
      </c>
      <c r="D11" s="244">
        <v>590523.38</v>
      </c>
      <c r="E11" s="243"/>
      <c r="F11" s="253"/>
      <c r="G11" s="253"/>
      <c r="H11" s="253"/>
      <c r="I11" s="256"/>
    </row>
    <row r="12" spans="1:9" x14ac:dyDescent="0.2">
      <c r="A12" s="32">
        <v>2400</v>
      </c>
      <c r="B12" t="s">
        <v>711</v>
      </c>
      <c r="C12" s="276">
        <f t="shared" si="0"/>
        <v>4869274.7699999996</v>
      </c>
      <c r="D12" s="20">
        <f>'DOE25'!L206+'DOE25'!L224+'DOE25'!L242-F12-G12-H12</f>
        <v>4779211.6499999994</v>
      </c>
      <c r="E12" s="243"/>
      <c r="F12" s="244"/>
      <c r="G12" s="53">
        <f>'DOE25'!J206+'DOE25'!J224+'DOE25'!J242</f>
        <v>60395.040000000008</v>
      </c>
      <c r="H12" s="53">
        <f>'DOE25'!K206+'DOE25'!K224+'DOE25'!K242</f>
        <v>29668.080000000002</v>
      </c>
      <c r="I12" s="256"/>
    </row>
    <row r="13" spans="1:9" x14ac:dyDescent="0.2">
      <c r="A13" s="32">
        <v>2500</v>
      </c>
      <c r="B13" t="s">
        <v>798</v>
      </c>
      <c r="C13" s="276">
        <f t="shared" si="0"/>
        <v>863609</v>
      </c>
      <c r="D13" s="243"/>
      <c r="E13" s="20">
        <f>'DOE25'!L207+'DOE25'!L225+'DOE25'!L243-F13-G13-H13</f>
        <v>830755.59</v>
      </c>
      <c r="F13" s="244"/>
      <c r="G13" s="53">
        <f>'DOE25'!J207+'DOE25'!J225+'DOE25'!J243</f>
        <v>10538.41</v>
      </c>
      <c r="H13" s="53">
        <f>'DOE25'!K207+'DOE25'!K225+'DOE25'!K243</f>
        <v>22315</v>
      </c>
      <c r="I13" s="256"/>
    </row>
    <row r="14" spans="1:9" x14ac:dyDescent="0.2">
      <c r="A14" s="32">
        <v>2600</v>
      </c>
      <c r="B14" t="s">
        <v>819</v>
      </c>
      <c r="C14" s="276">
        <f t="shared" si="0"/>
        <v>5875836.0700000003</v>
      </c>
      <c r="D14" s="20">
        <f>'DOE25'!L208+'DOE25'!L226+'DOE25'!L244-F14-G14-H14</f>
        <v>5518213.0600000005</v>
      </c>
      <c r="E14" s="243"/>
      <c r="F14" s="244">
        <v>138905.54</v>
      </c>
      <c r="G14" s="53">
        <f>'DOE25'!J208+'DOE25'!J226+'DOE25'!J244</f>
        <v>217777.47</v>
      </c>
      <c r="H14" s="53">
        <f>'DOE25'!K208+'DOE25'!K226+'DOE25'!K244</f>
        <v>940</v>
      </c>
      <c r="I14" s="256"/>
    </row>
    <row r="15" spans="1:9" x14ac:dyDescent="0.2">
      <c r="A15" s="32">
        <v>2700</v>
      </c>
      <c r="B15" t="s">
        <v>799</v>
      </c>
      <c r="C15" s="276">
        <f t="shared" si="0"/>
        <v>3147942.5300000003</v>
      </c>
      <c r="D15" s="20">
        <f>'DOE25'!L209+'DOE25'!L227+'DOE25'!L245-F15-G15-H15</f>
        <v>3006972.8000000003</v>
      </c>
      <c r="E15" s="243"/>
      <c r="F15" s="244"/>
      <c r="G15" s="53">
        <f>'DOE25'!J209+'DOE25'!J227+'DOE25'!J245</f>
        <v>139233</v>
      </c>
      <c r="H15" s="53">
        <f>'DOE25'!K209+'DOE25'!K227+'DOE25'!K245</f>
        <v>1736.73</v>
      </c>
      <c r="I15" s="256"/>
    </row>
    <row r="16" spans="1:9" x14ac:dyDescent="0.2">
      <c r="A16" s="32">
        <v>2800</v>
      </c>
      <c r="B16" t="s">
        <v>800</v>
      </c>
      <c r="C16" s="276">
        <f t="shared" si="0"/>
        <v>599315</v>
      </c>
      <c r="D16" s="243"/>
      <c r="E16" s="20">
        <f>'DOE25'!L210+'DOE25'!L228+'DOE25'!L246-F16-G16-H16</f>
        <v>564495</v>
      </c>
      <c r="F16" s="244">
        <v>34820</v>
      </c>
      <c r="G16" s="53">
        <f>'DOE25'!J210+'DOE25'!J228+'DOE25'!J246</f>
        <v>0</v>
      </c>
      <c r="H16" s="53">
        <f>'DOE25'!K210+'DOE25'!K228+'DOE25'!K246</f>
        <v>0</v>
      </c>
      <c r="I16" s="256"/>
    </row>
    <row r="17" spans="1:9" x14ac:dyDescent="0.2">
      <c r="A17" s="32">
        <v>1600</v>
      </c>
      <c r="B17" t="s">
        <v>801</v>
      </c>
      <c r="C17" s="276">
        <f t="shared" si="0"/>
        <v>105410.8</v>
      </c>
      <c r="D17" s="20">
        <f>'DOE25'!L252-F17-G17-H17</f>
        <v>102614</v>
      </c>
      <c r="E17" s="243"/>
      <c r="F17" s="244"/>
      <c r="G17" s="53">
        <f>'DOE25'!J252</f>
        <v>2796.8</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779708.45</v>
      </c>
      <c r="D22" s="243"/>
      <c r="E22" s="243"/>
      <c r="F22" s="243"/>
      <c r="G22" s="53">
        <f>'DOE25'!L256+'DOE25'!L337</f>
        <v>779708.45</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6367912.1799999997</v>
      </c>
      <c r="D25" s="243"/>
      <c r="E25" s="243"/>
      <c r="F25" s="255"/>
      <c r="G25" s="253"/>
      <c r="H25" s="253"/>
      <c r="I25" s="254">
        <f>'DOE25'!L261+'DOE25'!L262+'DOE25'!L342+'DOE25'!L343</f>
        <v>6367912.1799999997</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1015509.4199999999</v>
      </c>
      <c r="D29" s="284">
        <f>'DOE25'!L359+'DOE25'!L360+'DOE25'!L361-'DOE25'!I368-F29-G29-H29</f>
        <v>987887.59</v>
      </c>
      <c r="E29" s="243"/>
      <c r="F29" s="244"/>
      <c r="G29" s="53">
        <f>'DOE25'!J359+'DOE25'!J360+'DOE25'!J361</f>
        <v>25569.83</v>
      </c>
      <c r="H29" s="53">
        <f>'DOE25'!K359+'DOE25'!K360+'DOE25'!K361</f>
        <v>2052</v>
      </c>
      <c r="I29" s="256"/>
    </row>
    <row r="30" spans="1:9" x14ac:dyDescent="0.2">
      <c r="A30" s="32"/>
      <c r="C30" s="277"/>
      <c r="D30" s="20"/>
      <c r="E30" s="281"/>
      <c r="F30" s="271"/>
      <c r="G30" s="53"/>
      <c r="H30" s="53"/>
      <c r="I30" s="256"/>
    </row>
    <row r="31" spans="1:9" x14ac:dyDescent="0.2">
      <c r="A31" s="32" t="s">
        <v>818</v>
      </c>
      <c r="B31" t="s">
        <v>817</v>
      </c>
      <c r="C31" s="276">
        <f>SUM(D31:I31)</f>
        <v>4599443.7100000009</v>
      </c>
      <c r="D31" s="20">
        <f>'DOE25'!L291+'DOE25'!L310+'DOE25'!L329+'DOE25'!L334+'DOE25'!L335+'DOE25'!L336-F31-G31-H31</f>
        <v>4407226.7500000009</v>
      </c>
      <c r="E31" s="243"/>
      <c r="F31" s="244">
        <v>60044.88</v>
      </c>
      <c r="G31" s="53">
        <f>'DOE25'!J291+'DOE25'!J310+'DOE25'!J329+'DOE25'!J334+'DOE25'!J335+'DOE25'!J336</f>
        <v>126366.32</v>
      </c>
      <c r="H31" s="53">
        <f>'DOE25'!K291+'DOE25'!K310+'DOE25'!K329+'DOE25'!K334+'DOE25'!K335+'DOE25'!K336</f>
        <v>5805.76</v>
      </c>
      <c r="I31" s="256"/>
    </row>
    <row r="32" spans="1:9" ht="12" thickBot="1" x14ac:dyDescent="0.25">
      <c r="C32" s="277"/>
      <c r="G32" s="251"/>
      <c r="H32" s="251"/>
      <c r="I32" s="258"/>
    </row>
    <row r="33" spans="1:9" ht="12" thickTop="1" x14ac:dyDescent="0.2">
      <c r="B33" t="s">
        <v>809</v>
      </c>
      <c r="D33" s="245">
        <f t="shared" ref="D33:I33" si="1">SUM(D5:D31)</f>
        <v>73903706.541736022</v>
      </c>
      <c r="E33" s="245">
        <f t="shared" si="1"/>
        <v>2277708.4399999995</v>
      </c>
      <c r="F33" s="245">
        <f t="shared" si="1"/>
        <v>1266170.1299999999</v>
      </c>
      <c r="G33" s="245">
        <f t="shared" si="1"/>
        <v>1720215.5400000003</v>
      </c>
      <c r="H33" s="245">
        <f t="shared" si="1"/>
        <v>118494.73999999999</v>
      </c>
      <c r="I33" s="245">
        <f t="shared" si="1"/>
        <v>6367912.1799999997</v>
      </c>
    </row>
    <row r="35" spans="1:9" ht="12" thickBot="1" x14ac:dyDescent="0.25">
      <c r="B35" s="251" t="s">
        <v>831</v>
      </c>
      <c r="D35" s="252">
        <f>E33</f>
        <v>2277708.4399999995</v>
      </c>
      <c r="E35" s="248"/>
    </row>
    <row r="36" spans="1:9" ht="12" thickTop="1" x14ac:dyDescent="0.2">
      <c r="B36" t="s">
        <v>810</v>
      </c>
      <c r="D36" s="20">
        <f>D33</f>
        <v>73903706.541736022</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I35" sqref="I35"/>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Concord</v>
      </c>
      <c r="B2" s="126">
        <f>'DOE25'!B2</f>
        <v>111</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34153442.119999997</v>
      </c>
      <c r="G4" s="303">
        <f>'DOE25'!L212+'DOE25'!L291</f>
        <v>34153442.119999997</v>
      </c>
      <c r="H4" s="337">
        <f>F4-G4</f>
        <v>0</v>
      </c>
      <c r="I4" s="309" t="str">
        <f>IF(H4=0,"","Does not match DOE25 page 7 and 11 Totals!!")</f>
        <v/>
      </c>
      <c r="N4"/>
    </row>
    <row r="5" spans="1:18" x14ac:dyDescent="0.2">
      <c r="A5" s="21" t="s">
        <v>974</v>
      </c>
      <c r="B5" s="304">
        <f>IFERROR(VLOOKUP(A5,'School Tables'!$C$3:$D$365,2,FALSE),"")</f>
        <v>26490</v>
      </c>
      <c r="C5" s="297" t="str">
        <f>IFERROR(INDEX('School Tables'!$B$3:$B$365,MATCH('School Level Expenditures'!B5,'School Tables'!$D$3:$D$365,0)),"")</f>
        <v>Concord</v>
      </c>
      <c r="D5" s="294">
        <v>4069148.67</v>
      </c>
      <c r="E5" s="294">
        <v>477444.92</v>
      </c>
      <c r="F5" s="312">
        <f>D5+E5</f>
        <v>4546593.59</v>
      </c>
      <c r="G5" s="297"/>
      <c r="H5" s="297"/>
      <c r="I5" s="126"/>
      <c r="N5"/>
    </row>
    <row r="6" spans="1:18" x14ac:dyDescent="0.2">
      <c r="A6" s="21" t="s">
        <v>977</v>
      </c>
      <c r="B6" s="304">
        <f>IFERROR(VLOOKUP(A6,'School Tables'!$C$3:$D$365,2,FALSE),"")</f>
        <v>20260</v>
      </c>
      <c r="C6" s="297" t="str">
        <f>IFERROR(INDEX('School Tables'!$B$3:$B$365,MATCH('School Level Expenditures'!B6,'School Tables'!$D$3:$D$365,0)),"")</f>
        <v>Concord</v>
      </c>
      <c r="D6" s="294">
        <v>4715990.07</v>
      </c>
      <c r="E6" s="294">
        <v>223234.36</v>
      </c>
      <c r="F6" s="307">
        <f t="shared" ref="F6:F20" si="0">D6+E6</f>
        <v>4939224.4300000006</v>
      </c>
      <c r="G6" s="297"/>
      <c r="H6" s="297"/>
      <c r="I6" s="126"/>
      <c r="N6"/>
    </row>
    <row r="7" spans="1:18" x14ac:dyDescent="0.2">
      <c r="A7" s="21" t="s">
        <v>975</v>
      </c>
      <c r="B7" s="304">
        <f>IFERROR(VLOOKUP(A7,'School Tables'!$C$3:$D$365,2,FALSE),"")</f>
        <v>20240</v>
      </c>
      <c r="C7" s="297" t="str">
        <f>IFERROR(INDEX('School Tables'!$B$3:$B$365,MATCH('School Level Expenditures'!B7,'School Tables'!$D$3:$D$365,0)),"")</f>
        <v>Concord</v>
      </c>
      <c r="D7" s="294">
        <v>4209226.8499999996</v>
      </c>
      <c r="E7" s="294">
        <v>477395.77</v>
      </c>
      <c r="F7" s="307">
        <f t="shared" si="0"/>
        <v>4686622.6199999992</v>
      </c>
      <c r="G7" s="297"/>
      <c r="H7" s="297"/>
      <c r="I7" s="126"/>
      <c r="N7"/>
    </row>
    <row r="8" spans="1:18" x14ac:dyDescent="0.2">
      <c r="A8" s="21" t="s">
        <v>976</v>
      </c>
      <c r="B8" s="304">
        <f>IFERROR(VLOOKUP(A8,'School Tables'!$C$3:$D$365,2,FALSE),"")</f>
        <v>20250</v>
      </c>
      <c r="C8" s="297" t="str">
        <f>IFERROR(INDEX('School Tables'!$B$3:$B$365,MATCH('School Level Expenditures'!B8,'School Tables'!$D$3:$D$365,0)),"")</f>
        <v>Concord</v>
      </c>
      <c r="D8" s="294">
        <v>4665502.9800000004</v>
      </c>
      <c r="E8" s="294">
        <v>452388.13</v>
      </c>
      <c r="F8" s="307">
        <f t="shared" si="0"/>
        <v>5117891.1100000003</v>
      </c>
      <c r="G8" s="297"/>
      <c r="H8" s="297"/>
      <c r="I8" s="126"/>
      <c r="N8"/>
    </row>
    <row r="9" spans="1:18" x14ac:dyDescent="0.2">
      <c r="A9" s="21" t="s">
        <v>980</v>
      </c>
      <c r="B9" s="304">
        <f>IFERROR(VLOOKUP(A9,'School Tables'!$C$3:$D$365,2,FALSE),"")</f>
        <v>20305</v>
      </c>
      <c r="C9" s="297" t="str">
        <f>IFERROR(INDEX('School Tables'!$B$3:$B$365,MATCH('School Level Expenditures'!B9,'School Tables'!$D$3:$D$365,0)),"")</f>
        <v>Concord</v>
      </c>
      <c r="D9" s="294">
        <v>4604288.75</v>
      </c>
      <c r="E9" s="294">
        <v>492043.65</v>
      </c>
      <c r="F9" s="307">
        <f t="shared" si="0"/>
        <v>5096332.4000000004</v>
      </c>
      <c r="G9" s="297"/>
      <c r="H9" s="297"/>
      <c r="I9" s="126"/>
      <c r="N9"/>
    </row>
    <row r="10" spans="1:18" x14ac:dyDescent="0.2">
      <c r="A10" s="21" t="s">
        <v>1562</v>
      </c>
      <c r="B10" s="304">
        <f>IFERROR(VLOOKUP(A10,'School Tables'!$C$3:$D$365,2,FALSE),"")</f>
        <v>99999</v>
      </c>
      <c r="C10" s="297" t="str">
        <f>IFERROR(INDEX('School Tables'!$B$3:$B$365,MATCH('School Level Expenditures'!B10,'School Tables'!$D$3:$D$365,0)),"")</f>
        <v>Other District Expenditures</v>
      </c>
      <c r="D10" s="294">
        <v>8672419.4299999997</v>
      </c>
      <c r="E10" s="294">
        <v>1094358.54</v>
      </c>
      <c r="F10" s="307">
        <f t="shared" si="0"/>
        <v>9766777.9699999988</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15459071.151735997</v>
      </c>
      <c r="G24" s="303">
        <f>'DOE25'!L230+'DOE25'!L310</f>
        <v>15459071.151735997</v>
      </c>
      <c r="H24" s="337">
        <f>F24-G24</f>
        <v>0</v>
      </c>
      <c r="I24" s="309" t="str">
        <f>IF(H24=0,"","Does not match DOE25 page 8 and 12 Totals!!")</f>
        <v/>
      </c>
      <c r="N24"/>
    </row>
    <row r="25" spans="1:14" x14ac:dyDescent="0.2">
      <c r="A25" s="21" t="s">
        <v>978</v>
      </c>
      <c r="B25" s="304">
        <f>IFERROR(VLOOKUP(A25,'School Tables'!$I$3:$J$80,2,FALSE),"")</f>
        <v>20270</v>
      </c>
      <c r="C25" s="297" t="str">
        <f t="array" ref="C25">IFERROR(INDEX('School Tables'!$H$3:$H$80,MATCH('School Level Expenditures'!B25,'School Tables'!$J$3:$J$80,0)),"")</f>
        <v>Concord</v>
      </c>
      <c r="D25" s="294">
        <f>'DOE25'!L230</f>
        <v>14923962.631735997</v>
      </c>
      <c r="E25" s="294">
        <f>'DOE25'!L310</f>
        <v>535108.52</v>
      </c>
      <c r="F25" s="307">
        <f>D25+E25</f>
        <v>15459071.151735997</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27725585.34</v>
      </c>
      <c r="G36" s="303">
        <f>'DOE25'!L248+'DOE25'!L329</f>
        <v>27725585.340000007</v>
      </c>
      <c r="H36" s="337">
        <f>F36-G36</f>
        <v>0</v>
      </c>
      <c r="I36" s="309" t="str">
        <f>IF(H36=0,"","Does not match DOE25 page 9 and 13 Totals!!")</f>
        <v/>
      </c>
      <c r="N36"/>
    </row>
    <row r="37" spans="1:14" x14ac:dyDescent="0.2">
      <c r="A37" s="21" t="s">
        <v>979</v>
      </c>
      <c r="B37" s="304">
        <f>IFERROR(VLOOKUP(A37,'School Tables'!$O$3:$P$118,2,FALSE),"")</f>
        <v>20285</v>
      </c>
      <c r="C37" s="297" t="str">
        <f t="array" ref="C37">IFERROR(INDEX('School Tables'!$N$3:$N$118,MATCH('School Level Expenditures'!B37,'School Tables'!$P$3:$P$118,0)),"")</f>
        <v>Concord</v>
      </c>
      <c r="D37" s="294">
        <v>26878233.629999999</v>
      </c>
      <c r="E37" s="294">
        <v>847351.71</v>
      </c>
      <c r="F37" s="307">
        <f>D37+E37</f>
        <v>27725585.34</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ref="F38:F41" si="2">D38+E38</f>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114" activePane="bottomLeft" state="frozen"/>
      <selection activeCell="F46" sqref="F46"/>
      <selection pane="bottomLeft" activeCell="I46" sqref="I46"/>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Concord</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5967995.9100000001</v>
      </c>
      <c r="D8" s="95">
        <f>'DOE25'!G9</f>
        <v>95537.43</v>
      </c>
      <c r="E8" s="95">
        <f>'DOE25'!H9</f>
        <v>-200340.99</v>
      </c>
      <c r="F8" s="95">
        <f>'DOE25'!I9</f>
        <v>191166.04</v>
      </c>
      <c r="G8" s="95">
        <f>'DOE25'!J9</f>
        <v>0</v>
      </c>
      <c r="H8" s="124"/>
      <c r="I8" s="124"/>
    </row>
    <row r="9" spans="1:9" x14ac:dyDescent="0.2">
      <c r="A9" s="1" t="s">
        <v>140</v>
      </c>
      <c r="B9" s="6">
        <v>110</v>
      </c>
      <c r="C9" s="95">
        <f>'DOE25'!F10</f>
        <v>0</v>
      </c>
      <c r="D9" s="95">
        <f>'DOE25'!G10</f>
        <v>0</v>
      </c>
      <c r="E9" s="95">
        <f>'DOE25'!H10</f>
        <v>0</v>
      </c>
      <c r="F9" s="95">
        <f>'DOE25'!I10</f>
        <v>1139081.3700000001</v>
      </c>
      <c r="G9" s="95">
        <f>'DOE25'!J10</f>
        <v>11281940.310000001</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122671155.8</v>
      </c>
      <c r="D11" s="95">
        <f>'DOE25'!G12</f>
        <v>6884017.4800000004</v>
      </c>
      <c r="E11" s="95">
        <f>'DOE25'!H12</f>
        <v>50691567</v>
      </c>
      <c r="F11" s="95">
        <f>'DOE25'!I12</f>
        <v>67576312.769999996</v>
      </c>
      <c r="G11" s="95">
        <f>'DOE25'!J12</f>
        <v>-1703884.8</v>
      </c>
      <c r="H11" s="124"/>
      <c r="I11" s="124"/>
    </row>
    <row r="12" spans="1:9" x14ac:dyDescent="0.2">
      <c r="A12" s="1" t="s">
        <v>143</v>
      </c>
      <c r="B12" s="6">
        <v>140</v>
      </c>
      <c r="C12" s="95">
        <f>'DOE25'!F13</f>
        <v>0</v>
      </c>
      <c r="D12" s="95">
        <f>'DOE25'!G13</f>
        <v>0</v>
      </c>
      <c r="E12" s="95">
        <f>'DOE25'!H13</f>
        <v>0</v>
      </c>
      <c r="F12" s="95">
        <f>'DOE25'!I13</f>
        <v>0</v>
      </c>
      <c r="G12" s="95">
        <f>'DOE25'!J13</f>
        <v>0</v>
      </c>
      <c r="H12" s="124"/>
      <c r="I12" s="124"/>
    </row>
    <row r="13" spans="1:9" x14ac:dyDescent="0.2">
      <c r="A13" s="1" t="s">
        <v>144</v>
      </c>
      <c r="B13" s="6">
        <v>150</v>
      </c>
      <c r="C13" s="95">
        <f>'DOE25'!F14</f>
        <v>460999.72</v>
      </c>
      <c r="D13" s="95">
        <f>'DOE25'!G14</f>
        <v>48.75</v>
      </c>
      <c r="E13" s="95">
        <f>'DOE25'!H14</f>
        <v>1364941.98</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279.8</v>
      </c>
      <c r="D15" s="95">
        <f>'DOE25'!G16</f>
        <v>67101.539999999994</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118700</v>
      </c>
      <c r="D17" s="95">
        <f>'DOE25'!G18</f>
        <v>0</v>
      </c>
      <c r="E17" s="95">
        <f>'DOE25'!H18</f>
        <v>0</v>
      </c>
      <c r="F17" s="95">
        <f>'DOE25'!I18</f>
        <v>0</v>
      </c>
      <c r="G17" s="95">
        <f>'DOE25'!J18</f>
        <v>0</v>
      </c>
      <c r="H17" s="124"/>
      <c r="I17" s="124"/>
    </row>
    <row r="18" spans="1:9" ht="12" thickTop="1" x14ac:dyDescent="0.2">
      <c r="A18" s="38" t="s">
        <v>149</v>
      </c>
      <c r="B18" s="39"/>
      <c r="C18" s="41">
        <f>SUM(C8:C17)</f>
        <v>129219131.22999999</v>
      </c>
      <c r="D18" s="41">
        <f>SUM(D8:D17)</f>
        <v>7046705.2000000002</v>
      </c>
      <c r="E18" s="41">
        <f>SUM(E8:E17)</f>
        <v>51856167.989999995</v>
      </c>
      <c r="F18" s="41">
        <f>SUM(F8:F17)</f>
        <v>68906560.179999992</v>
      </c>
      <c r="G18" s="41">
        <f>SUM(G8:G17)</f>
        <v>9578055.5099999998</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123734496.61</v>
      </c>
      <c r="D21" s="95">
        <f>'DOE25'!G22</f>
        <v>6938113.75</v>
      </c>
      <c r="E21" s="95">
        <f>'DOE25'!H22</f>
        <v>51541765.399999999</v>
      </c>
      <c r="F21" s="95">
        <f>'DOE25'!I22</f>
        <v>67770155.340000004</v>
      </c>
      <c r="G21" s="95">
        <f>'DOE25'!J22</f>
        <v>-3865582.82</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0</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123581.32</v>
      </c>
      <c r="D27" s="95">
        <f>'DOE25'!G28</f>
        <v>143</v>
      </c>
      <c r="E27" s="95">
        <f>'DOE25'!H28</f>
        <v>0</v>
      </c>
      <c r="F27" s="95">
        <f>'DOE25'!I28</f>
        <v>0</v>
      </c>
      <c r="G27" s="24" t="s">
        <v>288</v>
      </c>
      <c r="H27" s="124"/>
      <c r="I27" s="124"/>
    </row>
    <row r="28" spans="1:9" x14ac:dyDescent="0.2">
      <c r="A28" s="1" t="s">
        <v>157</v>
      </c>
      <c r="B28" s="6">
        <v>470</v>
      </c>
      <c r="C28" s="95">
        <f>'DOE25'!F29</f>
        <v>2151387.4900000002</v>
      </c>
      <c r="D28" s="95">
        <f>'DOE25'!G29</f>
        <v>0</v>
      </c>
      <c r="E28" s="95">
        <f>'DOE25'!H29</f>
        <v>0</v>
      </c>
      <c r="F28" s="95">
        <f>'DOE25'!I29</f>
        <v>0</v>
      </c>
      <c r="G28" s="24" t="s">
        <v>288</v>
      </c>
      <c r="H28" s="124"/>
      <c r="I28" s="124"/>
    </row>
    <row r="29" spans="1:9" x14ac:dyDescent="0.2">
      <c r="A29" s="1" t="s">
        <v>158</v>
      </c>
      <c r="B29" s="6">
        <v>480</v>
      </c>
      <c r="C29" s="95">
        <f>'DOE25'!F30</f>
        <v>54405.62</v>
      </c>
      <c r="D29" s="95">
        <f>'DOE25'!G30</f>
        <v>63533.9</v>
      </c>
      <c r="E29" s="95">
        <f>'DOE25'!H30</f>
        <v>0</v>
      </c>
      <c r="F29" s="95">
        <f>'DOE25'!I30</f>
        <v>0</v>
      </c>
      <c r="G29" s="24" t="s">
        <v>288</v>
      </c>
      <c r="H29" s="124"/>
      <c r="I29" s="124"/>
    </row>
    <row r="30" spans="1:9" ht="12" thickBot="1" x14ac:dyDescent="0.25">
      <c r="A30" s="1" t="s">
        <v>159</v>
      </c>
      <c r="B30" s="71">
        <v>490</v>
      </c>
      <c r="C30" s="95">
        <f>'DOE25'!F31</f>
        <v>48.75</v>
      </c>
      <c r="D30" s="95">
        <f>'DOE25'!G31</f>
        <v>0</v>
      </c>
      <c r="E30" s="95">
        <f>'DOE25'!H31</f>
        <v>0</v>
      </c>
      <c r="F30" s="95">
        <f>'DOE25'!I31</f>
        <v>0</v>
      </c>
      <c r="G30" s="95">
        <f>'DOE25'!J31</f>
        <v>0</v>
      </c>
      <c r="H30" s="124"/>
      <c r="I30" s="124"/>
    </row>
    <row r="31" spans="1:9" ht="12" thickTop="1" x14ac:dyDescent="0.2">
      <c r="A31" s="38" t="s">
        <v>160</v>
      </c>
      <c r="B31" s="2"/>
      <c r="C31" s="41">
        <f>SUM(C21:C30)</f>
        <v>126063919.78999999</v>
      </c>
      <c r="D31" s="41">
        <f>SUM(D21:D30)</f>
        <v>7001790.6500000004</v>
      </c>
      <c r="E31" s="41">
        <f>SUM(E21:E30)</f>
        <v>51541765.399999999</v>
      </c>
      <c r="F31" s="41">
        <f>SUM(F21:F30)</f>
        <v>67770155.340000004</v>
      </c>
      <c r="G31" s="41">
        <f>SUM(G21:G30)</f>
        <v>-3865582.82</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1051606.3899999999</v>
      </c>
      <c r="D44" s="95">
        <f>'DOE25'!G45</f>
        <v>5644.92</v>
      </c>
      <c r="E44" s="95">
        <f>'DOE25'!H45</f>
        <v>160095.51</v>
      </c>
      <c r="F44" s="95">
        <f>'DOE25'!I45</f>
        <v>107000</v>
      </c>
      <c r="G44" s="95">
        <f>'DOE25'!J45</f>
        <v>21450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279.8</v>
      </c>
      <c r="D47" s="95">
        <f>'DOE25'!G48</f>
        <v>39269.629999999997</v>
      </c>
      <c r="E47" s="95">
        <f>'DOE25'!H48</f>
        <v>154307.08000000147</v>
      </c>
      <c r="F47" s="95">
        <f>'DOE25'!I48</f>
        <v>1029404.8400000143</v>
      </c>
      <c r="G47" s="95">
        <f>'DOE25'!J48</f>
        <v>13422188.33</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2103325.25</v>
      </c>
      <c r="D49" s="24" t="s">
        <v>288</v>
      </c>
      <c r="E49" s="24" t="s">
        <v>288</v>
      </c>
      <c r="F49" s="24" t="s">
        <v>288</v>
      </c>
      <c r="G49" s="24" t="s">
        <v>288</v>
      </c>
      <c r="H49" s="124"/>
      <c r="I49" s="124"/>
    </row>
    <row r="50" spans="1:9" ht="12.75" thickTop="1" thickBot="1" x14ac:dyDescent="0.25">
      <c r="A50" s="38" t="s">
        <v>884</v>
      </c>
      <c r="B50" s="48"/>
      <c r="C50" s="41">
        <f>SUM(C34:C49)</f>
        <v>3155211.44</v>
      </c>
      <c r="D50" s="41">
        <f>SUM(D34:D49)</f>
        <v>44914.549999999996</v>
      </c>
      <c r="E50" s="41">
        <f>SUM(E34:E49)</f>
        <v>314402.59000000148</v>
      </c>
      <c r="F50" s="41">
        <f>SUM(F34:F49)</f>
        <v>1136404.8400000143</v>
      </c>
      <c r="G50" s="41">
        <f>SUM(G34:G49)</f>
        <v>13443638.33</v>
      </c>
      <c r="H50" s="124"/>
      <c r="I50" s="124"/>
    </row>
    <row r="51" spans="1:9" ht="12" thickTop="1" x14ac:dyDescent="0.2">
      <c r="A51" s="38" t="s">
        <v>885</v>
      </c>
      <c r="B51" s="2"/>
      <c r="C51" s="41">
        <f>C50+C31</f>
        <v>129219131.22999999</v>
      </c>
      <c r="D51" s="41">
        <f>D50+D31</f>
        <v>7046705.2000000002</v>
      </c>
      <c r="E51" s="41">
        <f>E50+E31</f>
        <v>51856167.990000002</v>
      </c>
      <c r="F51" s="41">
        <f>F50+F31</f>
        <v>68906560.180000022</v>
      </c>
      <c r="G51" s="41">
        <f>G50+G31</f>
        <v>9578055.5099999998</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52491812.729999997</v>
      </c>
      <c r="D56" s="95">
        <f>'DOE25'!G60</f>
        <v>0</v>
      </c>
      <c r="E56" s="95">
        <f>'DOE25'!H60</f>
        <v>0</v>
      </c>
      <c r="F56" s="95">
        <f>'DOE25'!I60</f>
        <v>0</v>
      </c>
      <c r="G56" s="95">
        <f>'DOE25'!J60</f>
        <v>0</v>
      </c>
      <c r="H56"/>
      <c r="I56"/>
    </row>
    <row r="57" spans="1:9" x14ac:dyDescent="0.2">
      <c r="A57" s="1" t="s">
        <v>164</v>
      </c>
      <c r="B57" s="6" t="s">
        <v>165</v>
      </c>
      <c r="C57" s="95">
        <f>'DOE25'!F79</f>
        <v>4096096.46</v>
      </c>
      <c r="D57" s="24" t="s">
        <v>288</v>
      </c>
      <c r="E57" s="95">
        <f>'DOE25'!H79</f>
        <v>0</v>
      </c>
      <c r="F57" s="24" t="s">
        <v>288</v>
      </c>
      <c r="G57" s="24" t="s">
        <v>288</v>
      </c>
      <c r="H57"/>
      <c r="I57"/>
    </row>
    <row r="58" spans="1:9" x14ac:dyDescent="0.2">
      <c r="A58" s="1" t="s">
        <v>166</v>
      </c>
      <c r="B58" s="6" t="s">
        <v>167</v>
      </c>
      <c r="C58" s="95">
        <f>'DOE25'!F94</f>
        <v>157809.18</v>
      </c>
      <c r="D58" s="24" t="s">
        <v>288</v>
      </c>
      <c r="E58" s="95">
        <f>'DOE25'!H94</f>
        <v>0</v>
      </c>
      <c r="F58" s="24" t="s">
        <v>288</v>
      </c>
      <c r="G58" s="24" t="s">
        <v>288</v>
      </c>
      <c r="H58"/>
      <c r="I58"/>
    </row>
    <row r="59" spans="1:9" x14ac:dyDescent="0.2">
      <c r="A59" s="69" t="s">
        <v>168</v>
      </c>
      <c r="B59" s="37" t="s">
        <v>169</v>
      </c>
      <c r="C59" s="95">
        <f>'DOE25'!F96</f>
        <v>33362.639999999999</v>
      </c>
      <c r="D59" s="95">
        <f>'DOE25'!G96</f>
        <v>39.96</v>
      </c>
      <c r="E59" s="95">
        <f>'DOE25'!H96</f>
        <v>0</v>
      </c>
      <c r="F59" s="95">
        <f>'DOE25'!I96</f>
        <v>9709.3799999999992</v>
      </c>
      <c r="G59" s="95">
        <f>'DOE25'!J96</f>
        <v>113635.02</v>
      </c>
      <c r="H59"/>
      <c r="I59"/>
    </row>
    <row r="60" spans="1:9" x14ac:dyDescent="0.2">
      <c r="A60" s="1" t="s">
        <v>170</v>
      </c>
      <c r="B60" s="118" t="s">
        <v>171</v>
      </c>
      <c r="C60" s="24" t="s">
        <v>288</v>
      </c>
      <c r="D60" s="95">
        <f>'DOE25'!G97</f>
        <v>623894.56999999995</v>
      </c>
      <c r="E60" s="24" t="s">
        <v>288</v>
      </c>
      <c r="F60" s="24" t="s">
        <v>288</v>
      </c>
      <c r="G60" s="24" t="s">
        <v>288</v>
      </c>
      <c r="H60"/>
      <c r="I60"/>
    </row>
    <row r="61" spans="1:9" ht="12" thickBot="1" x14ac:dyDescent="0.25">
      <c r="A61" s="1" t="s">
        <v>172</v>
      </c>
      <c r="B61" s="118" t="s">
        <v>173</v>
      </c>
      <c r="C61" s="95">
        <f>SUM('DOE25'!F98:F110)</f>
        <v>330987.62</v>
      </c>
      <c r="D61" s="95">
        <f>SUM('DOE25'!G98:G110)</f>
        <v>3140.09</v>
      </c>
      <c r="E61" s="95">
        <f>SUM('DOE25'!H98:H110)</f>
        <v>145748.5</v>
      </c>
      <c r="F61" s="95">
        <f>SUM('DOE25'!I98:I110)</f>
        <v>0</v>
      </c>
      <c r="G61" s="95">
        <f>SUM('DOE25'!J98:J110)</f>
        <v>46595.56</v>
      </c>
      <c r="H61"/>
      <c r="I61"/>
    </row>
    <row r="62" spans="1:9" ht="12.75" thickTop="1" thickBot="1" x14ac:dyDescent="0.25">
      <c r="A62" s="29" t="s">
        <v>174</v>
      </c>
      <c r="B62" s="6"/>
      <c r="C62" s="130">
        <f>SUM(C57:C61)</f>
        <v>4618255.8999999994</v>
      </c>
      <c r="D62" s="130">
        <f>SUM(D57:D61)</f>
        <v>627074.61999999988</v>
      </c>
      <c r="E62" s="130">
        <f>SUM(E57:E61)</f>
        <v>145748.5</v>
      </c>
      <c r="F62" s="130">
        <f>SUM(F57:F61)</f>
        <v>9709.3799999999992</v>
      </c>
      <c r="G62" s="130">
        <f>SUM(G57:G61)</f>
        <v>160230.58000000002</v>
      </c>
      <c r="H62"/>
      <c r="I62"/>
    </row>
    <row r="63" spans="1:9" ht="12" thickTop="1" x14ac:dyDescent="0.2">
      <c r="A63" s="29" t="s">
        <v>175</v>
      </c>
      <c r="B63" s="6"/>
      <c r="C63" s="22">
        <f>C56+C62</f>
        <v>57110068.629999995</v>
      </c>
      <c r="D63" s="22">
        <f>D56+D62</f>
        <v>627074.61999999988</v>
      </c>
      <c r="E63" s="22">
        <f>E56+E62</f>
        <v>145748.5</v>
      </c>
      <c r="F63" s="22">
        <f>F56+F62</f>
        <v>9709.3799999999992</v>
      </c>
      <c r="G63" s="22">
        <f>G56+G62</f>
        <v>160230.58000000002</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14416412.970000001</v>
      </c>
      <c r="D66" s="24" t="s">
        <v>288</v>
      </c>
      <c r="E66" s="24" t="s">
        <v>288</v>
      </c>
      <c r="F66" s="24" t="s">
        <v>288</v>
      </c>
      <c r="G66" s="24" t="s">
        <v>288</v>
      </c>
      <c r="H66"/>
      <c r="I66"/>
    </row>
    <row r="67" spans="1:9" x14ac:dyDescent="0.2">
      <c r="A67" s="1" t="s">
        <v>770</v>
      </c>
      <c r="B67" s="6">
        <v>3112</v>
      </c>
      <c r="C67" s="95">
        <f>'DOE25'!F118</f>
        <v>7730534</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40820.660000000003</v>
      </c>
      <c r="D69" s="95">
        <f>'DOE25'!G120</f>
        <v>0</v>
      </c>
      <c r="E69" s="95">
        <f>'DOE25'!H120</f>
        <v>0</v>
      </c>
      <c r="F69" s="95">
        <f>'DOE25'!I120</f>
        <v>0</v>
      </c>
      <c r="G69" s="95">
        <f>'DOE25'!J120</f>
        <v>0</v>
      </c>
      <c r="H69"/>
      <c r="I69"/>
    </row>
    <row r="70" spans="1:9" ht="12" thickTop="1" x14ac:dyDescent="0.2">
      <c r="A70" s="29" t="s">
        <v>252</v>
      </c>
      <c r="B70" s="2"/>
      <c r="C70" s="139">
        <f>SUM(C66:C69)</f>
        <v>22187767.629999999</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932752.75</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282424.67</v>
      </c>
      <c r="D75" s="24" t="s">
        <v>288</v>
      </c>
      <c r="E75" s="24" t="s">
        <v>288</v>
      </c>
      <c r="F75" s="24" t="s">
        <v>288</v>
      </c>
      <c r="G75" s="24" t="s">
        <v>288</v>
      </c>
      <c r="H75"/>
      <c r="I75"/>
    </row>
    <row r="76" spans="1:9" x14ac:dyDescent="0.2">
      <c r="A76" s="1" t="s">
        <v>257</v>
      </c>
      <c r="B76" s="6" t="s">
        <v>179</v>
      </c>
      <c r="C76" s="95">
        <f>SUM('DOE25'!F127:F130)</f>
        <v>1512546.65</v>
      </c>
      <c r="D76" s="24" t="s">
        <v>288</v>
      </c>
      <c r="E76" s="95">
        <f>SUM('DOE25'!H127:H130)</f>
        <v>0</v>
      </c>
      <c r="F76" s="95">
        <f>SUM('DOE25'!I127:I130)</f>
        <v>0</v>
      </c>
      <c r="G76" s="24" t="s">
        <v>288</v>
      </c>
      <c r="H76"/>
      <c r="I76"/>
    </row>
    <row r="77" spans="1:9" ht="12" thickBot="1" x14ac:dyDescent="0.25">
      <c r="A77" s="1" t="s">
        <v>258</v>
      </c>
      <c r="B77" s="6" t="s">
        <v>180</v>
      </c>
      <c r="C77" s="95">
        <f>SUM('DOE25'!F131:F135)</f>
        <v>1000000</v>
      </c>
      <c r="D77" s="95">
        <f>SUM('DOE25'!G131:G135)</f>
        <v>28083.52</v>
      </c>
      <c r="E77" s="95">
        <f>SUM('DOE25'!H131:H135)</f>
        <v>189785.38</v>
      </c>
      <c r="F77" s="95">
        <f>SUM('DOE25'!I131:I135)</f>
        <v>0</v>
      </c>
      <c r="G77" s="95">
        <f>SUM('DOE25'!J131:J135)</f>
        <v>0</v>
      </c>
      <c r="H77"/>
      <c r="I77"/>
    </row>
    <row r="78" spans="1:9" ht="12.75" thickTop="1" thickBot="1" x14ac:dyDescent="0.25">
      <c r="A78" s="29" t="s">
        <v>259</v>
      </c>
      <c r="B78" s="6"/>
      <c r="C78" s="130">
        <f>SUM(C72:C77)</f>
        <v>3727724.07</v>
      </c>
      <c r="D78" s="130">
        <f>SUM(D72:D77)</f>
        <v>28083.52</v>
      </c>
      <c r="E78" s="130">
        <f>SUM(E72:E77)</f>
        <v>189785.38</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25915491.699999999</v>
      </c>
      <c r="D81" s="130">
        <f>SUM(D79:D80)+D78+D70</f>
        <v>28083.52</v>
      </c>
      <c r="E81" s="130">
        <f>SUM(E79:E80)+E78+E70</f>
        <v>189785.38</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804621.38</v>
      </c>
      <c r="D85" s="95">
        <f>'DOE25'!G147</f>
        <v>0</v>
      </c>
      <c r="E85" s="95">
        <f>'DOE25'!H147</f>
        <v>42150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181190.61</v>
      </c>
      <c r="D88" s="341">
        <f>SUM('DOE25'!G153:G162)</f>
        <v>839541.73</v>
      </c>
      <c r="E88" s="341">
        <f>SUM('DOE25'!H153:H162)</f>
        <v>4415982.2300000004</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985811.99</v>
      </c>
      <c r="D91" s="131">
        <f>SUM(D85:D90)</f>
        <v>839541.73</v>
      </c>
      <c r="E91" s="131">
        <f>SUM(E85:E90)</f>
        <v>4458132.2300000004</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125071.07</v>
      </c>
      <c r="E96" s="95">
        <f>'DOE25'!H180</f>
        <v>0</v>
      </c>
      <c r="F96" s="95">
        <f>'DOE25'!I180</f>
        <v>0</v>
      </c>
      <c r="G96" s="95">
        <f>'DOE25'!J180</f>
        <v>4830027.5500000007</v>
      </c>
    </row>
    <row r="97" spans="1:7" x14ac:dyDescent="0.2">
      <c r="A97" t="s">
        <v>754</v>
      </c>
      <c r="B97" s="32" t="s">
        <v>188</v>
      </c>
      <c r="C97" s="95">
        <f>SUM('DOE25'!F181:F182)</f>
        <v>93747.45</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91401.67</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93747.45</v>
      </c>
      <c r="D103" s="86">
        <f>SUM(D93:D102)</f>
        <v>125071.07</v>
      </c>
      <c r="E103" s="86">
        <f>SUM(E93:E102)</f>
        <v>0</v>
      </c>
      <c r="F103" s="86">
        <f>SUM(F93:F102)</f>
        <v>91401.67</v>
      </c>
      <c r="G103" s="86">
        <f>SUM(G93:G102)</f>
        <v>4830027.5500000007</v>
      </c>
    </row>
    <row r="104" spans="1:7" ht="12.75" thickTop="1" thickBot="1" x14ac:dyDescent="0.25">
      <c r="A104" s="33" t="s">
        <v>761</v>
      </c>
      <c r="C104" s="86">
        <f>C63+C81+C91+C103</f>
        <v>84105119.769999996</v>
      </c>
      <c r="D104" s="86">
        <f>D63+D81+D91+D103</f>
        <v>1619770.94</v>
      </c>
      <c r="E104" s="86">
        <f>E63+E81+E91+E103</f>
        <v>4793666.1100000003</v>
      </c>
      <c r="F104" s="86">
        <f>F63+F81+F91+F103</f>
        <v>101111.05</v>
      </c>
      <c r="G104" s="86">
        <f>G63+G81+G103</f>
        <v>4990258.1300000008</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29942829.219999999</v>
      </c>
      <c r="D109" s="24" t="s">
        <v>288</v>
      </c>
      <c r="E109" s="95">
        <f>('DOE25'!L277)+('DOE25'!L296)+('DOE25'!L315)</f>
        <v>808362.72</v>
      </c>
      <c r="F109" s="24" t="s">
        <v>288</v>
      </c>
      <c r="G109" s="24" t="s">
        <v>288</v>
      </c>
    </row>
    <row r="110" spans="1:7" x14ac:dyDescent="0.2">
      <c r="A110" t="s">
        <v>198</v>
      </c>
      <c r="B110" s="32" t="s">
        <v>199</v>
      </c>
      <c r="C110" s="95">
        <f>('DOE25'!L199)+('DOE25'!L217)+('DOE25'!L235)</f>
        <v>14019371.420000002</v>
      </c>
      <c r="D110" s="24" t="s">
        <v>288</v>
      </c>
      <c r="E110" s="95">
        <f>('DOE25'!L278)+('DOE25'!L297)+('DOE25'!L316)</f>
        <v>1846124.7599999998</v>
      </c>
      <c r="F110" s="24" t="s">
        <v>288</v>
      </c>
      <c r="G110" s="24" t="s">
        <v>288</v>
      </c>
    </row>
    <row r="111" spans="1:7" x14ac:dyDescent="0.2">
      <c r="A111" t="s">
        <v>200</v>
      </c>
      <c r="B111" s="32" t="s">
        <v>165</v>
      </c>
      <c r="C111" s="95">
        <f>('DOE25'!L200)+('DOE25'!L218)+('DOE25'!L236)</f>
        <v>1634436.46</v>
      </c>
      <c r="D111" s="24" t="s">
        <v>288</v>
      </c>
      <c r="E111" s="95">
        <f>('DOE25'!L279)+('DOE25'!L298)+('DOE25'!L317)</f>
        <v>243984.02000000002</v>
      </c>
      <c r="F111" s="24" t="s">
        <v>288</v>
      </c>
      <c r="G111" s="24" t="s">
        <v>288</v>
      </c>
    </row>
    <row r="112" spans="1:7" x14ac:dyDescent="0.2">
      <c r="A112" t="s">
        <v>201</v>
      </c>
      <c r="B112" s="32" t="s">
        <v>167</v>
      </c>
      <c r="C112" s="95">
        <f>('DOE25'!L201)+('DOE25'!L219)+('DOE25'!L237)</f>
        <v>954280.41</v>
      </c>
      <c r="D112" s="24" t="s">
        <v>288</v>
      </c>
      <c r="E112" s="95">
        <f>+('DOE25'!L280)+('DOE25'!L299)+('DOE25'!L318)</f>
        <v>367751.51</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105410.8</v>
      </c>
      <c r="D114" s="24" t="s">
        <v>288</v>
      </c>
      <c r="E114" s="95">
        <f>+ SUM('DOE25'!L334:L336)</f>
        <v>118.11</v>
      </c>
      <c r="F114" s="24" t="s">
        <v>288</v>
      </c>
      <c r="G114" s="24" t="s">
        <v>288</v>
      </c>
    </row>
    <row r="115" spans="1:7" ht="12.75" thickTop="1" thickBot="1" x14ac:dyDescent="0.25">
      <c r="A115" s="33" t="s">
        <v>205</v>
      </c>
      <c r="C115" s="86">
        <f>SUM(C109:C114)</f>
        <v>46656328.309999995</v>
      </c>
      <c r="D115" s="86">
        <f>SUM(D109:D114)</f>
        <v>0</v>
      </c>
      <c r="E115" s="86">
        <f>SUM(E109:E114)</f>
        <v>3266341.1199999996</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6303688.6117359996</v>
      </c>
      <c r="D118" s="24" t="s">
        <v>288</v>
      </c>
      <c r="E118" s="95">
        <f>+('DOE25'!L282)+('DOE25'!L301)+('DOE25'!L320)</f>
        <v>493787.87000000011</v>
      </c>
      <c r="F118" s="24" t="s">
        <v>288</v>
      </c>
      <c r="G118" s="24" t="s">
        <v>288</v>
      </c>
    </row>
    <row r="119" spans="1:7" x14ac:dyDescent="0.2">
      <c r="A119" t="s">
        <v>208</v>
      </c>
      <c r="B119" s="32" t="s">
        <v>209</v>
      </c>
      <c r="C119" s="95">
        <f>('DOE25'!L204)+('DOE25'!L222)+('DOE25'!L240)</f>
        <v>2968271.19</v>
      </c>
      <c r="D119" s="24" t="s">
        <v>288</v>
      </c>
      <c r="E119" s="95">
        <f>+('DOE25'!L283)+('DOE25'!L302)+('DOE25'!L321)</f>
        <v>555625.65999999992</v>
      </c>
      <c r="F119" s="24" t="s">
        <v>288</v>
      </c>
      <c r="G119" s="24" t="s">
        <v>288</v>
      </c>
    </row>
    <row r="120" spans="1:7" x14ac:dyDescent="0.2">
      <c r="A120" t="s">
        <v>210</v>
      </c>
      <c r="B120" s="32" t="s">
        <v>211</v>
      </c>
      <c r="C120" s="95">
        <f>('DOE25'!L205)+('DOE25'!L223)+('DOE25'!L241)</f>
        <v>1559918.3299999998</v>
      </c>
      <c r="D120" s="24" t="s">
        <v>288</v>
      </c>
      <c r="E120" s="95">
        <f>+('DOE25'!L284)+('DOE25'!L303)+('DOE25'!L322)</f>
        <v>61310.47</v>
      </c>
      <c r="F120" s="24" t="s">
        <v>288</v>
      </c>
      <c r="G120" s="24" t="s">
        <v>288</v>
      </c>
    </row>
    <row r="121" spans="1:7" x14ac:dyDescent="0.2">
      <c r="A121" t="s">
        <v>212</v>
      </c>
      <c r="B121" s="32" t="s">
        <v>213</v>
      </c>
      <c r="C121" s="95">
        <f>('DOE25'!L206)+('DOE25'!L224)+('DOE25'!L242)</f>
        <v>4869274.7699999996</v>
      </c>
      <c r="D121" s="24" t="s">
        <v>288</v>
      </c>
      <c r="E121" s="95">
        <f>+('DOE25'!L285)+('DOE25'!L304)+('DOE25'!L323)</f>
        <v>0</v>
      </c>
      <c r="F121" s="24" t="s">
        <v>288</v>
      </c>
      <c r="G121" s="24" t="s">
        <v>288</v>
      </c>
    </row>
    <row r="122" spans="1:7" x14ac:dyDescent="0.2">
      <c r="A122" t="s">
        <v>214</v>
      </c>
      <c r="B122" s="32" t="s">
        <v>215</v>
      </c>
      <c r="C122" s="95">
        <f>('DOE25'!L207)+('DOE25'!L225)+('DOE25'!L243)</f>
        <v>863609</v>
      </c>
      <c r="D122" s="24" t="s">
        <v>288</v>
      </c>
      <c r="E122" s="95">
        <f>+('DOE25'!L286)+('DOE25'!L305)+('DOE25'!L324)</f>
        <v>0</v>
      </c>
      <c r="F122" s="24" t="s">
        <v>288</v>
      </c>
      <c r="G122" s="24" t="s">
        <v>288</v>
      </c>
    </row>
    <row r="123" spans="1:7" x14ac:dyDescent="0.2">
      <c r="A123" t="s">
        <v>216</v>
      </c>
      <c r="B123" s="32" t="s">
        <v>217</v>
      </c>
      <c r="C123" s="95">
        <f>('DOE25'!L208)+('DOE25'!L226)+('DOE25'!L244)</f>
        <v>5875836.0700000003</v>
      </c>
      <c r="D123" s="24" t="s">
        <v>288</v>
      </c>
      <c r="E123" s="95">
        <f>+('DOE25'!L287)+('DOE25'!L306)+('DOE25'!L325)</f>
        <v>66104.97</v>
      </c>
      <c r="F123" s="24" t="s">
        <v>288</v>
      </c>
      <c r="G123" s="24" t="s">
        <v>288</v>
      </c>
    </row>
    <row r="124" spans="1:7" x14ac:dyDescent="0.2">
      <c r="A124" t="s">
        <v>218</v>
      </c>
      <c r="B124" s="32" t="s">
        <v>219</v>
      </c>
      <c r="C124" s="95">
        <f>('DOE25'!L209)+('DOE25'!L227)+('DOE25'!L245+'DOE25'!L255)</f>
        <v>3147942.5300000003</v>
      </c>
      <c r="D124" s="24" t="s">
        <v>288</v>
      </c>
      <c r="E124" s="95">
        <f>+('DOE25'!L288)+('DOE25'!L307)+('DOE25'!L326)</f>
        <v>156273.62</v>
      </c>
      <c r="F124" s="24" t="s">
        <v>288</v>
      </c>
      <c r="G124" s="24" t="s">
        <v>288</v>
      </c>
    </row>
    <row r="125" spans="1:7" x14ac:dyDescent="0.2">
      <c r="A125" t="s">
        <v>220</v>
      </c>
      <c r="B125" s="32" t="s">
        <v>221</v>
      </c>
      <c r="C125" s="95">
        <f>('DOE25'!L210)+('DOE25'!L228)+('DOE25'!L246)</f>
        <v>599315</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1783257.94</v>
      </c>
      <c r="E127" s="24" t="s">
        <v>288</v>
      </c>
      <c r="F127" s="24" t="s">
        <v>288</v>
      </c>
      <c r="G127" s="24" t="s">
        <v>288</v>
      </c>
    </row>
    <row r="128" spans="1:7" ht="12.75" thickTop="1" thickBot="1" x14ac:dyDescent="0.25">
      <c r="A128" s="33" t="s">
        <v>226</v>
      </c>
      <c r="C128" s="86">
        <f>SUM(C118:C127)</f>
        <v>26187855.501736</v>
      </c>
      <c r="D128" s="86">
        <f>SUM(D118:D127)</f>
        <v>1783257.94</v>
      </c>
      <c r="E128" s="86">
        <f>SUM(E118:E127)</f>
        <v>1333102.5899999999</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663224.19999999995</v>
      </c>
      <c r="D130" s="24" t="s">
        <v>288</v>
      </c>
      <c r="E130" s="129">
        <f>'DOE25'!L337</f>
        <v>116484.25</v>
      </c>
      <c r="F130" s="129">
        <f>SUM('DOE25'!L375:'DOE25'!L381)</f>
        <v>1864621.12</v>
      </c>
      <c r="G130" s="24" t="s">
        <v>288</v>
      </c>
    </row>
    <row r="131" spans="1:7" x14ac:dyDescent="0.2">
      <c r="A131" t="s">
        <v>229</v>
      </c>
      <c r="B131" s="32">
        <v>5110</v>
      </c>
      <c r="C131" s="95">
        <f>'DOE25'!L261</f>
        <v>3982622.1799999997</v>
      </c>
      <c r="D131" s="24" t="s">
        <v>288</v>
      </c>
      <c r="E131" s="129">
        <f>'DOE25'!L342</f>
        <v>0</v>
      </c>
      <c r="F131" s="24" t="s">
        <v>288</v>
      </c>
      <c r="G131" s="24" t="s">
        <v>288</v>
      </c>
    </row>
    <row r="132" spans="1:7" x14ac:dyDescent="0.2">
      <c r="A132" t="s">
        <v>230</v>
      </c>
      <c r="B132" s="32">
        <v>5120</v>
      </c>
      <c r="C132" s="95">
        <f>'DOE25'!L262</f>
        <v>2385290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93747.45</v>
      </c>
      <c r="F134" s="95">
        <f>'DOE25'!K382</f>
        <v>0</v>
      </c>
      <c r="G134" s="95">
        <f>'DOE25'!K435</f>
        <v>91401.67</v>
      </c>
    </row>
    <row r="135" spans="1:7" x14ac:dyDescent="0.2">
      <c r="A135" t="s">
        <v>233</v>
      </c>
      <c r="B135" s="32" t="s">
        <v>234</v>
      </c>
      <c r="C135" s="95">
        <f>'DOE25'!L264</f>
        <v>125071.07</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4990258.13</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-160230.58000000007</v>
      </c>
      <c r="D141" s="24" t="s">
        <v>288</v>
      </c>
      <c r="E141" s="24" t="s">
        <v>288</v>
      </c>
      <c r="F141" s="24" t="s">
        <v>288</v>
      </c>
      <c r="G141" s="24" t="s">
        <v>288</v>
      </c>
    </row>
    <row r="142" spans="1:7" x14ac:dyDescent="0.2">
      <c r="A142" t="s">
        <v>241</v>
      </c>
      <c r="B142" s="32">
        <v>5310</v>
      </c>
      <c r="C142" s="129">
        <f>'DOE25'!L269</f>
        <v>166738.16</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12152973.16</v>
      </c>
      <c r="D144" s="141">
        <f>SUM(D130:D143)</f>
        <v>0</v>
      </c>
      <c r="E144" s="141">
        <f>SUM(E130:E143)</f>
        <v>210231.7</v>
      </c>
      <c r="F144" s="141">
        <f>SUM(F130:F143)</f>
        <v>1864621.12</v>
      </c>
      <c r="G144" s="141">
        <f>SUM(G130:G143)</f>
        <v>91401.67</v>
      </c>
    </row>
    <row r="145" spans="1:9" ht="12.75" thickTop="1" thickBot="1" x14ac:dyDescent="0.25">
      <c r="A145" s="33" t="s">
        <v>244</v>
      </c>
      <c r="C145" s="86">
        <f>(C115+C128+C144)</f>
        <v>84997156.971735984</v>
      </c>
      <c r="D145" s="86">
        <f>(D115+D128+D144)</f>
        <v>1783257.94</v>
      </c>
      <c r="E145" s="86">
        <f>(E115+E128+E144)</f>
        <v>4809675.4099999992</v>
      </c>
      <c r="F145" s="86">
        <f>(F115+F128+F144)</f>
        <v>1864621.12</v>
      </c>
      <c r="G145" s="86">
        <f>(G115+G128+G144)</f>
        <v>91401.67</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t="str">
        <f>'DOE25'!F491</f>
        <v>various</v>
      </c>
      <c r="C151" s="153">
        <f>'DOE25'!G491</f>
        <v>0</v>
      </c>
      <c r="D151" s="153">
        <f>'DOE25'!H491</f>
        <v>0</v>
      </c>
      <c r="E151" s="153">
        <f>'DOE25'!I491</f>
        <v>0</v>
      </c>
      <c r="F151" s="153">
        <f>'DOE25'!J491</f>
        <v>0</v>
      </c>
      <c r="G151" s="24" t="s">
        <v>288</v>
      </c>
    </row>
    <row r="152" spans="1:9" x14ac:dyDescent="0.2">
      <c r="A152" s="136" t="s">
        <v>28</v>
      </c>
      <c r="B152" s="152" t="str">
        <f>'DOE25'!F492</f>
        <v>2/00 - 6/19</v>
      </c>
      <c r="C152" s="152">
        <f>'DOE25'!G492</f>
        <v>0</v>
      </c>
      <c r="D152" s="152">
        <f>'DOE25'!H492</f>
        <v>0</v>
      </c>
      <c r="E152" s="152">
        <f>'DOE25'!I492</f>
        <v>0</v>
      </c>
      <c r="F152" s="152">
        <f>'DOE25'!J492</f>
        <v>0</v>
      </c>
      <c r="G152" s="24" t="s">
        <v>288</v>
      </c>
    </row>
    <row r="153" spans="1:9" x14ac:dyDescent="0.2">
      <c r="A153" s="136" t="s">
        <v>29</v>
      </c>
      <c r="B153" s="152" t="str">
        <f>'DOE25'!F493</f>
        <v>04/41</v>
      </c>
      <c r="C153" s="152">
        <f>'DOE25'!G493</f>
        <v>0</v>
      </c>
      <c r="D153" s="152">
        <f>'DOE25'!H493</f>
        <v>0</v>
      </c>
      <c r="E153" s="152">
        <f>'DOE25'!I493</f>
        <v>0</v>
      </c>
      <c r="F153" s="152">
        <f>'DOE25'!J493</f>
        <v>0</v>
      </c>
      <c r="G153" s="24" t="s">
        <v>288</v>
      </c>
    </row>
    <row r="154" spans="1:9" x14ac:dyDescent="0.2">
      <c r="A154" s="136" t="s">
        <v>30</v>
      </c>
      <c r="B154" s="137">
        <f>'DOE25'!F494</f>
        <v>99903145.400000006</v>
      </c>
      <c r="C154" s="137">
        <f>'DOE25'!G494</f>
        <v>0</v>
      </c>
      <c r="D154" s="137">
        <f>'DOE25'!H494</f>
        <v>0</v>
      </c>
      <c r="E154" s="137">
        <f>'DOE25'!I494</f>
        <v>0</v>
      </c>
      <c r="F154" s="137">
        <f>'DOE25'!J494</f>
        <v>0</v>
      </c>
      <c r="G154" s="24" t="s">
        <v>288</v>
      </c>
    </row>
    <row r="155" spans="1:9" x14ac:dyDescent="0.2">
      <c r="A155" s="136" t="s">
        <v>31</v>
      </c>
      <c r="B155" s="137" t="str">
        <f>'DOE25'!F495</f>
        <v>various</v>
      </c>
      <c r="C155" s="137">
        <f>'DOE25'!G495</f>
        <v>0</v>
      </c>
      <c r="D155" s="137">
        <f>'DOE25'!H495</f>
        <v>0</v>
      </c>
      <c r="E155" s="137">
        <f>'DOE25'!I495</f>
        <v>0</v>
      </c>
      <c r="F155" s="137">
        <f>'DOE25'!J495</f>
        <v>0</v>
      </c>
      <c r="G155" s="24" t="s">
        <v>288</v>
      </c>
    </row>
    <row r="156" spans="1:9" x14ac:dyDescent="0.2">
      <c r="A156" s="22" t="s">
        <v>32</v>
      </c>
      <c r="B156" s="137">
        <f>'DOE25'!F496</f>
        <v>57325000</v>
      </c>
      <c r="C156" s="137">
        <f>'DOE25'!G496</f>
        <v>0</v>
      </c>
      <c r="D156" s="137">
        <f>'DOE25'!H496</f>
        <v>0</v>
      </c>
      <c r="E156" s="137">
        <f>'DOE25'!I496</f>
        <v>0</v>
      </c>
      <c r="F156" s="137">
        <f>'DOE25'!J496</f>
        <v>0</v>
      </c>
      <c r="G156" s="138">
        <f>SUM(B156:F156)</f>
        <v>57325000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3330000</v>
      </c>
      <c r="C158" s="137">
        <f>'DOE25'!G498</f>
        <v>0</v>
      </c>
      <c r="D158" s="137">
        <f>'DOE25'!H498</f>
        <v>0</v>
      </c>
      <c r="E158" s="137">
        <f>'DOE25'!I498</f>
        <v>0</v>
      </c>
      <c r="F158" s="137">
        <f>'DOE25'!J498</f>
        <v>0</v>
      </c>
      <c r="G158" s="138">
        <f t="shared" si="0"/>
        <v>3330000</v>
      </c>
    </row>
    <row r="159" spans="1:9" x14ac:dyDescent="0.2">
      <c r="A159" s="22" t="s">
        <v>35</v>
      </c>
      <c r="B159" s="137">
        <f>'DOE25'!F499</f>
        <v>53940000</v>
      </c>
      <c r="C159" s="137">
        <f>'DOE25'!G499</f>
        <v>0</v>
      </c>
      <c r="D159" s="137">
        <f>'DOE25'!H499</f>
        <v>0</v>
      </c>
      <c r="E159" s="137">
        <f>'DOE25'!I499</f>
        <v>0</v>
      </c>
      <c r="F159" s="137">
        <f>'DOE25'!J499</f>
        <v>0</v>
      </c>
      <c r="G159" s="138">
        <f t="shared" si="0"/>
        <v>53940000</v>
      </c>
    </row>
    <row r="160" spans="1:9" x14ac:dyDescent="0.2">
      <c r="A160" s="22" t="s">
        <v>36</v>
      </c>
      <c r="B160" s="137">
        <f>'DOE25'!F500</f>
        <v>2126464.8400000003</v>
      </c>
      <c r="C160" s="137">
        <f>'DOE25'!G500</f>
        <v>0</v>
      </c>
      <c r="D160" s="137">
        <f>'DOE25'!H500</f>
        <v>0</v>
      </c>
      <c r="E160" s="137">
        <f>'DOE25'!I500</f>
        <v>0</v>
      </c>
      <c r="F160" s="137">
        <f>'DOE25'!J500</f>
        <v>0</v>
      </c>
      <c r="G160" s="138">
        <f t="shared" si="0"/>
        <v>2126464.8400000003</v>
      </c>
    </row>
    <row r="161" spans="1:7" x14ac:dyDescent="0.2">
      <c r="A161" s="22" t="s">
        <v>37</v>
      </c>
      <c r="B161" s="137">
        <f>'DOE25'!F501</f>
        <v>56066464.840000004</v>
      </c>
      <c r="C161" s="137">
        <f>'DOE25'!G501</f>
        <v>0</v>
      </c>
      <c r="D161" s="137">
        <f>'DOE25'!H501</f>
        <v>0</v>
      </c>
      <c r="E161" s="137">
        <f>'DOE25'!I501</f>
        <v>0</v>
      </c>
      <c r="F161" s="137">
        <f>'DOE25'!J501</f>
        <v>0</v>
      </c>
      <c r="G161" s="138">
        <f t="shared" si="0"/>
        <v>56066464.840000004</v>
      </c>
    </row>
    <row r="162" spans="1:7" x14ac:dyDescent="0.2">
      <c r="A162" s="22" t="s">
        <v>38</v>
      </c>
      <c r="B162" s="137">
        <f>'DOE25'!F502</f>
        <v>3330000</v>
      </c>
      <c r="C162" s="137">
        <f>'DOE25'!G502</f>
        <v>0</v>
      </c>
      <c r="D162" s="137">
        <f>'DOE25'!H502</f>
        <v>0</v>
      </c>
      <c r="E162" s="137">
        <f>'DOE25'!I502</f>
        <v>0</v>
      </c>
      <c r="F162" s="137">
        <f>'DOE25'!J502</f>
        <v>0</v>
      </c>
      <c r="G162" s="138">
        <f t="shared" si="0"/>
        <v>3330000</v>
      </c>
    </row>
    <row r="163" spans="1:7" x14ac:dyDescent="0.2">
      <c r="A163" s="22" t="s">
        <v>39</v>
      </c>
      <c r="B163" s="137">
        <f>'DOE25'!F503</f>
        <v>1985542.62</v>
      </c>
      <c r="C163" s="137">
        <f>'DOE25'!G503</f>
        <v>0</v>
      </c>
      <c r="D163" s="137">
        <f>'DOE25'!H503</f>
        <v>0</v>
      </c>
      <c r="E163" s="137">
        <f>'DOE25'!I503</f>
        <v>0</v>
      </c>
      <c r="F163" s="137">
        <f>'DOE25'!J503</f>
        <v>0</v>
      </c>
      <c r="G163" s="138">
        <f t="shared" si="0"/>
        <v>1985542.62</v>
      </c>
    </row>
    <row r="164" spans="1:7" x14ac:dyDescent="0.2">
      <c r="A164" s="22" t="s">
        <v>246</v>
      </c>
      <c r="B164" s="137">
        <f>'DOE25'!F504</f>
        <v>5315542.62</v>
      </c>
      <c r="C164" s="137">
        <f>'DOE25'!G504</f>
        <v>0</v>
      </c>
      <c r="D164" s="137">
        <f>'DOE25'!H504</f>
        <v>0</v>
      </c>
      <c r="E164" s="137">
        <f>'DOE25'!I504</f>
        <v>0</v>
      </c>
      <c r="F164" s="137">
        <f>'DOE25'!J504</f>
        <v>0</v>
      </c>
      <c r="G164" s="138">
        <f t="shared" si="0"/>
        <v>5315542.62</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Concord</v>
      </c>
    </row>
    <row r="3" spans="1:4" x14ac:dyDescent="0.2">
      <c r="B3" s="188" t="s">
        <v>1587</v>
      </c>
    </row>
    <row r="4" spans="1:4" x14ac:dyDescent="0.2">
      <c r="B4" t="s">
        <v>61</v>
      </c>
      <c r="C4" s="179">
        <f>IF('DOE25'!F666+'DOE25'!F671=0,0,ROUND('DOE25'!F673,0))</f>
        <v>18397</v>
      </c>
    </row>
    <row r="5" spans="1:4" x14ac:dyDescent="0.2">
      <c r="B5" t="s">
        <v>700</v>
      </c>
      <c r="C5" s="179">
        <f>IF('DOE25'!G666+'DOE25'!G671=0,0,ROUND('DOE25'!G673,0))</f>
        <v>15274</v>
      </c>
    </row>
    <row r="6" spans="1:4" x14ac:dyDescent="0.2">
      <c r="B6" t="s">
        <v>62</v>
      </c>
      <c r="C6" s="179">
        <f>IF('DOE25'!H666+'DOE25'!H671=0,0,ROUND('DOE25'!H673,0))</f>
        <v>15329</v>
      </c>
    </row>
    <row r="7" spans="1:4" x14ac:dyDescent="0.2">
      <c r="B7" t="s">
        <v>701</v>
      </c>
      <c r="C7" s="179">
        <f>IF('DOE25'!I666+'DOE25'!I671=0,0,ROUND('DOE25'!I673,0))</f>
        <v>16569</v>
      </c>
    </row>
    <row r="9" spans="1:4" x14ac:dyDescent="0.2">
      <c r="A9" s="187" t="s">
        <v>94</v>
      </c>
      <c r="B9" s="188" t="s">
        <v>1588</v>
      </c>
      <c r="C9" s="181" t="s">
        <v>720</v>
      </c>
      <c r="D9" s="181" t="s">
        <v>721</v>
      </c>
    </row>
    <row r="10" spans="1:4" x14ac:dyDescent="0.2">
      <c r="A10">
        <v>1100</v>
      </c>
      <c r="B10" t="s">
        <v>702</v>
      </c>
      <c r="C10" s="179">
        <f>ROUND('DOE25'!L198+'DOE25'!L216+'DOE25'!L234+'DOE25'!L277+'DOE25'!L296+'DOE25'!L315,0)</f>
        <v>30751192</v>
      </c>
      <c r="D10" s="182">
        <f>ROUND((C10/$C$28)*100,1)</f>
        <v>37.9</v>
      </c>
    </row>
    <row r="11" spans="1:4" x14ac:dyDescent="0.2">
      <c r="A11">
        <v>1200</v>
      </c>
      <c r="B11" t="s">
        <v>703</v>
      </c>
      <c r="C11" s="179">
        <f>ROUND('DOE25'!L199+'DOE25'!L217+'DOE25'!L235+'DOE25'!L278+'DOE25'!L297+'DOE25'!L316,0)</f>
        <v>15865496</v>
      </c>
      <c r="D11" s="182">
        <f>ROUND((C11/$C$28)*100,1)</f>
        <v>19.600000000000001</v>
      </c>
    </row>
    <row r="12" spans="1:4" x14ac:dyDescent="0.2">
      <c r="A12">
        <v>1300</v>
      </c>
      <c r="B12" t="s">
        <v>704</v>
      </c>
      <c r="C12" s="179">
        <f>ROUND('DOE25'!L200+'DOE25'!L218+'DOE25'!L236+'DOE25'!L279+'DOE25'!L298+'DOE25'!L317,0)</f>
        <v>1878420</v>
      </c>
      <c r="D12" s="182">
        <f>ROUND((C12/$C$28)*100,1)</f>
        <v>2.2999999999999998</v>
      </c>
    </row>
    <row r="13" spans="1:4" x14ac:dyDescent="0.2">
      <c r="A13">
        <v>1400</v>
      </c>
      <c r="B13" t="s">
        <v>705</v>
      </c>
      <c r="C13" s="179">
        <f>ROUND('DOE25'!L201+'DOE25'!L219+'DOE25'!L237+'DOE25'!L280+'DOE25'!L299+'DOE25'!L318,0)</f>
        <v>1322032</v>
      </c>
      <c r="D13" s="182">
        <f>ROUND((C13/$C$28)*100,1)</f>
        <v>1.6</v>
      </c>
    </row>
    <row r="14" spans="1:4" x14ac:dyDescent="0.2">
      <c r="D14" s="182"/>
    </row>
    <row r="15" spans="1:4" x14ac:dyDescent="0.2">
      <c r="A15">
        <v>2100</v>
      </c>
      <c r="B15" t="s">
        <v>706</v>
      </c>
      <c r="C15" s="179">
        <f>ROUND('DOE25'!L203+'DOE25'!L221+'DOE25'!L239+'DOE25'!L282+'DOE25'!L301+'DOE25'!L320,0)</f>
        <v>6797476</v>
      </c>
      <c r="D15" s="182">
        <f t="shared" ref="D15:D27" si="0">ROUND((C15/$C$28)*100,1)</f>
        <v>8.4</v>
      </c>
    </row>
    <row r="16" spans="1:4" x14ac:dyDescent="0.2">
      <c r="A16">
        <v>2200</v>
      </c>
      <c r="B16" t="s">
        <v>707</v>
      </c>
      <c r="C16" s="179">
        <f>ROUND('DOE25'!L204+'DOE25'!L222+'DOE25'!L240+'DOE25'!L283+'DOE25'!L302+'DOE25'!L321,0)</f>
        <v>3523897</v>
      </c>
      <c r="D16" s="182">
        <f t="shared" si="0"/>
        <v>4.3</v>
      </c>
    </row>
    <row r="17" spans="1:4" x14ac:dyDescent="0.2">
      <c r="A17" s="183" t="s">
        <v>723</v>
      </c>
      <c r="B17" t="s">
        <v>738</v>
      </c>
      <c r="C17" s="179">
        <f>ROUND('DOE25'!L205+'DOE25'!L210+'DOE25'!L223+'DOE25'!L228+'DOE25'!L241+'DOE25'!L246+'DOE25'!L284+'DOE25'!L289+'DOE25'!L303+'DOE25'!L308+'DOE25'!L322+'DOE25'!L327,0)</f>
        <v>2220544</v>
      </c>
      <c r="D17" s="182">
        <f t="shared" si="0"/>
        <v>2.7</v>
      </c>
    </row>
    <row r="18" spans="1:4" x14ac:dyDescent="0.2">
      <c r="A18">
        <v>2400</v>
      </c>
      <c r="B18" t="s">
        <v>711</v>
      </c>
      <c r="C18" s="179">
        <f>ROUND('DOE25'!L206+'DOE25'!L224+'DOE25'!L242+'DOE25'!L285+'DOE25'!L304+'DOE25'!L323,0)</f>
        <v>4869275</v>
      </c>
      <c r="D18" s="182">
        <f t="shared" si="0"/>
        <v>6</v>
      </c>
    </row>
    <row r="19" spans="1:4" x14ac:dyDescent="0.2">
      <c r="A19">
        <v>2500</v>
      </c>
      <c r="B19" t="s">
        <v>708</v>
      </c>
      <c r="C19" s="179">
        <f>ROUND('DOE25'!L207+'DOE25'!L225+'DOE25'!L243+'DOE25'!L286+'DOE25'!L305+'DOE25'!L324,0)</f>
        <v>863609</v>
      </c>
      <c r="D19" s="182">
        <f t="shared" si="0"/>
        <v>1.1000000000000001</v>
      </c>
    </row>
    <row r="20" spans="1:4" x14ac:dyDescent="0.2">
      <c r="A20">
        <v>2600</v>
      </c>
      <c r="B20" t="s">
        <v>709</v>
      </c>
      <c r="C20" s="179">
        <f>ROUND('DOE25'!L208+'DOE25'!L226+'DOE25'!L244+'DOE25'!L287+'DOE25'!L306+'DOE25'!L325,0)</f>
        <v>5941941</v>
      </c>
      <c r="D20" s="182">
        <f t="shared" si="0"/>
        <v>7.3</v>
      </c>
    </row>
    <row r="21" spans="1:4" x14ac:dyDescent="0.2">
      <c r="A21">
        <v>2700</v>
      </c>
      <c r="B21" t="s">
        <v>710</v>
      </c>
      <c r="C21" s="179">
        <f>ROUND('DOE25'!L209+'DOE25'!L227+'DOE25'!L245+'DOE25'!L288+'DOE25'!L307+'DOE25'!L326,0)</f>
        <v>3304216</v>
      </c>
      <c r="D21" s="182">
        <f t="shared" si="0"/>
        <v>4.0999999999999996</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105529</v>
      </c>
      <c r="D24" s="182">
        <f t="shared" si="0"/>
        <v>0.1</v>
      </c>
    </row>
    <row r="25" spans="1:4" x14ac:dyDescent="0.2">
      <c r="A25">
        <v>5120</v>
      </c>
      <c r="B25" t="s">
        <v>716</v>
      </c>
      <c r="C25" s="179">
        <f>ROUND('DOE25'!L262+'DOE25'!L343,0)</f>
        <v>2385290</v>
      </c>
      <c r="D25" s="182">
        <f t="shared" si="0"/>
        <v>2.9</v>
      </c>
    </row>
    <row r="26" spans="1:4" x14ac:dyDescent="0.2">
      <c r="A26" s="183" t="s">
        <v>717</v>
      </c>
      <c r="B26" t="s">
        <v>718</v>
      </c>
      <c r="C26" s="179">
        <f>'DOE25'!L269+'DOE25'!L270+'DOE25'!L350+'DOE25'!L351</f>
        <v>166738.16</v>
      </c>
      <c r="D26" s="182">
        <f t="shared" si="0"/>
        <v>0.2</v>
      </c>
    </row>
    <row r="27" spans="1:4" x14ac:dyDescent="0.2">
      <c r="A27">
        <v>3100</v>
      </c>
      <c r="B27" t="s">
        <v>11</v>
      </c>
      <c r="C27" s="179">
        <f>ROUND('DOE25'!L363-'DOE25'!L362,0)-SUM('DOE25'!G97:G110)</f>
        <v>1156223.3400000001</v>
      </c>
      <c r="D27" s="182">
        <f t="shared" si="0"/>
        <v>1.4</v>
      </c>
    </row>
    <row r="28" spans="1:4" x14ac:dyDescent="0.2">
      <c r="B28" s="187" t="s">
        <v>719</v>
      </c>
      <c r="C28" s="180">
        <f>SUM(C10:C27)</f>
        <v>81151878.5</v>
      </c>
      <c r="D28" s="184">
        <f>ROUND(SUM(D10:D27),0)</f>
        <v>100</v>
      </c>
    </row>
    <row r="29" spans="1:4" x14ac:dyDescent="0.2">
      <c r="A29">
        <v>4000</v>
      </c>
      <c r="B29" t="s">
        <v>724</v>
      </c>
      <c r="C29" s="179">
        <f>ROUND('DOE25'!L256+'DOE25'!L337+'DOE25'!L375+'DOE25'!L376+'DOE25'!L377+'DOE25'!L378+'DOE25'!L379+'DOE25'!L380+'DOE25'!L381,0)</f>
        <v>2644330</v>
      </c>
    </row>
    <row r="30" spans="1:4" x14ac:dyDescent="0.2">
      <c r="B30" s="187" t="s">
        <v>725</v>
      </c>
      <c r="C30" s="180">
        <f>SUM(C28:C29)</f>
        <v>83796208.5</v>
      </c>
    </row>
    <row r="31" spans="1:4" x14ac:dyDescent="0.2">
      <c r="B31" s="33"/>
      <c r="C31" s="180"/>
    </row>
    <row r="32" spans="1:4" x14ac:dyDescent="0.2">
      <c r="A32">
        <v>5100</v>
      </c>
      <c r="B32" s="33" t="s">
        <v>726</v>
      </c>
      <c r="C32" s="180">
        <f>ROUND('DOE25'!L261+'DOE25'!L342,0)</f>
        <v>3982622</v>
      </c>
    </row>
    <row r="34" spans="1:4" x14ac:dyDescent="0.2">
      <c r="A34" s="187" t="s">
        <v>94</v>
      </c>
      <c r="B34" s="188" t="s">
        <v>1589</v>
      </c>
      <c r="C34" s="181" t="s">
        <v>720</v>
      </c>
      <c r="D34" s="181" t="s">
        <v>721</v>
      </c>
    </row>
    <row r="35" spans="1:4" x14ac:dyDescent="0.2">
      <c r="A35">
        <v>1100</v>
      </c>
      <c r="B35" s="185" t="s">
        <v>727</v>
      </c>
      <c r="C35" s="179">
        <f>ROUND('DOE25'!F60+'DOE25'!G60+'DOE25'!H60+'DOE25'!I60+'DOE25'!J60,0)</f>
        <v>52491813</v>
      </c>
      <c r="D35" s="182">
        <f t="shared" ref="D35:D40" si="1">ROUND((C35/$C$41)*100,1)</f>
        <v>58.4</v>
      </c>
    </row>
    <row r="36" spans="1:4" x14ac:dyDescent="0.2">
      <c r="B36" s="185" t="s">
        <v>739</v>
      </c>
      <c r="C36" s="179">
        <f>SUM('DOE25'!F112:J112)-SUM('DOE25'!G97:G110)+('DOE25'!F175+'DOE25'!F176+'DOE25'!I175+'DOE25'!I176)-C35</f>
        <v>4933984.049999997</v>
      </c>
      <c r="D36" s="182">
        <f t="shared" si="1"/>
        <v>5.5</v>
      </c>
    </row>
    <row r="37" spans="1:4" x14ac:dyDescent="0.2">
      <c r="A37" s="183" t="s">
        <v>835</v>
      </c>
      <c r="B37" s="185" t="s">
        <v>728</v>
      </c>
      <c r="C37" s="179">
        <f>ROUND('DOE25'!F117+'DOE25'!F118,0)</f>
        <v>22146947</v>
      </c>
      <c r="D37" s="182">
        <f t="shared" si="1"/>
        <v>24.7</v>
      </c>
    </row>
    <row r="38" spans="1:4" x14ac:dyDescent="0.2">
      <c r="A38" s="183" t="s">
        <v>734</v>
      </c>
      <c r="B38" s="185" t="s">
        <v>729</v>
      </c>
      <c r="C38" s="179">
        <f>ROUND(SUM('DOE25'!F140:J140)-SUM('DOE25'!F117:F119),0)</f>
        <v>3986414</v>
      </c>
      <c r="D38" s="182">
        <f t="shared" si="1"/>
        <v>4.4000000000000004</v>
      </c>
    </row>
    <row r="39" spans="1:4" x14ac:dyDescent="0.2">
      <c r="A39">
        <v>4000</v>
      </c>
      <c r="B39" s="185" t="s">
        <v>730</v>
      </c>
      <c r="C39" s="179">
        <f>ROUND('DOE25'!F170+'DOE25'!G170+'DOE25'!H170+'DOE25'!I170,0)</f>
        <v>6283486</v>
      </c>
      <c r="D39" s="182">
        <f t="shared" si="1"/>
        <v>7</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89842644.049999997</v>
      </c>
      <c r="D41" s="184">
        <f>SUM(D35:D40)</f>
        <v>100</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64" t="s">
        <v>766</v>
      </c>
      <c r="B1" s="365"/>
      <c r="C1" s="365"/>
      <c r="D1" s="365"/>
      <c r="E1" s="365"/>
      <c r="F1" s="365"/>
      <c r="G1" s="365"/>
      <c r="H1" s="365"/>
      <c r="I1" s="365"/>
      <c r="J1" s="213"/>
      <c r="K1" s="213"/>
      <c r="L1" s="213"/>
      <c r="M1" s="214"/>
    </row>
    <row r="2" spans="1:26" ht="12.75" x14ac:dyDescent="0.2">
      <c r="A2" s="370" t="s">
        <v>763</v>
      </c>
      <c r="B2" s="371"/>
      <c r="C2" s="371"/>
      <c r="D2" s="371"/>
      <c r="E2" s="371"/>
      <c r="F2" s="368" t="str">
        <f>'DOE25'!A2</f>
        <v>Concord</v>
      </c>
      <c r="G2" s="369"/>
      <c r="H2" s="369"/>
      <c r="I2" s="369"/>
      <c r="J2" s="52"/>
      <c r="K2" s="52"/>
      <c r="L2" s="52"/>
      <c r="M2" s="215"/>
    </row>
    <row r="3" spans="1:26" x14ac:dyDescent="0.2">
      <c r="A3" s="216" t="s">
        <v>764</v>
      </c>
      <c r="B3" s="217" t="s">
        <v>765</v>
      </c>
      <c r="C3" s="366" t="s">
        <v>767</v>
      </c>
      <c r="D3" s="366"/>
      <c r="E3" s="366"/>
      <c r="F3" s="366"/>
      <c r="G3" s="366"/>
      <c r="H3" s="366"/>
      <c r="I3" s="366"/>
      <c r="J3" s="366"/>
      <c r="K3" s="366"/>
      <c r="L3" s="366"/>
      <c r="M3" s="367"/>
    </row>
    <row r="4" spans="1:26" x14ac:dyDescent="0.2">
      <c r="A4" s="218"/>
      <c r="B4" s="219"/>
      <c r="C4" s="355"/>
      <c r="D4" s="355"/>
      <c r="E4" s="355"/>
      <c r="F4" s="355"/>
      <c r="G4" s="355"/>
      <c r="H4" s="355"/>
      <c r="I4" s="355"/>
      <c r="J4" s="355"/>
      <c r="K4" s="355"/>
      <c r="L4" s="355"/>
      <c r="M4" s="356"/>
      <c r="N4" s="126"/>
      <c r="O4" s="126"/>
      <c r="P4" s="126"/>
      <c r="Q4" s="126"/>
      <c r="R4" s="126"/>
      <c r="S4" s="126"/>
      <c r="T4" s="126"/>
      <c r="U4" s="126"/>
      <c r="V4" s="126"/>
      <c r="W4" s="126"/>
      <c r="X4" s="126"/>
      <c r="Y4" s="126"/>
      <c r="Z4" s="126"/>
    </row>
    <row r="5" spans="1:26" x14ac:dyDescent="0.2">
      <c r="A5" s="218"/>
      <c r="B5" s="219"/>
      <c r="C5" s="355"/>
      <c r="D5" s="355"/>
      <c r="E5" s="355"/>
      <c r="F5" s="355"/>
      <c r="G5" s="355"/>
      <c r="H5" s="355"/>
      <c r="I5" s="355"/>
      <c r="J5" s="355"/>
      <c r="K5" s="355"/>
      <c r="L5" s="355"/>
      <c r="M5" s="356"/>
      <c r="N5" s="126"/>
      <c r="O5" s="126"/>
      <c r="P5" s="126"/>
      <c r="Q5" s="126"/>
      <c r="R5" s="126"/>
      <c r="S5" s="126"/>
      <c r="T5" s="126"/>
      <c r="U5" s="126"/>
      <c r="V5" s="126"/>
      <c r="W5" s="126"/>
      <c r="X5" s="126"/>
      <c r="Y5" s="126"/>
      <c r="Z5" s="126"/>
    </row>
    <row r="6" spans="1:26" x14ac:dyDescent="0.2">
      <c r="A6" s="218"/>
      <c r="B6" s="219"/>
      <c r="C6" s="355"/>
      <c r="D6" s="355"/>
      <c r="E6" s="355"/>
      <c r="F6" s="355"/>
      <c r="G6" s="355"/>
      <c r="H6" s="355"/>
      <c r="I6" s="355"/>
      <c r="J6" s="355"/>
      <c r="K6" s="355"/>
      <c r="L6" s="355"/>
      <c r="M6" s="356"/>
      <c r="N6" s="126"/>
      <c r="O6" s="126"/>
      <c r="P6" s="126"/>
      <c r="Q6" s="126"/>
      <c r="R6" s="126"/>
      <c r="S6" s="126"/>
      <c r="T6" s="126"/>
      <c r="U6" s="126"/>
      <c r="V6" s="126"/>
      <c r="W6" s="126"/>
      <c r="X6" s="126"/>
      <c r="Y6" s="126"/>
      <c r="Z6" s="126"/>
    </row>
    <row r="7" spans="1:26" x14ac:dyDescent="0.2">
      <c r="A7" s="218"/>
      <c r="B7" s="219"/>
      <c r="C7" s="355"/>
      <c r="D7" s="355"/>
      <c r="E7" s="355"/>
      <c r="F7" s="355"/>
      <c r="G7" s="355"/>
      <c r="H7" s="355"/>
      <c r="I7" s="355"/>
      <c r="J7" s="355"/>
      <c r="K7" s="355"/>
      <c r="L7" s="355"/>
      <c r="M7" s="356"/>
      <c r="N7" s="126"/>
      <c r="O7" s="126"/>
      <c r="P7" s="126"/>
      <c r="Q7" s="126"/>
      <c r="R7" s="126"/>
      <c r="S7" s="126"/>
      <c r="T7" s="126"/>
      <c r="U7" s="126"/>
      <c r="V7" s="126"/>
      <c r="W7" s="126"/>
      <c r="X7" s="126"/>
      <c r="Y7" s="126"/>
      <c r="Z7" s="126"/>
    </row>
    <row r="8" spans="1:26" x14ac:dyDescent="0.2">
      <c r="A8" s="218"/>
      <c r="B8" s="219"/>
      <c r="C8" s="355"/>
      <c r="D8" s="355"/>
      <c r="E8" s="355"/>
      <c r="F8" s="355"/>
      <c r="G8" s="355"/>
      <c r="H8" s="355"/>
      <c r="I8" s="355"/>
      <c r="J8" s="355"/>
      <c r="K8" s="355"/>
      <c r="L8" s="355"/>
      <c r="M8" s="356"/>
      <c r="N8" s="126"/>
      <c r="O8" s="126"/>
      <c r="P8" s="126"/>
      <c r="Q8" s="126"/>
      <c r="R8" s="126"/>
      <c r="S8" s="126"/>
      <c r="T8" s="126"/>
      <c r="U8" s="126"/>
      <c r="V8" s="126"/>
      <c r="W8" s="126"/>
      <c r="X8" s="126"/>
      <c r="Y8" s="126"/>
      <c r="Z8" s="126"/>
    </row>
    <row r="9" spans="1:26" x14ac:dyDescent="0.2">
      <c r="A9" s="218"/>
      <c r="B9" s="219"/>
      <c r="C9" s="355"/>
      <c r="D9" s="355"/>
      <c r="E9" s="355"/>
      <c r="F9" s="355"/>
      <c r="G9" s="355"/>
      <c r="H9" s="355"/>
      <c r="I9" s="355"/>
      <c r="J9" s="355"/>
      <c r="K9" s="355"/>
      <c r="L9" s="355"/>
      <c r="M9" s="356"/>
      <c r="N9" s="126"/>
      <c r="O9" s="126"/>
      <c r="P9" s="126"/>
      <c r="Q9" s="126"/>
      <c r="R9" s="126"/>
      <c r="S9" s="126"/>
      <c r="T9" s="126"/>
      <c r="U9" s="126"/>
      <c r="V9" s="126"/>
      <c r="W9" s="126"/>
      <c r="X9" s="126"/>
      <c r="Y9" s="126"/>
      <c r="Z9" s="126"/>
    </row>
    <row r="10" spans="1:26" x14ac:dyDescent="0.2">
      <c r="A10" s="218"/>
      <c r="B10" s="219"/>
      <c r="C10" s="355"/>
      <c r="D10" s="355"/>
      <c r="E10" s="355"/>
      <c r="F10" s="355"/>
      <c r="G10" s="355"/>
      <c r="H10" s="355"/>
      <c r="I10" s="355"/>
      <c r="J10" s="355"/>
      <c r="K10" s="355"/>
      <c r="L10" s="355"/>
      <c r="M10" s="356"/>
      <c r="N10" s="126"/>
      <c r="O10" s="126"/>
      <c r="P10" s="126"/>
      <c r="Q10" s="126"/>
      <c r="R10" s="126"/>
      <c r="S10" s="126"/>
      <c r="T10" s="126"/>
      <c r="U10" s="126"/>
      <c r="V10" s="126"/>
      <c r="W10" s="126"/>
      <c r="X10" s="126"/>
      <c r="Y10" s="126"/>
      <c r="Z10" s="126"/>
    </row>
    <row r="11" spans="1:26" x14ac:dyDescent="0.2">
      <c r="A11" s="218"/>
      <c r="B11" s="219"/>
      <c r="C11" s="355"/>
      <c r="D11" s="355"/>
      <c r="E11" s="355"/>
      <c r="F11" s="355"/>
      <c r="G11" s="355"/>
      <c r="H11" s="355"/>
      <c r="I11" s="355"/>
      <c r="J11" s="355"/>
      <c r="K11" s="355"/>
      <c r="L11" s="355"/>
      <c r="M11" s="356"/>
      <c r="N11" s="126"/>
      <c r="O11" s="126"/>
      <c r="P11" s="126"/>
      <c r="Q11" s="126"/>
      <c r="R11" s="126"/>
      <c r="S11" s="126"/>
      <c r="T11" s="126"/>
      <c r="U11" s="126"/>
      <c r="V11" s="126"/>
      <c r="W11" s="126"/>
      <c r="X11" s="126"/>
      <c r="Y11" s="126"/>
      <c r="Z11" s="126"/>
    </row>
    <row r="12" spans="1:26" x14ac:dyDescent="0.2">
      <c r="A12" s="218"/>
      <c r="B12" s="219"/>
      <c r="C12" s="355"/>
      <c r="D12" s="355"/>
      <c r="E12" s="355"/>
      <c r="F12" s="355"/>
      <c r="G12" s="355"/>
      <c r="H12" s="355"/>
      <c r="I12" s="355"/>
      <c r="J12" s="355"/>
      <c r="K12" s="355"/>
      <c r="L12" s="355"/>
      <c r="M12" s="356"/>
      <c r="N12" s="126"/>
      <c r="O12" s="126"/>
      <c r="P12" s="126"/>
      <c r="Q12" s="126"/>
      <c r="R12" s="126"/>
      <c r="S12" s="126"/>
      <c r="T12" s="126"/>
      <c r="U12" s="126"/>
      <c r="V12" s="126"/>
      <c r="W12" s="126"/>
      <c r="X12" s="126"/>
      <c r="Y12" s="126"/>
      <c r="Z12" s="126"/>
    </row>
    <row r="13" spans="1:26" x14ac:dyDescent="0.2">
      <c r="A13" s="218"/>
      <c r="B13" s="219"/>
      <c r="C13" s="355"/>
      <c r="D13" s="355"/>
      <c r="E13" s="355"/>
      <c r="F13" s="355"/>
      <c r="G13" s="355"/>
      <c r="H13" s="355"/>
      <c r="I13" s="355"/>
      <c r="J13" s="355"/>
      <c r="K13" s="355"/>
      <c r="L13" s="355"/>
      <c r="M13" s="356"/>
      <c r="N13" s="126"/>
      <c r="O13" s="126"/>
      <c r="P13" s="126"/>
      <c r="Q13" s="126"/>
      <c r="R13" s="126"/>
      <c r="S13" s="126"/>
      <c r="T13" s="126"/>
      <c r="U13" s="126"/>
      <c r="V13" s="126"/>
      <c r="W13" s="126"/>
      <c r="X13" s="126"/>
      <c r="Y13" s="126"/>
      <c r="Z13" s="126"/>
    </row>
    <row r="14" spans="1:26" x14ac:dyDescent="0.2">
      <c r="A14" s="218"/>
      <c r="B14" s="219"/>
      <c r="C14" s="355"/>
      <c r="D14" s="355"/>
      <c r="E14" s="355"/>
      <c r="F14" s="355"/>
      <c r="G14" s="355"/>
      <c r="H14" s="355"/>
      <c r="I14" s="355"/>
      <c r="J14" s="355"/>
      <c r="K14" s="355"/>
      <c r="L14" s="355"/>
      <c r="M14" s="356"/>
      <c r="N14" s="126"/>
      <c r="O14" s="126"/>
      <c r="P14" s="126"/>
      <c r="Q14" s="126"/>
      <c r="R14" s="126"/>
      <c r="S14" s="126"/>
      <c r="T14" s="126"/>
      <c r="U14" s="126"/>
      <c r="V14" s="126"/>
      <c r="W14" s="126"/>
      <c r="X14" s="126"/>
      <c r="Y14" s="126"/>
      <c r="Z14" s="126"/>
    </row>
    <row r="15" spans="1:26" x14ac:dyDescent="0.2">
      <c r="A15" s="218"/>
      <c r="B15" s="219"/>
      <c r="C15" s="355"/>
      <c r="D15" s="355"/>
      <c r="E15" s="355"/>
      <c r="F15" s="355"/>
      <c r="G15" s="355"/>
      <c r="H15" s="355"/>
      <c r="I15" s="355"/>
      <c r="J15" s="355"/>
      <c r="K15" s="355"/>
      <c r="L15" s="355"/>
      <c r="M15" s="356"/>
      <c r="N15" s="126"/>
      <c r="O15" s="126"/>
      <c r="P15" s="126"/>
      <c r="Q15" s="126"/>
      <c r="R15" s="126"/>
      <c r="S15" s="126"/>
      <c r="T15" s="126"/>
      <c r="U15" s="126"/>
      <c r="V15" s="126"/>
      <c r="W15" s="126"/>
      <c r="X15" s="126"/>
      <c r="Y15" s="126"/>
      <c r="Z15" s="126"/>
    </row>
    <row r="16" spans="1:26" x14ac:dyDescent="0.2">
      <c r="A16" s="218"/>
      <c r="B16" s="219"/>
      <c r="C16" s="355"/>
      <c r="D16" s="355"/>
      <c r="E16" s="355"/>
      <c r="F16" s="355"/>
      <c r="G16" s="355"/>
      <c r="H16" s="355"/>
      <c r="I16" s="355"/>
      <c r="J16" s="355"/>
      <c r="K16" s="355"/>
      <c r="L16" s="355"/>
      <c r="M16" s="356"/>
      <c r="N16" s="126"/>
      <c r="O16" s="126"/>
      <c r="P16" s="126"/>
      <c r="Q16" s="126"/>
      <c r="R16" s="126"/>
      <c r="S16" s="126"/>
      <c r="T16" s="126"/>
      <c r="U16" s="126"/>
      <c r="V16" s="126"/>
      <c r="W16" s="126"/>
      <c r="X16" s="126"/>
      <c r="Y16" s="126"/>
      <c r="Z16" s="126"/>
    </row>
    <row r="17" spans="1:256" x14ac:dyDescent="0.2">
      <c r="A17" s="218"/>
      <c r="B17" s="219"/>
      <c r="C17" s="355"/>
      <c r="D17" s="355"/>
      <c r="E17" s="355"/>
      <c r="F17" s="355"/>
      <c r="G17" s="355"/>
      <c r="H17" s="355"/>
      <c r="I17" s="355"/>
      <c r="J17" s="355"/>
      <c r="K17" s="355"/>
      <c r="L17" s="355"/>
      <c r="M17" s="356"/>
      <c r="N17" s="126"/>
      <c r="O17" s="126"/>
      <c r="P17" s="126"/>
      <c r="Q17" s="126"/>
      <c r="R17" s="126"/>
      <c r="S17" s="126"/>
      <c r="T17" s="126"/>
      <c r="U17" s="126"/>
      <c r="V17" s="126"/>
      <c r="W17" s="126"/>
      <c r="X17" s="126"/>
      <c r="Y17" s="126"/>
      <c r="Z17" s="126"/>
    </row>
    <row r="18" spans="1:256" x14ac:dyDescent="0.2">
      <c r="A18" s="218"/>
      <c r="B18" s="219"/>
      <c r="C18" s="355"/>
      <c r="D18" s="355"/>
      <c r="E18" s="355"/>
      <c r="F18" s="355"/>
      <c r="G18" s="355"/>
      <c r="H18" s="355"/>
      <c r="I18" s="355"/>
      <c r="J18" s="355"/>
      <c r="K18" s="355"/>
      <c r="L18" s="355"/>
      <c r="M18" s="356"/>
      <c r="N18" s="126"/>
      <c r="O18" s="126"/>
      <c r="P18" s="126"/>
      <c r="Q18" s="126"/>
      <c r="R18" s="126"/>
      <c r="S18" s="126"/>
      <c r="T18" s="126"/>
      <c r="U18" s="126"/>
      <c r="V18" s="126"/>
      <c r="W18" s="126"/>
      <c r="X18" s="126"/>
      <c r="Y18" s="126"/>
      <c r="Z18" s="126"/>
    </row>
    <row r="19" spans="1:256" x14ac:dyDescent="0.2">
      <c r="A19" s="218"/>
      <c r="B19" s="219"/>
      <c r="C19" s="355"/>
      <c r="D19" s="355"/>
      <c r="E19" s="355"/>
      <c r="F19" s="355"/>
      <c r="G19" s="355"/>
      <c r="H19" s="355"/>
      <c r="I19" s="355"/>
      <c r="J19" s="355"/>
      <c r="K19" s="355"/>
      <c r="L19" s="355"/>
      <c r="M19" s="356"/>
      <c r="N19" s="126"/>
      <c r="O19" s="126"/>
      <c r="P19" s="126"/>
      <c r="Q19" s="126"/>
      <c r="R19" s="126"/>
      <c r="S19" s="126"/>
      <c r="T19" s="126"/>
      <c r="U19" s="126"/>
      <c r="V19" s="126"/>
      <c r="W19" s="126"/>
      <c r="X19" s="126"/>
      <c r="Y19" s="126"/>
      <c r="Z19" s="126"/>
    </row>
    <row r="20" spans="1:256" x14ac:dyDescent="0.2">
      <c r="A20" s="218"/>
      <c r="B20" s="219"/>
      <c r="C20" s="355"/>
      <c r="D20" s="355"/>
      <c r="E20" s="355"/>
      <c r="F20" s="355"/>
      <c r="G20" s="355"/>
      <c r="H20" s="355"/>
      <c r="I20" s="355"/>
      <c r="J20" s="355"/>
      <c r="K20" s="355"/>
      <c r="L20" s="355"/>
      <c r="M20" s="356"/>
      <c r="N20" s="126"/>
      <c r="O20" s="126"/>
      <c r="P20" s="126"/>
      <c r="Q20" s="126"/>
      <c r="R20" s="126"/>
      <c r="S20" s="126"/>
      <c r="T20" s="126"/>
      <c r="U20" s="126"/>
      <c r="V20" s="126"/>
      <c r="W20" s="126"/>
      <c r="X20" s="126"/>
      <c r="Y20" s="126"/>
      <c r="Z20" s="126"/>
    </row>
    <row r="21" spans="1:256" x14ac:dyDescent="0.2">
      <c r="A21" s="218"/>
      <c r="B21" s="219"/>
      <c r="C21" s="355"/>
      <c r="D21" s="355"/>
      <c r="E21" s="355"/>
      <c r="F21" s="355"/>
      <c r="G21" s="355"/>
      <c r="H21" s="355"/>
      <c r="I21" s="355"/>
      <c r="J21" s="355"/>
      <c r="K21" s="355"/>
      <c r="L21" s="355"/>
      <c r="M21" s="356"/>
      <c r="N21" s="126"/>
      <c r="O21" s="126"/>
      <c r="P21" s="126"/>
      <c r="Q21" s="126"/>
      <c r="R21" s="126"/>
      <c r="S21" s="126"/>
      <c r="T21" s="126"/>
      <c r="U21" s="126"/>
      <c r="V21" s="126"/>
      <c r="W21" s="126"/>
      <c r="X21" s="126"/>
      <c r="Y21" s="126"/>
      <c r="Z21" s="126"/>
    </row>
    <row r="22" spans="1:256" x14ac:dyDescent="0.2">
      <c r="A22" s="218"/>
      <c r="B22" s="219"/>
      <c r="C22" s="355"/>
      <c r="D22" s="355"/>
      <c r="E22" s="355"/>
      <c r="F22" s="355"/>
      <c r="G22" s="355"/>
      <c r="H22" s="355"/>
      <c r="I22" s="355"/>
      <c r="J22" s="355"/>
      <c r="K22" s="355"/>
      <c r="L22" s="355"/>
      <c r="M22" s="356"/>
      <c r="N22" s="126"/>
      <c r="O22" s="126"/>
      <c r="P22" s="126"/>
      <c r="Q22" s="126"/>
      <c r="R22" s="126"/>
      <c r="S22" s="126"/>
      <c r="T22" s="126"/>
      <c r="U22" s="126"/>
      <c r="V22" s="126"/>
      <c r="W22" s="126"/>
      <c r="X22" s="126"/>
      <c r="Y22" s="126"/>
      <c r="Z22" s="126"/>
    </row>
    <row r="23" spans="1:256" x14ac:dyDescent="0.2">
      <c r="A23" s="218"/>
      <c r="B23" s="219"/>
      <c r="C23" s="355"/>
      <c r="D23" s="355"/>
      <c r="E23" s="355"/>
      <c r="F23" s="355"/>
      <c r="G23" s="355"/>
      <c r="H23" s="355"/>
      <c r="I23" s="355"/>
      <c r="J23" s="355"/>
      <c r="K23" s="355"/>
      <c r="L23" s="355"/>
      <c r="M23" s="356"/>
      <c r="N23" s="126"/>
      <c r="O23" s="126"/>
      <c r="P23" s="126"/>
      <c r="Q23" s="126"/>
      <c r="R23" s="126"/>
      <c r="S23" s="126"/>
      <c r="T23" s="126"/>
      <c r="U23" s="126"/>
      <c r="V23" s="126"/>
      <c r="W23" s="126"/>
      <c r="X23" s="126"/>
      <c r="Y23" s="126"/>
      <c r="Z23" s="126"/>
    </row>
    <row r="24" spans="1:256" x14ac:dyDescent="0.2">
      <c r="A24" s="218"/>
      <c r="B24" s="219"/>
      <c r="C24" s="355"/>
      <c r="D24" s="355"/>
      <c r="E24" s="355"/>
      <c r="F24" s="355"/>
      <c r="G24" s="355"/>
      <c r="H24" s="355"/>
      <c r="I24" s="355"/>
      <c r="J24" s="355"/>
      <c r="K24" s="355"/>
      <c r="L24" s="355"/>
      <c r="M24" s="356"/>
      <c r="N24" s="126"/>
      <c r="O24" s="126"/>
      <c r="P24" s="126"/>
      <c r="Q24" s="126"/>
      <c r="R24" s="126"/>
      <c r="S24" s="126"/>
      <c r="T24" s="126"/>
      <c r="U24" s="126"/>
      <c r="V24" s="126"/>
      <c r="W24" s="126"/>
      <c r="X24" s="126"/>
      <c r="Y24" s="126"/>
      <c r="Z24" s="126"/>
    </row>
    <row r="25" spans="1:256" x14ac:dyDescent="0.2">
      <c r="A25" s="218"/>
      <c r="B25" s="219"/>
      <c r="C25" s="355"/>
      <c r="D25" s="355"/>
      <c r="E25" s="355"/>
      <c r="F25" s="355"/>
      <c r="G25" s="355"/>
      <c r="H25" s="355"/>
      <c r="I25" s="355"/>
      <c r="J25" s="355"/>
      <c r="K25" s="355"/>
      <c r="L25" s="355"/>
      <c r="M25" s="356"/>
      <c r="N25" s="126"/>
      <c r="O25" s="126"/>
      <c r="P25" s="126"/>
      <c r="Q25" s="126"/>
      <c r="R25" s="126"/>
      <c r="S25" s="126"/>
      <c r="T25" s="126"/>
      <c r="U25" s="126"/>
      <c r="V25" s="126"/>
      <c r="W25" s="126"/>
      <c r="X25" s="126"/>
      <c r="Y25" s="126"/>
      <c r="Z25" s="126"/>
    </row>
    <row r="26" spans="1:256" x14ac:dyDescent="0.2">
      <c r="A26" s="218"/>
      <c r="B26" s="219"/>
      <c r="C26" s="355"/>
      <c r="D26" s="355"/>
      <c r="E26" s="355"/>
      <c r="F26" s="355"/>
      <c r="G26" s="355"/>
      <c r="H26" s="355"/>
      <c r="I26" s="355"/>
      <c r="J26" s="355"/>
      <c r="K26" s="355"/>
      <c r="L26" s="355"/>
      <c r="M26" s="356"/>
      <c r="N26" s="126"/>
      <c r="O26" s="126"/>
      <c r="P26" s="126"/>
      <c r="Q26" s="126"/>
      <c r="R26" s="126"/>
      <c r="S26" s="126"/>
      <c r="T26" s="126"/>
      <c r="U26" s="126"/>
      <c r="V26" s="126"/>
      <c r="W26" s="126"/>
      <c r="X26" s="126"/>
      <c r="Y26" s="126"/>
      <c r="Z26" s="126"/>
    </row>
    <row r="27" spans="1:256" x14ac:dyDescent="0.2">
      <c r="A27" s="218"/>
      <c r="B27" s="219"/>
      <c r="C27" s="355"/>
      <c r="D27" s="355"/>
      <c r="E27" s="355"/>
      <c r="F27" s="355"/>
      <c r="G27" s="355"/>
      <c r="H27" s="355"/>
      <c r="I27" s="355"/>
      <c r="J27" s="355"/>
      <c r="K27" s="355"/>
      <c r="L27" s="355"/>
      <c r="M27" s="356"/>
      <c r="N27" s="126"/>
      <c r="O27" s="126"/>
      <c r="P27" s="126"/>
      <c r="Q27" s="126"/>
      <c r="R27" s="126"/>
      <c r="S27" s="126"/>
      <c r="T27" s="126"/>
      <c r="U27" s="126"/>
      <c r="V27" s="126"/>
      <c r="W27" s="126"/>
      <c r="X27" s="126"/>
      <c r="Y27" s="126"/>
      <c r="Z27" s="126"/>
    </row>
    <row r="28" spans="1:256" x14ac:dyDescent="0.2">
      <c r="A28" s="218"/>
      <c r="B28" s="219"/>
      <c r="C28" s="355"/>
      <c r="D28" s="355"/>
      <c r="E28" s="355"/>
      <c r="F28" s="355"/>
      <c r="G28" s="355"/>
      <c r="H28" s="355"/>
      <c r="I28" s="355"/>
      <c r="J28" s="355"/>
      <c r="K28" s="355"/>
      <c r="L28" s="355"/>
      <c r="M28" s="356"/>
      <c r="N28" s="126"/>
      <c r="O28" s="126"/>
      <c r="P28" s="126"/>
      <c r="Q28" s="126"/>
      <c r="R28" s="126"/>
      <c r="S28" s="126"/>
      <c r="T28" s="126"/>
      <c r="U28" s="126"/>
      <c r="V28" s="126"/>
      <c r="W28" s="126"/>
      <c r="X28" s="126"/>
      <c r="Y28" s="126"/>
      <c r="Z28" s="126"/>
    </row>
    <row r="29" spans="1:256" x14ac:dyDescent="0.2">
      <c r="A29" s="218"/>
      <c r="B29" s="219"/>
      <c r="C29" s="355"/>
      <c r="D29" s="355"/>
      <c r="E29" s="355"/>
      <c r="F29" s="355"/>
      <c r="G29" s="355"/>
      <c r="H29" s="355"/>
      <c r="I29" s="355"/>
      <c r="J29" s="355"/>
      <c r="K29" s="355"/>
      <c r="L29" s="355"/>
      <c r="M29" s="356"/>
      <c r="N29" s="211"/>
      <c r="O29" s="211"/>
      <c r="P29" s="361"/>
      <c r="Q29" s="361"/>
      <c r="R29" s="361"/>
      <c r="S29" s="361"/>
      <c r="T29" s="361"/>
      <c r="U29" s="361"/>
      <c r="V29" s="361"/>
      <c r="W29" s="361"/>
      <c r="X29" s="361"/>
      <c r="Y29" s="361"/>
      <c r="Z29" s="361"/>
      <c r="AA29" s="207"/>
      <c r="AB29" s="207"/>
      <c r="AC29" s="360"/>
      <c r="AD29" s="360"/>
      <c r="AE29" s="360"/>
      <c r="AF29" s="360"/>
      <c r="AG29" s="360"/>
      <c r="AH29" s="360"/>
      <c r="AI29" s="360"/>
      <c r="AJ29" s="360"/>
      <c r="AK29" s="360"/>
      <c r="AL29" s="360"/>
      <c r="AM29" s="360"/>
      <c r="AN29" s="207"/>
      <c r="AO29" s="207"/>
      <c r="AP29" s="360"/>
      <c r="AQ29" s="360"/>
      <c r="AR29" s="360"/>
      <c r="AS29" s="360"/>
      <c r="AT29" s="360"/>
      <c r="AU29" s="360"/>
      <c r="AV29" s="360"/>
      <c r="AW29" s="360"/>
      <c r="AX29" s="360"/>
      <c r="AY29" s="360"/>
      <c r="AZ29" s="360"/>
      <c r="BA29" s="207"/>
      <c r="BB29" s="207"/>
      <c r="BC29" s="360"/>
      <c r="BD29" s="360"/>
      <c r="BE29" s="360"/>
      <c r="BF29" s="360"/>
      <c r="BG29" s="360"/>
      <c r="BH29" s="360"/>
      <c r="BI29" s="360"/>
      <c r="BJ29" s="360"/>
      <c r="BK29" s="360"/>
      <c r="BL29" s="360"/>
      <c r="BM29" s="360"/>
      <c r="BN29" s="207"/>
      <c r="BO29" s="207"/>
      <c r="BP29" s="360"/>
      <c r="BQ29" s="360"/>
      <c r="BR29" s="360"/>
      <c r="BS29" s="360"/>
      <c r="BT29" s="360"/>
      <c r="BU29" s="360"/>
      <c r="BV29" s="360"/>
      <c r="BW29" s="360"/>
      <c r="BX29" s="360"/>
      <c r="BY29" s="360"/>
      <c r="BZ29" s="360"/>
      <c r="CA29" s="207"/>
      <c r="CB29" s="207"/>
      <c r="CC29" s="360"/>
      <c r="CD29" s="360"/>
      <c r="CE29" s="360"/>
      <c r="CF29" s="360"/>
      <c r="CG29" s="360"/>
      <c r="CH29" s="360"/>
      <c r="CI29" s="360"/>
      <c r="CJ29" s="360"/>
      <c r="CK29" s="360"/>
      <c r="CL29" s="360"/>
      <c r="CM29" s="360"/>
      <c r="CN29" s="207"/>
      <c r="CO29" s="207"/>
      <c r="CP29" s="360"/>
      <c r="CQ29" s="360"/>
      <c r="CR29" s="360"/>
      <c r="CS29" s="360"/>
      <c r="CT29" s="360"/>
      <c r="CU29" s="360"/>
      <c r="CV29" s="360"/>
      <c r="CW29" s="360"/>
      <c r="CX29" s="360"/>
      <c r="CY29" s="360"/>
      <c r="CZ29" s="360"/>
      <c r="DA29" s="207"/>
      <c r="DB29" s="207"/>
      <c r="DC29" s="360"/>
      <c r="DD29" s="360"/>
      <c r="DE29" s="360"/>
      <c r="DF29" s="360"/>
      <c r="DG29" s="360"/>
      <c r="DH29" s="360"/>
      <c r="DI29" s="360"/>
      <c r="DJ29" s="360"/>
      <c r="DK29" s="360"/>
      <c r="DL29" s="360"/>
      <c r="DM29" s="360"/>
      <c r="DN29" s="207"/>
      <c r="DO29" s="207"/>
      <c r="DP29" s="360"/>
      <c r="DQ29" s="360"/>
      <c r="DR29" s="360"/>
      <c r="DS29" s="360"/>
      <c r="DT29" s="360"/>
      <c r="DU29" s="360"/>
      <c r="DV29" s="360"/>
      <c r="DW29" s="360"/>
      <c r="DX29" s="360"/>
      <c r="DY29" s="360"/>
      <c r="DZ29" s="360"/>
      <c r="EA29" s="207"/>
      <c r="EB29" s="207"/>
      <c r="EC29" s="360"/>
      <c r="ED29" s="360"/>
      <c r="EE29" s="360"/>
      <c r="EF29" s="360"/>
      <c r="EG29" s="360"/>
      <c r="EH29" s="360"/>
      <c r="EI29" s="360"/>
      <c r="EJ29" s="360"/>
      <c r="EK29" s="360"/>
      <c r="EL29" s="360"/>
      <c r="EM29" s="360"/>
      <c r="EN29" s="207"/>
      <c r="EO29" s="207"/>
      <c r="EP29" s="360"/>
      <c r="EQ29" s="360"/>
      <c r="ER29" s="360"/>
      <c r="ES29" s="360"/>
      <c r="ET29" s="360"/>
      <c r="EU29" s="360"/>
      <c r="EV29" s="360"/>
      <c r="EW29" s="360"/>
      <c r="EX29" s="360"/>
      <c r="EY29" s="360"/>
      <c r="EZ29" s="360"/>
      <c r="FA29" s="207"/>
      <c r="FB29" s="207"/>
      <c r="FC29" s="360"/>
      <c r="FD29" s="360"/>
      <c r="FE29" s="360"/>
      <c r="FF29" s="360"/>
      <c r="FG29" s="360"/>
      <c r="FH29" s="360"/>
      <c r="FI29" s="360"/>
      <c r="FJ29" s="360"/>
      <c r="FK29" s="360"/>
      <c r="FL29" s="360"/>
      <c r="FM29" s="360"/>
      <c r="FN29" s="207"/>
      <c r="FO29" s="207"/>
      <c r="FP29" s="360"/>
      <c r="FQ29" s="360"/>
      <c r="FR29" s="360"/>
      <c r="FS29" s="360"/>
      <c r="FT29" s="360"/>
      <c r="FU29" s="360"/>
      <c r="FV29" s="360"/>
      <c r="FW29" s="360"/>
      <c r="FX29" s="360"/>
      <c r="FY29" s="360"/>
      <c r="FZ29" s="360"/>
      <c r="GA29" s="207"/>
      <c r="GB29" s="207"/>
      <c r="GC29" s="360"/>
      <c r="GD29" s="360"/>
      <c r="GE29" s="360"/>
      <c r="GF29" s="360"/>
      <c r="GG29" s="360"/>
      <c r="GH29" s="360"/>
      <c r="GI29" s="360"/>
      <c r="GJ29" s="360"/>
      <c r="GK29" s="360"/>
      <c r="GL29" s="360"/>
      <c r="GM29" s="360"/>
      <c r="GN29" s="207"/>
      <c r="GO29" s="207"/>
      <c r="GP29" s="360"/>
      <c r="GQ29" s="360"/>
      <c r="GR29" s="360"/>
      <c r="GS29" s="360"/>
      <c r="GT29" s="360"/>
      <c r="GU29" s="360"/>
      <c r="GV29" s="360"/>
      <c r="GW29" s="360"/>
      <c r="GX29" s="360"/>
      <c r="GY29" s="360"/>
      <c r="GZ29" s="360"/>
      <c r="HA29" s="207"/>
      <c r="HB29" s="207"/>
      <c r="HC29" s="360"/>
      <c r="HD29" s="360"/>
      <c r="HE29" s="360"/>
      <c r="HF29" s="360"/>
      <c r="HG29" s="360"/>
      <c r="HH29" s="360"/>
      <c r="HI29" s="360"/>
      <c r="HJ29" s="360"/>
      <c r="HK29" s="360"/>
      <c r="HL29" s="360"/>
      <c r="HM29" s="360"/>
      <c r="HN29" s="207"/>
      <c r="HO29" s="207"/>
      <c r="HP29" s="360"/>
      <c r="HQ29" s="360"/>
      <c r="HR29" s="360"/>
      <c r="HS29" s="360"/>
      <c r="HT29" s="360"/>
      <c r="HU29" s="360"/>
      <c r="HV29" s="360"/>
      <c r="HW29" s="360"/>
      <c r="HX29" s="360"/>
      <c r="HY29" s="360"/>
      <c r="HZ29" s="360"/>
      <c r="IA29" s="207"/>
      <c r="IB29" s="207"/>
      <c r="IC29" s="360"/>
      <c r="ID29" s="360"/>
      <c r="IE29" s="360"/>
      <c r="IF29" s="360"/>
      <c r="IG29" s="360"/>
      <c r="IH29" s="360"/>
      <c r="II29" s="360"/>
      <c r="IJ29" s="360"/>
      <c r="IK29" s="360"/>
      <c r="IL29" s="360"/>
      <c r="IM29" s="360"/>
      <c r="IN29" s="207"/>
      <c r="IO29" s="207"/>
      <c r="IP29" s="360"/>
      <c r="IQ29" s="360"/>
      <c r="IR29" s="360"/>
      <c r="IS29" s="360"/>
      <c r="IT29" s="360"/>
      <c r="IU29" s="360"/>
      <c r="IV29" s="360"/>
    </row>
    <row r="30" spans="1:256" x14ac:dyDescent="0.2">
      <c r="A30" s="218"/>
      <c r="B30" s="219"/>
      <c r="C30" s="355"/>
      <c r="D30" s="355"/>
      <c r="E30" s="355"/>
      <c r="F30" s="355"/>
      <c r="G30" s="355"/>
      <c r="H30" s="355"/>
      <c r="I30" s="355"/>
      <c r="J30" s="355"/>
      <c r="K30" s="355"/>
      <c r="L30" s="355"/>
      <c r="M30" s="356"/>
      <c r="N30" s="211"/>
      <c r="O30" s="211"/>
      <c r="P30" s="361"/>
      <c r="Q30" s="361"/>
      <c r="R30" s="361"/>
      <c r="S30" s="361"/>
      <c r="T30" s="361"/>
      <c r="U30" s="361"/>
      <c r="V30" s="361"/>
      <c r="W30" s="361"/>
      <c r="X30" s="361"/>
      <c r="Y30" s="361"/>
      <c r="Z30" s="361"/>
      <c r="AA30" s="207"/>
      <c r="AB30" s="207"/>
      <c r="AC30" s="360"/>
      <c r="AD30" s="360"/>
      <c r="AE30" s="360"/>
      <c r="AF30" s="360"/>
      <c r="AG30" s="360"/>
      <c r="AH30" s="360"/>
      <c r="AI30" s="360"/>
      <c r="AJ30" s="360"/>
      <c r="AK30" s="360"/>
      <c r="AL30" s="360"/>
      <c r="AM30" s="360"/>
      <c r="AN30" s="207"/>
      <c r="AO30" s="207"/>
      <c r="AP30" s="360"/>
      <c r="AQ30" s="360"/>
      <c r="AR30" s="360"/>
      <c r="AS30" s="360"/>
      <c r="AT30" s="360"/>
      <c r="AU30" s="360"/>
      <c r="AV30" s="360"/>
      <c r="AW30" s="360"/>
      <c r="AX30" s="360"/>
      <c r="AY30" s="360"/>
      <c r="AZ30" s="360"/>
      <c r="BA30" s="207"/>
      <c r="BB30" s="207"/>
      <c r="BC30" s="360"/>
      <c r="BD30" s="360"/>
      <c r="BE30" s="360"/>
      <c r="BF30" s="360"/>
      <c r="BG30" s="360"/>
      <c r="BH30" s="360"/>
      <c r="BI30" s="360"/>
      <c r="BJ30" s="360"/>
      <c r="BK30" s="360"/>
      <c r="BL30" s="360"/>
      <c r="BM30" s="360"/>
      <c r="BN30" s="207"/>
      <c r="BO30" s="207"/>
      <c r="BP30" s="360"/>
      <c r="BQ30" s="360"/>
      <c r="BR30" s="360"/>
      <c r="BS30" s="360"/>
      <c r="BT30" s="360"/>
      <c r="BU30" s="360"/>
      <c r="BV30" s="360"/>
      <c r="BW30" s="360"/>
      <c r="BX30" s="360"/>
      <c r="BY30" s="360"/>
      <c r="BZ30" s="360"/>
      <c r="CA30" s="207"/>
      <c r="CB30" s="207"/>
      <c r="CC30" s="360"/>
      <c r="CD30" s="360"/>
      <c r="CE30" s="360"/>
      <c r="CF30" s="360"/>
      <c r="CG30" s="360"/>
      <c r="CH30" s="360"/>
      <c r="CI30" s="360"/>
      <c r="CJ30" s="360"/>
      <c r="CK30" s="360"/>
      <c r="CL30" s="360"/>
      <c r="CM30" s="360"/>
      <c r="CN30" s="207"/>
      <c r="CO30" s="207"/>
      <c r="CP30" s="360"/>
      <c r="CQ30" s="360"/>
      <c r="CR30" s="360"/>
      <c r="CS30" s="360"/>
      <c r="CT30" s="360"/>
      <c r="CU30" s="360"/>
      <c r="CV30" s="360"/>
      <c r="CW30" s="360"/>
      <c r="CX30" s="360"/>
      <c r="CY30" s="360"/>
      <c r="CZ30" s="360"/>
      <c r="DA30" s="207"/>
      <c r="DB30" s="207"/>
      <c r="DC30" s="360"/>
      <c r="DD30" s="360"/>
      <c r="DE30" s="360"/>
      <c r="DF30" s="360"/>
      <c r="DG30" s="360"/>
      <c r="DH30" s="360"/>
      <c r="DI30" s="360"/>
      <c r="DJ30" s="360"/>
      <c r="DK30" s="360"/>
      <c r="DL30" s="360"/>
      <c r="DM30" s="360"/>
      <c r="DN30" s="207"/>
      <c r="DO30" s="207"/>
      <c r="DP30" s="360"/>
      <c r="DQ30" s="360"/>
      <c r="DR30" s="360"/>
      <c r="DS30" s="360"/>
      <c r="DT30" s="360"/>
      <c r="DU30" s="360"/>
      <c r="DV30" s="360"/>
      <c r="DW30" s="360"/>
      <c r="DX30" s="360"/>
      <c r="DY30" s="360"/>
      <c r="DZ30" s="360"/>
      <c r="EA30" s="207"/>
      <c r="EB30" s="207"/>
      <c r="EC30" s="360"/>
      <c r="ED30" s="360"/>
      <c r="EE30" s="360"/>
      <c r="EF30" s="360"/>
      <c r="EG30" s="360"/>
      <c r="EH30" s="360"/>
      <c r="EI30" s="360"/>
      <c r="EJ30" s="360"/>
      <c r="EK30" s="360"/>
      <c r="EL30" s="360"/>
      <c r="EM30" s="360"/>
      <c r="EN30" s="207"/>
      <c r="EO30" s="207"/>
      <c r="EP30" s="360"/>
      <c r="EQ30" s="360"/>
      <c r="ER30" s="360"/>
      <c r="ES30" s="360"/>
      <c r="ET30" s="360"/>
      <c r="EU30" s="360"/>
      <c r="EV30" s="360"/>
      <c r="EW30" s="360"/>
      <c r="EX30" s="360"/>
      <c r="EY30" s="360"/>
      <c r="EZ30" s="360"/>
      <c r="FA30" s="207"/>
      <c r="FB30" s="207"/>
      <c r="FC30" s="360"/>
      <c r="FD30" s="360"/>
      <c r="FE30" s="360"/>
      <c r="FF30" s="360"/>
      <c r="FG30" s="360"/>
      <c r="FH30" s="360"/>
      <c r="FI30" s="360"/>
      <c r="FJ30" s="360"/>
      <c r="FK30" s="360"/>
      <c r="FL30" s="360"/>
      <c r="FM30" s="360"/>
      <c r="FN30" s="207"/>
      <c r="FO30" s="207"/>
      <c r="FP30" s="360"/>
      <c r="FQ30" s="360"/>
      <c r="FR30" s="360"/>
      <c r="FS30" s="360"/>
      <c r="FT30" s="360"/>
      <c r="FU30" s="360"/>
      <c r="FV30" s="360"/>
      <c r="FW30" s="360"/>
      <c r="FX30" s="360"/>
      <c r="FY30" s="360"/>
      <c r="FZ30" s="360"/>
      <c r="GA30" s="207"/>
      <c r="GB30" s="207"/>
      <c r="GC30" s="360"/>
      <c r="GD30" s="360"/>
      <c r="GE30" s="360"/>
      <c r="GF30" s="360"/>
      <c r="GG30" s="360"/>
      <c r="GH30" s="360"/>
      <c r="GI30" s="360"/>
      <c r="GJ30" s="360"/>
      <c r="GK30" s="360"/>
      <c r="GL30" s="360"/>
      <c r="GM30" s="360"/>
      <c r="GN30" s="207"/>
      <c r="GO30" s="207"/>
      <c r="GP30" s="360"/>
      <c r="GQ30" s="360"/>
      <c r="GR30" s="360"/>
      <c r="GS30" s="360"/>
      <c r="GT30" s="360"/>
      <c r="GU30" s="360"/>
      <c r="GV30" s="360"/>
      <c r="GW30" s="360"/>
      <c r="GX30" s="360"/>
      <c r="GY30" s="360"/>
      <c r="GZ30" s="360"/>
      <c r="HA30" s="207"/>
      <c r="HB30" s="207"/>
      <c r="HC30" s="360"/>
      <c r="HD30" s="360"/>
      <c r="HE30" s="360"/>
      <c r="HF30" s="360"/>
      <c r="HG30" s="360"/>
      <c r="HH30" s="360"/>
      <c r="HI30" s="360"/>
      <c r="HJ30" s="360"/>
      <c r="HK30" s="360"/>
      <c r="HL30" s="360"/>
      <c r="HM30" s="360"/>
      <c r="HN30" s="207"/>
      <c r="HO30" s="207"/>
      <c r="HP30" s="360"/>
      <c r="HQ30" s="360"/>
      <c r="HR30" s="360"/>
      <c r="HS30" s="360"/>
      <c r="HT30" s="360"/>
      <c r="HU30" s="360"/>
      <c r="HV30" s="360"/>
      <c r="HW30" s="360"/>
      <c r="HX30" s="360"/>
      <c r="HY30" s="360"/>
      <c r="HZ30" s="360"/>
      <c r="IA30" s="207"/>
      <c r="IB30" s="207"/>
      <c r="IC30" s="360"/>
      <c r="ID30" s="360"/>
      <c r="IE30" s="360"/>
      <c r="IF30" s="360"/>
      <c r="IG30" s="360"/>
      <c r="IH30" s="360"/>
      <c r="II30" s="360"/>
      <c r="IJ30" s="360"/>
      <c r="IK30" s="360"/>
      <c r="IL30" s="360"/>
      <c r="IM30" s="360"/>
      <c r="IN30" s="207"/>
      <c r="IO30" s="207"/>
      <c r="IP30" s="360"/>
      <c r="IQ30" s="360"/>
      <c r="IR30" s="360"/>
      <c r="IS30" s="360"/>
      <c r="IT30" s="360"/>
      <c r="IU30" s="360"/>
      <c r="IV30" s="360"/>
    </row>
    <row r="31" spans="1:256" x14ac:dyDescent="0.2">
      <c r="A31" s="218"/>
      <c r="B31" s="219"/>
      <c r="C31" s="355"/>
      <c r="D31" s="355"/>
      <c r="E31" s="355"/>
      <c r="F31" s="355"/>
      <c r="G31" s="355"/>
      <c r="H31" s="355"/>
      <c r="I31" s="355"/>
      <c r="J31" s="355"/>
      <c r="K31" s="355"/>
      <c r="L31" s="355"/>
      <c r="M31" s="356"/>
      <c r="N31" s="211"/>
      <c r="O31" s="211"/>
      <c r="P31" s="361"/>
      <c r="Q31" s="361"/>
      <c r="R31" s="361"/>
      <c r="S31" s="361"/>
      <c r="T31" s="361"/>
      <c r="U31" s="361"/>
      <c r="V31" s="361"/>
      <c r="W31" s="361"/>
      <c r="X31" s="361"/>
      <c r="Y31" s="361"/>
      <c r="Z31" s="361"/>
      <c r="AA31" s="207"/>
      <c r="AB31" s="207"/>
      <c r="AC31" s="360"/>
      <c r="AD31" s="360"/>
      <c r="AE31" s="360"/>
      <c r="AF31" s="360"/>
      <c r="AG31" s="360"/>
      <c r="AH31" s="360"/>
      <c r="AI31" s="360"/>
      <c r="AJ31" s="360"/>
      <c r="AK31" s="360"/>
      <c r="AL31" s="360"/>
      <c r="AM31" s="360"/>
      <c r="AN31" s="207"/>
      <c r="AO31" s="207"/>
      <c r="AP31" s="360"/>
      <c r="AQ31" s="360"/>
      <c r="AR31" s="360"/>
      <c r="AS31" s="360"/>
      <c r="AT31" s="360"/>
      <c r="AU31" s="360"/>
      <c r="AV31" s="360"/>
      <c r="AW31" s="360"/>
      <c r="AX31" s="360"/>
      <c r="AY31" s="360"/>
      <c r="AZ31" s="360"/>
      <c r="BA31" s="207"/>
      <c r="BB31" s="207"/>
      <c r="BC31" s="360"/>
      <c r="BD31" s="360"/>
      <c r="BE31" s="360"/>
      <c r="BF31" s="360"/>
      <c r="BG31" s="360"/>
      <c r="BH31" s="360"/>
      <c r="BI31" s="360"/>
      <c r="BJ31" s="360"/>
      <c r="BK31" s="360"/>
      <c r="BL31" s="360"/>
      <c r="BM31" s="360"/>
      <c r="BN31" s="207"/>
      <c r="BO31" s="207"/>
      <c r="BP31" s="360"/>
      <c r="BQ31" s="360"/>
      <c r="BR31" s="360"/>
      <c r="BS31" s="360"/>
      <c r="BT31" s="360"/>
      <c r="BU31" s="360"/>
      <c r="BV31" s="360"/>
      <c r="BW31" s="360"/>
      <c r="BX31" s="360"/>
      <c r="BY31" s="360"/>
      <c r="BZ31" s="360"/>
      <c r="CA31" s="207"/>
      <c r="CB31" s="207"/>
      <c r="CC31" s="360"/>
      <c r="CD31" s="360"/>
      <c r="CE31" s="360"/>
      <c r="CF31" s="360"/>
      <c r="CG31" s="360"/>
      <c r="CH31" s="360"/>
      <c r="CI31" s="360"/>
      <c r="CJ31" s="360"/>
      <c r="CK31" s="360"/>
      <c r="CL31" s="360"/>
      <c r="CM31" s="360"/>
      <c r="CN31" s="207"/>
      <c r="CO31" s="207"/>
      <c r="CP31" s="360"/>
      <c r="CQ31" s="360"/>
      <c r="CR31" s="360"/>
      <c r="CS31" s="360"/>
      <c r="CT31" s="360"/>
      <c r="CU31" s="360"/>
      <c r="CV31" s="360"/>
      <c r="CW31" s="360"/>
      <c r="CX31" s="360"/>
      <c r="CY31" s="360"/>
      <c r="CZ31" s="360"/>
      <c r="DA31" s="207"/>
      <c r="DB31" s="207"/>
      <c r="DC31" s="360"/>
      <c r="DD31" s="360"/>
      <c r="DE31" s="360"/>
      <c r="DF31" s="360"/>
      <c r="DG31" s="360"/>
      <c r="DH31" s="360"/>
      <c r="DI31" s="360"/>
      <c r="DJ31" s="360"/>
      <c r="DK31" s="360"/>
      <c r="DL31" s="360"/>
      <c r="DM31" s="360"/>
      <c r="DN31" s="207"/>
      <c r="DO31" s="207"/>
      <c r="DP31" s="360"/>
      <c r="DQ31" s="360"/>
      <c r="DR31" s="360"/>
      <c r="DS31" s="360"/>
      <c r="DT31" s="360"/>
      <c r="DU31" s="360"/>
      <c r="DV31" s="360"/>
      <c r="DW31" s="360"/>
      <c r="DX31" s="360"/>
      <c r="DY31" s="360"/>
      <c r="DZ31" s="360"/>
      <c r="EA31" s="207"/>
      <c r="EB31" s="207"/>
      <c r="EC31" s="360"/>
      <c r="ED31" s="360"/>
      <c r="EE31" s="360"/>
      <c r="EF31" s="360"/>
      <c r="EG31" s="360"/>
      <c r="EH31" s="360"/>
      <c r="EI31" s="360"/>
      <c r="EJ31" s="360"/>
      <c r="EK31" s="360"/>
      <c r="EL31" s="360"/>
      <c r="EM31" s="360"/>
      <c r="EN31" s="207"/>
      <c r="EO31" s="207"/>
      <c r="EP31" s="360"/>
      <c r="EQ31" s="360"/>
      <c r="ER31" s="360"/>
      <c r="ES31" s="360"/>
      <c r="ET31" s="360"/>
      <c r="EU31" s="360"/>
      <c r="EV31" s="360"/>
      <c r="EW31" s="360"/>
      <c r="EX31" s="360"/>
      <c r="EY31" s="360"/>
      <c r="EZ31" s="360"/>
      <c r="FA31" s="207"/>
      <c r="FB31" s="207"/>
      <c r="FC31" s="360"/>
      <c r="FD31" s="360"/>
      <c r="FE31" s="360"/>
      <c r="FF31" s="360"/>
      <c r="FG31" s="360"/>
      <c r="FH31" s="360"/>
      <c r="FI31" s="360"/>
      <c r="FJ31" s="360"/>
      <c r="FK31" s="360"/>
      <c r="FL31" s="360"/>
      <c r="FM31" s="360"/>
      <c r="FN31" s="207"/>
      <c r="FO31" s="207"/>
      <c r="FP31" s="360"/>
      <c r="FQ31" s="360"/>
      <c r="FR31" s="360"/>
      <c r="FS31" s="360"/>
      <c r="FT31" s="360"/>
      <c r="FU31" s="360"/>
      <c r="FV31" s="360"/>
      <c r="FW31" s="360"/>
      <c r="FX31" s="360"/>
      <c r="FY31" s="360"/>
      <c r="FZ31" s="360"/>
      <c r="GA31" s="207"/>
      <c r="GB31" s="207"/>
      <c r="GC31" s="360"/>
      <c r="GD31" s="360"/>
      <c r="GE31" s="360"/>
      <c r="GF31" s="360"/>
      <c r="GG31" s="360"/>
      <c r="GH31" s="360"/>
      <c r="GI31" s="360"/>
      <c r="GJ31" s="360"/>
      <c r="GK31" s="360"/>
      <c r="GL31" s="360"/>
      <c r="GM31" s="360"/>
      <c r="GN31" s="207"/>
      <c r="GO31" s="207"/>
      <c r="GP31" s="360"/>
      <c r="GQ31" s="360"/>
      <c r="GR31" s="360"/>
      <c r="GS31" s="360"/>
      <c r="GT31" s="360"/>
      <c r="GU31" s="360"/>
      <c r="GV31" s="360"/>
      <c r="GW31" s="360"/>
      <c r="GX31" s="360"/>
      <c r="GY31" s="360"/>
      <c r="GZ31" s="360"/>
      <c r="HA31" s="207"/>
      <c r="HB31" s="207"/>
      <c r="HC31" s="360"/>
      <c r="HD31" s="360"/>
      <c r="HE31" s="360"/>
      <c r="HF31" s="360"/>
      <c r="HG31" s="360"/>
      <c r="HH31" s="360"/>
      <c r="HI31" s="360"/>
      <c r="HJ31" s="360"/>
      <c r="HK31" s="360"/>
      <c r="HL31" s="360"/>
      <c r="HM31" s="360"/>
      <c r="HN31" s="207"/>
      <c r="HO31" s="207"/>
      <c r="HP31" s="360"/>
      <c r="HQ31" s="360"/>
      <c r="HR31" s="360"/>
      <c r="HS31" s="360"/>
      <c r="HT31" s="360"/>
      <c r="HU31" s="360"/>
      <c r="HV31" s="360"/>
      <c r="HW31" s="360"/>
      <c r="HX31" s="360"/>
      <c r="HY31" s="360"/>
      <c r="HZ31" s="360"/>
      <c r="IA31" s="207"/>
      <c r="IB31" s="207"/>
      <c r="IC31" s="360"/>
      <c r="ID31" s="360"/>
      <c r="IE31" s="360"/>
      <c r="IF31" s="360"/>
      <c r="IG31" s="360"/>
      <c r="IH31" s="360"/>
      <c r="II31" s="360"/>
      <c r="IJ31" s="360"/>
      <c r="IK31" s="360"/>
      <c r="IL31" s="360"/>
      <c r="IM31" s="360"/>
      <c r="IN31" s="207"/>
      <c r="IO31" s="207"/>
      <c r="IP31" s="360"/>
      <c r="IQ31" s="360"/>
      <c r="IR31" s="360"/>
      <c r="IS31" s="360"/>
      <c r="IT31" s="360"/>
      <c r="IU31" s="360"/>
      <c r="IV31" s="360"/>
    </row>
    <row r="32" spans="1:256" x14ac:dyDescent="0.2">
      <c r="A32" s="218"/>
      <c r="B32" s="219"/>
      <c r="C32" s="355"/>
      <c r="D32" s="355"/>
      <c r="E32" s="355"/>
      <c r="F32" s="355"/>
      <c r="G32" s="355"/>
      <c r="H32" s="355"/>
      <c r="I32" s="355"/>
      <c r="J32" s="355"/>
      <c r="K32" s="355"/>
      <c r="L32" s="355"/>
      <c r="M32" s="356"/>
      <c r="N32" s="223"/>
      <c r="O32" s="223"/>
      <c r="P32" s="362"/>
      <c r="Q32" s="362"/>
      <c r="R32" s="362"/>
      <c r="S32" s="362"/>
      <c r="T32" s="362"/>
      <c r="U32" s="362"/>
      <c r="V32" s="362"/>
      <c r="W32" s="362"/>
      <c r="X32" s="362"/>
      <c r="Y32" s="362"/>
      <c r="Z32" s="363"/>
      <c r="AA32" s="218"/>
      <c r="AB32" s="219"/>
      <c r="AC32" s="355"/>
      <c r="AD32" s="355"/>
      <c r="AE32" s="355"/>
      <c r="AF32" s="355"/>
      <c r="AG32" s="355"/>
      <c r="AH32" s="355"/>
      <c r="AI32" s="355"/>
      <c r="AJ32" s="355"/>
      <c r="AK32" s="355"/>
      <c r="AL32" s="355"/>
      <c r="AM32" s="356"/>
      <c r="AN32" s="218"/>
      <c r="AO32" s="219"/>
      <c r="AP32" s="355"/>
      <c r="AQ32" s="355"/>
      <c r="AR32" s="355"/>
      <c r="AS32" s="355"/>
      <c r="AT32" s="355"/>
      <c r="AU32" s="355"/>
      <c r="AV32" s="355"/>
      <c r="AW32" s="355"/>
      <c r="AX32" s="355"/>
      <c r="AY32" s="355"/>
      <c r="AZ32" s="356"/>
      <c r="BA32" s="218"/>
      <c r="BB32" s="219"/>
      <c r="BC32" s="355"/>
      <c r="BD32" s="355"/>
      <c r="BE32" s="355"/>
      <c r="BF32" s="355"/>
      <c r="BG32" s="355"/>
      <c r="BH32" s="355"/>
      <c r="BI32" s="355"/>
      <c r="BJ32" s="355"/>
      <c r="BK32" s="355"/>
      <c r="BL32" s="355"/>
      <c r="BM32" s="356"/>
      <c r="BN32" s="218"/>
      <c r="BO32" s="219"/>
      <c r="BP32" s="355"/>
      <c r="BQ32" s="355"/>
      <c r="BR32" s="355"/>
      <c r="BS32" s="355"/>
      <c r="BT32" s="355"/>
      <c r="BU32" s="355"/>
      <c r="BV32" s="355"/>
      <c r="BW32" s="355"/>
      <c r="BX32" s="355"/>
      <c r="BY32" s="355"/>
      <c r="BZ32" s="356"/>
      <c r="CA32" s="218"/>
      <c r="CB32" s="219"/>
      <c r="CC32" s="355"/>
      <c r="CD32" s="355"/>
      <c r="CE32" s="355"/>
      <c r="CF32" s="355"/>
      <c r="CG32" s="355"/>
      <c r="CH32" s="355"/>
      <c r="CI32" s="355"/>
      <c r="CJ32" s="355"/>
      <c r="CK32" s="355"/>
      <c r="CL32" s="355"/>
      <c r="CM32" s="356"/>
      <c r="CN32" s="218"/>
      <c r="CO32" s="219"/>
      <c r="CP32" s="355"/>
      <c r="CQ32" s="355"/>
      <c r="CR32" s="355"/>
      <c r="CS32" s="355"/>
      <c r="CT32" s="355"/>
      <c r="CU32" s="355"/>
      <c r="CV32" s="355"/>
      <c r="CW32" s="355"/>
      <c r="CX32" s="355"/>
      <c r="CY32" s="355"/>
      <c r="CZ32" s="356"/>
      <c r="DA32" s="218"/>
      <c r="DB32" s="219"/>
      <c r="DC32" s="355"/>
      <c r="DD32" s="355"/>
      <c r="DE32" s="355"/>
      <c r="DF32" s="355"/>
      <c r="DG32" s="355"/>
      <c r="DH32" s="355"/>
      <c r="DI32" s="355"/>
      <c r="DJ32" s="355"/>
      <c r="DK32" s="355"/>
      <c r="DL32" s="355"/>
      <c r="DM32" s="356"/>
      <c r="DN32" s="218"/>
      <c r="DO32" s="219"/>
      <c r="DP32" s="355"/>
      <c r="DQ32" s="355"/>
      <c r="DR32" s="355"/>
      <c r="DS32" s="355"/>
      <c r="DT32" s="355"/>
      <c r="DU32" s="355"/>
      <c r="DV32" s="355"/>
      <c r="DW32" s="355"/>
      <c r="DX32" s="355"/>
      <c r="DY32" s="355"/>
      <c r="DZ32" s="356"/>
      <c r="EA32" s="218"/>
      <c r="EB32" s="219"/>
      <c r="EC32" s="355"/>
      <c r="ED32" s="355"/>
      <c r="EE32" s="355"/>
      <c r="EF32" s="355"/>
      <c r="EG32" s="355"/>
      <c r="EH32" s="355"/>
      <c r="EI32" s="355"/>
      <c r="EJ32" s="355"/>
      <c r="EK32" s="355"/>
      <c r="EL32" s="355"/>
      <c r="EM32" s="356"/>
      <c r="EN32" s="218"/>
      <c r="EO32" s="219"/>
      <c r="EP32" s="355"/>
      <c r="EQ32" s="355"/>
      <c r="ER32" s="355"/>
      <c r="ES32" s="355"/>
      <c r="ET32" s="355"/>
      <c r="EU32" s="355"/>
      <c r="EV32" s="355"/>
      <c r="EW32" s="355"/>
      <c r="EX32" s="355"/>
      <c r="EY32" s="355"/>
      <c r="EZ32" s="356"/>
      <c r="FA32" s="218"/>
      <c r="FB32" s="219"/>
      <c r="FC32" s="355"/>
      <c r="FD32" s="355"/>
      <c r="FE32" s="355"/>
      <c r="FF32" s="355"/>
      <c r="FG32" s="355"/>
      <c r="FH32" s="355"/>
      <c r="FI32" s="355"/>
      <c r="FJ32" s="355"/>
      <c r="FK32" s="355"/>
      <c r="FL32" s="355"/>
      <c r="FM32" s="356"/>
      <c r="FN32" s="218"/>
      <c r="FO32" s="219"/>
      <c r="FP32" s="355"/>
      <c r="FQ32" s="355"/>
      <c r="FR32" s="355"/>
      <c r="FS32" s="355"/>
      <c r="FT32" s="355"/>
      <c r="FU32" s="355"/>
      <c r="FV32" s="355"/>
      <c r="FW32" s="355"/>
      <c r="FX32" s="355"/>
      <c r="FY32" s="355"/>
      <c r="FZ32" s="356"/>
      <c r="GA32" s="218"/>
      <c r="GB32" s="219"/>
      <c r="GC32" s="355"/>
      <c r="GD32" s="355"/>
      <c r="GE32" s="355"/>
      <c r="GF32" s="355"/>
      <c r="GG32" s="355"/>
      <c r="GH32" s="355"/>
      <c r="GI32" s="355"/>
      <c r="GJ32" s="355"/>
      <c r="GK32" s="355"/>
      <c r="GL32" s="355"/>
      <c r="GM32" s="356"/>
      <c r="GN32" s="218"/>
      <c r="GO32" s="219"/>
      <c r="GP32" s="355"/>
      <c r="GQ32" s="355"/>
      <c r="GR32" s="355"/>
      <c r="GS32" s="355"/>
      <c r="GT32" s="355"/>
      <c r="GU32" s="355"/>
      <c r="GV32" s="355"/>
      <c r="GW32" s="355"/>
      <c r="GX32" s="355"/>
      <c r="GY32" s="355"/>
      <c r="GZ32" s="356"/>
      <c r="HA32" s="218"/>
      <c r="HB32" s="219"/>
      <c r="HC32" s="355"/>
      <c r="HD32" s="355"/>
      <c r="HE32" s="355"/>
      <c r="HF32" s="355"/>
      <c r="HG32" s="355"/>
      <c r="HH32" s="355"/>
      <c r="HI32" s="355"/>
      <c r="HJ32" s="355"/>
      <c r="HK32" s="355"/>
      <c r="HL32" s="355"/>
      <c r="HM32" s="356"/>
      <c r="HN32" s="218"/>
      <c r="HO32" s="219"/>
      <c r="HP32" s="355"/>
      <c r="HQ32" s="355"/>
      <c r="HR32" s="355"/>
      <c r="HS32" s="355"/>
      <c r="HT32" s="355"/>
      <c r="HU32" s="355"/>
      <c r="HV32" s="355"/>
      <c r="HW32" s="355"/>
      <c r="HX32" s="355"/>
      <c r="HY32" s="355"/>
      <c r="HZ32" s="356"/>
      <c r="IA32" s="218"/>
      <c r="IB32" s="219"/>
      <c r="IC32" s="355"/>
      <c r="ID32" s="355"/>
      <c r="IE32" s="355"/>
      <c r="IF32" s="355"/>
      <c r="IG32" s="355"/>
      <c r="IH32" s="355"/>
      <c r="II32" s="355"/>
      <c r="IJ32" s="355"/>
      <c r="IK32" s="355"/>
      <c r="IL32" s="355"/>
      <c r="IM32" s="356"/>
      <c r="IN32" s="218"/>
      <c r="IO32" s="219"/>
      <c r="IP32" s="355"/>
      <c r="IQ32" s="355"/>
      <c r="IR32" s="355"/>
      <c r="IS32" s="355"/>
      <c r="IT32" s="355"/>
      <c r="IU32" s="355"/>
      <c r="IV32" s="355"/>
    </row>
    <row r="33" spans="1:256" x14ac:dyDescent="0.2">
      <c r="A33" s="218"/>
      <c r="B33" s="219"/>
      <c r="C33" s="355"/>
      <c r="D33" s="355"/>
      <c r="E33" s="355"/>
      <c r="F33" s="355"/>
      <c r="G33" s="355"/>
      <c r="H33" s="355"/>
      <c r="I33" s="355"/>
      <c r="J33" s="355"/>
      <c r="K33" s="355"/>
      <c r="L33" s="355"/>
      <c r="M33" s="35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5"/>
      <c r="D34" s="355"/>
      <c r="E34" s="355"/>
      <c r="F34" s="355"/>
      <c r="G34" s="355"/>
      <c r="H34" s="355"/>
      <c r="I34" s="355"/>
      <c r="J34" s="355"/>
      <c r="K34" s="355"/>
      <c r="L34" s="355"/>
      <c r="M34" s="35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5"/>
      <c r="D35" s="355"/>
      <c r="E35" s="355"/>
      <c r="F35" s="355"/>
      <c r="G35" s="355"/>
      <c r="H35" s="355"/>
      <c r="I35" s="355"/>
      <c r="J35" s="355"/>
      <c r="K35" s="355"/>
      <c r="L35" s="355"/>
      <c r="M35" s="35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5"/>
      <c r="D36" s="355"/>
      <c r="E36" s="355"/>
      <c r="F36" s="355"/>
      <c r="G36" s="355"/>
      <c r="H36" s="355"/>
      <c r="I36" s="355"/>
      <c r="J36" s="355"/>
      <c r="K36" s="355"/>
      <c r="L36" s="355"/>
      <c r="M36" s="35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5"/>
      <c r="D37" s="355"/>
      <c r="E37" s="355"/>
      <c r="F37" s="355"/>
      <c r="G37" s="355"/>
      <c r="H37" s="355"/>
      <c r="I37" s="355"/>
      <c r="J37" s="355"/>
      <c r="K37" s="355"/>
      <c r="L37" s="355"/>
      <c r="M37" s="35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5"/>
      <c r="D38" s="355"/>
      <c r="E38" s="355"/>
      <c r="F38" s="355"/>
      <c r="G38" s="355"/>
      <c r="H38" s="355"/>
      <c r="I38" s="355"/>
      <c r="J38" s="355"/>
      <c r="K38" s="355"/>
      <c r="L38" s="355"/>
      <c r="M38" s="356"/>
      <c r="N38" s="211"/>
      <c r="O38" s="211"/>
      <c r="P38" s="361"/>
      <c r="Q38" s="361"/>
      <c r="R38" s="361"/>
      <c r="S38" s="361"/>
      <c r="T38" s="361"/>
      <c r="U38" s="361"/>
      <c r="V38" s="361"/>
      <c r="W38" s="361"/>
      <c r="X38" s="361"/>
      <c r="Y38" s="361"/>
      <c r="Z38" s="361"/>
      <c r="AA38" s="207"/>
      <c r="AB38" s="207"/>
      <c r="AC38" s="360"/>
      <c r="AD38" s="360"/>
      <c r="AE38" s="360"/>
      <c r="AF38" s="360"/>
      <c r="AG38" s="360"/>
      <c r="AH38" s="360"/>
      <c r="AI38" s="360"/>
      <c r="AJ38" s="360"/>
      <c r="AK38" s="360"/>
      <c r="AL38" s="360"/>
      <c r="AM38" s="360"/>
      <c r="AN38" s="207"/>
      <c r="AO38" s="207"/>
      <c r="AP38" s="360"/>
      <c r="AQ38" s="360"/>
      <c r="AR38" s="360"/>
      <c r="AS38" s="360"/>
      <c r="AT38" s="360"/>
      <c r="AU38" s="360"/>
      <c r="AV38" s="360"/>
      <c r="AW38" s="360"/>
      <c r="AX38" s="360"/>
      <c r="AY38" s="360"/>
      <c r="AZ38" s="360"/>
      <c r="BA38" s="207"/>
      <c r="BB38" s="207"/>
      <c r="BC38" s="360"/>
      <c r="BD38" s="360"/>
      <c r="BE38" s="360"/>
      <c r="BF38" s="360"/>
      <c r="BG38" s="360"/>
      <c r="BH38" s="360"/>
      <c r="BI38" s="360"/>
      <c r="BJ38" s="360"/>
      <c r="BK38" s="360"/>
      <c r="BL38" s="360"/>
      <c r="BM38" s="360"/>
      <c r="BN38" s="207"/>
      <c r="BO38" s="207"/>
      <c r="BP38" s="360"/>
      <c r="BQ38" s="360"/>
      <c r="BR38" s="360"/>
      <c r="BS38" s="360"/>
      <c r="BT38" s="360"/>
      <c r="BU38" s="360"/>
      <c r="BV38" s="360"/>
      <c r="BW38" s="360"/>
      <c r="BX38" s="360"/>
      <c r="BY38" s="360"/>
      <c r="BZ38" s="360"/>
      <c r="CA38" s="207"/>
      <c r="CB38" s="207"/>
      <c r="CC38" s="360"/>
      <c r="CD38" s="360"/>
      <c r="CE38" s="360"/>
      <c r="CF38" s="360"/>
      <c r="CG38" s="360"/>
      <c r="CH38" s="360"/>
      <c r="CI38" s="360"/>
      <c r="CJ38" s="360"/>
      <c r="CK38" s="360"/>
      <c r="CL38" s="360"/>
      <c r="CM38" s="360"/>
      <c r="CN38" s="207"/>
      <c r="CO38" s="207"/>
      <c r="CP38" s="360"/>
      <c r="CQ38" s="360"/>
      <c r="CR38" s="360"/>
      <c r="CS38" s="360"/>
      <c r="CT38" s="360"/>
      <c r="CU38" s="360"/>
      <c r="CV38" s="360"/>
      <c r="CW38" s="360"/>
      <c r="CX38" s="360"/>
      <c r="CY38" s="360"/>
      <c r="CZ38" s="360"/>
      <c r="DA38" s="207"/>
      <c r="DB38" s="207"/>
      <c r="DC38" s="360"/>
      <c r="DD38" s="360"/>
      <c r="DE38" s="360"/>
      <c r="DF38" s="360"/>
      <c r="DG38" s="360"/>
      <c r="DH38" s="360"/>
      <c r="DI38" s="360"/>
      <c r="DJ38" s="360"/>
      <c r="DK38" s="360"/>
      <c r="DL38" s="360"/>
      <c r="DM38" s="360"/>
      <c r="DN38" s="207"/>
      <c r="DO38" s="207"/>
      <c r="DP38" s="360"/>
      <c r="DQ38" s="360"/>
      <c r="DR38" s="360"/>
      <c r="DS38" s="360"/>
      <c r="DT38" s="360"/>
      <c r="DU38" s="360"/>
      <c r="DV38" s="360"/>
      <c r="DW38" s="360"/>
      <c r="DX38" s="360"/>
      <c r="DY38" s="360"/>
      <c r="DZ38" s="360"/>
      <c r="EA38" s="207"/>
      <c r="EB38" s="207"/>
      <c r="EC38" s="360"/>
      <c r="ED38" s="360"/>
      <c r="EE38" s="360"/>
      <c r="EF38" s="360"/>
      <c r="EG38" s="360"/>
      <c r="EH38" s="360"/>
      <c r="EI38" s="360"/>
      <c r="EJ38" s="360"/>
      <c r="EK38" s="360"/>
      <c r="EL38" s="360"/>
      <c r="EM38" s="360"/>
      <c r="EN38" s="207"/>
      <c r="EO38" s="207"/>
      <c r="EP38" s="360"/>
      <c r="EQ38" s="360"/>
      <c r="ER38" s="360"/>
      <c r="ES38" s="360"/>
      <c r="ET38" s="360"/>
      <c r="EU38" s="360"/>
      <c r="EV38" s="360"/>
      <c r="EW38" s="360"/>
      <c r="EX38" s="360"/>
      <c r="EY38" s="360"/>
      <c r="EZ38" s="360"/>
      <c r="FA38" s="207"/>
      <c r="FB38" s="207"/>
      <c r="FC38" s="360"/>
      <c r="FD38" s="360"/>
      <c r="FE38" s="360"/>
      <c r="FF38" s="360"/>
      <c r="FG38" s="360"/>
      <c r="FH38" s="360"/>
      <c r="FI38" s="360"/>
      <c r="FJ38" s="360"/>
      <c r="FK38" s="360"/>
      <c r="FL38" s="360"/>
      <c r="FM38" s="360"/>
      <c r="FN38" s="207"/>
      <c r="FO38" s="207"/>
      <c r="FP38" s="360"/>
      <c r="FQ38" s="360"/>
      <c r="FR38" s="360"/>
      <c r="FS38" s="360"/>
      <c r="FT38" s="360"/>
      <c r="FU38" s="360"/>
      <c r="FV38" s="360"/>
      <c r="FW38" s="360"/>
      <c r="FX38" s="360"/>
      <c r="FY38" s="360"/>
      <c r="FZ38" s="360"/>
      <c r="GA38" s="207"/>
      <c r="GB38" s="207"/>
      <c r="GC38" s="360"/>
      <c r="GD38" s="360"/>
      <c r="GE38" s="360"/>
      <c r="GF38" s="360"/>
      <c r="GG38" s="360"/>
      <c r="GH38" s="360"/>
      <c r="GI38" s="360"/>
      <c r="GJ38" s="360"/>
      <c r="GK38" s="360"/>
      <c r="GL38" s="360"/>
      <c r="GM38" s="360"/>
      <c r="GN38" s="207"/>
      <c r="GO38" s="207"/>
      <c r="GP38" s="360"/>
      <c r="GQ38" s="360"/>
      <c r="GR38" s="360"/>
      <c r="GS38" s="360"/>
      <c r="GT38" s="360"/>
      <c r="GU38" s="360"/>
      <c r="GV38" s="360"/>
      <c r="GW38" s="360"/>
      <c r="GX38" s="360"/>
      <c r="GY38" s="360"/>
      <c r="GZ38" s="360"/>
      <c r="HA38" s="207"/>
      <c r="HB38" s="207"/>
      <c r="HC38" s="360"/>
      <c r="HD38" s="360"/>
      <c r="HE38" s="360"/>
      <c r="HF38" s="360"/>
      <c r="HG38" s="360"/>
      <c r="HH38" s="360"/>
      <c r="HI38" s="360"/>
      <c r="HJ38" s="360"/>
      <c r="HK38" s="360"/>
      <c r="HL38" s="360"/>
      <c r="HM38" s="360"/>
      <c r="HN38" s="207"/>
      <c r="HO38" s="207"/>
      <c r="HP38" s="360"/>
      <c r="HQ38" s="360"/>
      <c r="HR38" s="360"/>
      <c r="HS38" s="360"/>
      <c r="HT38" s="360"/>
      <c r="HU38" s="360"/>
      <c r="HV38" s="360"/>
      <c r="HW38" s="360"/>
      <c r="HX38" s="360"/>
      <c r="HY38" s="360"/>
      <c r="HZ38" s="360"/>
      <c r="IA38" s="207"/>
      <c r="IB38" s="207"/>
      <c r="IC38" s="360"/>
      <c r="ID38" s="360"/>
      <c r="IE38" s="360"/>
      <c r="IF38" s="360"/>
      <c r="IG38" s="360"/>
      <c r="IH38" s="360"/>
      <c r="II38" s="360"/>
      <c r="IJ38" s="360"/>
      <c r="IK38" s="360"/>
      <c r="IL38" s="360"/>
      <c r="IM38" s="360"/>
      <c r="IN38" s="207"/>
      <c r="IO38" s="207"/>
      <c r="IP38" s="360"/>
      <c r="IQ38" s="360"/>
      <c r="IR38" s="360"/>
      <c r="IS38" s="360"/>
      <c r="IT38" s="360"/>
      <c r="IU38" s="360"/>
      <c r="IV38" s="360"/>
    </row>
    <row r="39" spans="1:256" x14ac:dyDescent="0.2">
      <c r="A39" s="218"/>
      <c r="B39" s="219"/>
      <c r="C39" s="355"/>
      <c r="D39" s="355"/>
      <c r="E39" s="355"/>
      <c r="F39" s="355"/>
      <c r="G39" s="355"/>
      <c r="H39" s="355"/>
      <c r="I39" s="355"/>
      <c r="J39" s="355"/>
      <c r="K39" s="355"/>
      <c r="L39" s="355"/>
      <c r="M39" s="356"/>
      <c r="N39" s="211"/>
      <c r="O39" s="211"/>
      <c r="P39" s="361"/>
      <c r="Q39" s="361"/>
      <c r="R39" s="361"/>
      <c r="S39" s="361"/>
      <c r="T39" s="361"/>
      <c r="U39" s="361"/>
      <c r="V39" s="361"/>
      <c r="W39" s="361"/>
      <c r="X39" s="361"/>
      <c r="Y39" s="361"/>
      <c r="Z39" s="361"/>
      <c r="AA39" s="207"/>
      <c r="AB39" s="207"/>
      <c r="AC39" s="360"/>
      <c r="AD39" s="360"/>
      <c r="AE39" s="360"/>
      <c r="AF39" s="360"/>
      <c r="AG39" s="360"/>
      <c r="AH39" s="360"/>
      <c r="AI39" s="360"/>
      <c r="AJ39" s="360"/>
      <c r="AK39" s="360"/>
      <c r="AL39" s="360"/>
      <c r="AM39" s="360"/>
      <c r="AN39" s="207"/>
      <c r="AO39" s="207"/>
      <c r="AP39" s="360"/>
      <c r="AQ39" s="360"/>
      <c r="AR39" s="360"/>
      <c r="AS39" s="360"/>
      <c r="AT39" s="360"/>
      <c r="AU39" s="360"/>
      <c r="AV39" s="360"/>
      <c r="AW39" s="360"/>
      <c r="AX39" s="360"/>
      <c r="AY39" s="360"/>
      <c r="AZ39" s="360"/>
      <c r="BA39" s="207"/>
      <c r="BB39" s="207"/>
      <c r="BC39" s="360"/>
      <c r="BD39" s="360"/>
      <c r="BE39" s="360"/>
      <c r="BF39" s="360"/>
      <c r="BG39" s="360"/>
      <c r="BH39" s="360"/>
      <c r="BI39" s="360"/>
      <c r="BJ39" s="360"/>
      <c r="BK39" s="360"/>
      <c r="BL39" s="360"/>
      <c r="BM39" s="360"/>
      <c r="BN39" s="207"/>
      <c r="BO39" s="207"/>
      <c r="BP39" s="360"/>
      <c r="BQ39" s="360"/>
      <c r="BR39" s="360"/>
      <c r="BS39" s="360"/>
      <c r="BT39" s="360"/>
      <c r="BU39" s="360"/>
      <c r="BV39" s="360"/>
      <c r="BW39" s="360"/>
      <c r="BX39" s="360"/>
      <c r="BY39" s="360"/>
      <c r="BZ39" s="360"/>
      <c r="CA39" s="207"/>
      <c r="CB39" s="207"/>
      <c r="CC39" s="360"/>
      <c r="CD39" s="360"/>
      <c r="CE39" s="360"/>
      <c r="CF39" s="360"/>
      <c r="CG39" s="360"/>
      <c r="CH39" s="360"/>
      <c r="CI39" s="360"/>
      <c r="CJ39" s="360"/>
      <c r="CK39" s="360"/>
      <c r="CL39" s="360"/>
      <c r="CM39" s="360"/>
      <c r="CN39" s="207"/>
      <c r="CO39" s="207"/>
      <c r="CP39" s="360"/>
      <c r="CQ39" s="360"/>
      <c r="CR39" s="360"/>
      <c r="CS39" s="360"/>
      <c r="CT39" s="360"/>
      <c r="CU39" s="360"/>
      <c r="CV39" s="360"/>
      <c r="CW39" s="360"/>
      <c r="CX39" s="360"/>
      <c r="CY39" s="360"/>
      <c r="CZ39" s="360"/>
      <c r="DA39" s="207"/>
      <c r="DB39" s="207"/>
      <c r="DC39" s="360"/>
      <c r="DD39" s="360"/>
      <c r="DE39" s="360"/>
      <c r="DF39" s="360"/>
      <c r="DG39" s="360"/>
      <c r="DH39" s="360"/>
      <c r="DI39" s="360"/>
      <c r="DJ39" s="360"/>
      <c r="DK39" s="360"/>
      <c r="DL39" s="360"/>
      <c r="DM39" s="360"/>
      <c r="DN39" s="207"/>
      <c r="DO39" s="207"/>
      <c r="DP39" s="360"/>
      <c r="DQ39" s="360"/>
      <c r="DR39" s="360"/>
      <c r="DS39" s="360"/>
      <c r="DT39" s="360"/>
      <c r="DU39" s="360"/>
      <c r="DV39" s="360"/>
      <c r="DW39" s="360"/>
      <c r="DX39" s="360"/>
      <c r="DY39" s="360"/>
      <c r="DZ39" s="360"/>
      <c r="EA39" s="207"/>
      <c r="EB39" s="207"/>
      <c r="EC39" s="360"/>
      <c r="ED39" s="360"/>
      <c r="EE39" s="360"/>
      <c r="EF39" s="360"/>
      <c r="EG39" s="360"/>
      <c r="EH39" s="360"/>
      <c r="EI39" s="360"/>
      <c r="EJ39" s="360"/>
      <c r="EK39" s="360"/>
      <c r="EL39" s="360"/>
      <c r="EM39" s="360"/>
      <c r="EN39" s="207"/>
      <c r="EO39" s="207"/>
      <c r="EP39" s="360"/>
      <c r="EQ39" s="360"/>
      <c r="ER39" s="360"/>
      <c r="ES39" s="360"/>
      <c r="ET39" s="360"/>
      <c r="EU39" s="360"/>
      <c r="EV39" s="360"/>
      <c r="EW39" s="360"/>
      <c r="EX39" s="360"/>
      <c r="EY39" s="360"/>
      <c r="EZ39" s="360"/>
      <c r="FA39" s="207"/>
      <c r="FB39" s="207"/>
      <c r="FC39" s="360"/>
      <c r="FD39" s="360"/>
      <c r="FE39" s="360"/>
      <c r="FF39" s="360"/>
      <c r="FG39" s="360"/>
      <c r="FH39" s="360"/>
      <c r="FI39" s="360"/>
      <c r="FJ39" s="360"/>
      <c r="FK39" s="360"/>
      <c r="FL39" s="360"/>
      <c r="FM39" s="360"/>
      <c r="FN39" s="207"/>
      <c r="FO39" s="207"/>
      <c r="FP39" s="360"/>
      <c r="FQ39" s="360"/>
      <c r="FR39" s="360"/>
      <c r="FS39" s="360"/>
      <c r="FT39" s="360"/>
      <c r="FU39" s="360"/>
      <c r="FV39" s="360"/>
      <c r="FW39" s="360"/>
      <c r="FX39" s="360"/>
      <c r="FY39" s="360"/>
      <c r="FZ39" s="360"/>
      <c r="GA39" s="207"/>
      <c r="GB39" s="207"/>
      <c r="GC39" s="360"/>
      <c r="GD39" s="360"/>
      <c r="GE39" s="360"/>
      <c r="GF39" s="360"/>
      <c r="GG39" s="360"/>
      <c r="GH39" s="360"/>
      <c r="GI39" s="360"/>
      <c r="GJ39" s="360"/>
      <c r="GK39" s="360"/>
      <c r="GL39" s="360"/>
      <c r="GM39" s="360"/>
      <c r="GN39" s="207"/>
      <c r="GO39" s="207"/>
      <c r="GP39" s="360"/>
      <c r="GQ39" s="360"/>
      <c r="GR39" s="360"/>
      <c r="GS39" s="360"/>
      <c r="GT39" s="360"/>
      <c r="GU39" s="360"/>
      <c r="GV39" s="360"/>
      <c r="GW39" s="360"/>
      <c r="GX39" s="360"/>
      <c r="GY39" s="360"/>
      <c r="GZ39" s="360"/>
      <c r="HA39" s="207"/>
      <c r="HB39" s="207"/>
      <c r="HC39" s="360"/>
      <c r="HD39" s="360"/>
      <c r="HE39" s="360"/>
      <c r="HF39" s="360"/>
      <c r="HG39" s="360"/>
      <c r="HH39" s="360"/>
      <c r="HI39" s="360"/>
      <c r="HJ39" s="360"/>
      <c r="HK39" s="360"/>
      <c r="HL39" s="360"/>
      <c r="HM39" s="360"/>
      <c r="HN39" s="207"/>
      <c r="HO39" s="207"/>
      <c r="HP39" s="360"/>
      <c r="HQ39" s="360"/>
      <c r="HR39" s="360"/>
      <c r="HS39" s="360"/>
      <c r="HT39" s="360"/>
      <c r="HU39" s="360"/>
      <c r="HV39" s="360"/>
      <c r="HW39" s="360"/>
      <c r="HX39" s="360"/>
      <c r="HY39" s="360"/>
      <c r="HZ39" s="360"/>
      <c r="IA39" s="207"/>
      <c r="IB39" s="207"/>
      <c r="IC39" s="360"/>
      <c r="ID39" s="360"/>
      <c r="IE39" s="360"/>
      <c r="IF39" s="360"/>
      <c r="IG39" s="360"/>
      <c r="IH39" s="360"/>
      <c r="II39" s="360"/>
      <c r="IJ39" s="360"/>
      <c r="IK39" s="360"/>
      <c r="IL39" s="360"/>
      <c r="IM39" s="360"/>
      <c r="IN39" s="207"/>
      <c r="IO39" s="207"/>
      <c r="IP39" s="360"/>
      <c r="IQ39" s="360"/>
      <c r="IR39" s="360"/>
      <c r="IS39" s="360"/>
      <c r="IT39" s="360"/>
      <c r="IU39" s="360"/>
      <c r="IV39" s="360"/>
    </row>
    <row r="40" spans="1:256" x14ac:dyDescent="0.2">
      <c r="A40" s="218"/>
      <c r="B40" s="219"/>
      <c r="C40" s="355"/>
      <c r="D40" s="355"/>
      <c r="E40" s="355"/>
      <c r="F40" s="355"/>
      <c r="G40" s="355"/>
      <c r="H40" s="355"/>
      <c r="I40" s="355"/>
      <c r="J40" s="355"/>
      <c r="K40" s="355"/>
      <c r="L40" s="355"/>
      <c r="M40" s="356"/>
      <c r="N40" s="211"/>
      <c r="O40" s="211"/>
      <c r="P40" s="361"/>
      <c r="Q40" s="361"/>
      <c r="R40" s="361"/>
      <c r="S40" s="361"/>
      <c r="T40" s="361"/>
      <c r="U40" s="361"/>
      <c r="V40" s="361"/>
      <c r="W40" s="361"/>
      <c r="X40" s="361"/>
      <c r="Y40" s="361"/>
      <c r="Z40" s="361"/>
      <c r="AA40" s="207"/>
      <c r="AB40" s="207"/>
      <c r="AC40" s="360"/>
      <c r="AD40" s="360"/>
      <c r="AE40" s="360"/>
      <c r="AF40" s="360"/>
      <c r="AG40" s="360"/>
      <c r="AH40" s="360"/>
      <c r="AI40" s="360"/>
      <c r="AJ40" s="360"/>
      <c r="AK40" s="360"/>
      <c r="AL40" s="360"/>
      <c r="AM40" s="360"/>
      <c r="AN40" s="207"/>
      <c r="AO40" s="207"/>
      <c r="AP40" s="360"/>
      <c r="AQ40" s="360"/>
      <c r="AR40" s="360"/>
      <c r="AS40" s="360"/>
      <c r="AT40" s="360"/>
      <c r="AU40" s="360"/>
      <c r="AV40" s="360"/>
      <c r="AW40" s="360"/>
      <c r="AX40" s="360"/>
      <c r="AY40" s="360"/>
      <c r="AZ40" s="360"/>
      <c r="BA40" s="207"/>
      <c r="BB40" s="207"/>
      <c r="BC40" s="360"/>
      <c r="BD40" s="360"/>
      <c r="BE40" s="360"/>
      <c r="BF40" s="360"/>
      <c r="BG40" s="360"/>
      <c r="BH40" s="360"/>
      <c r="BI40" s="360"/>
      <c r="BJ40" s="360"/>
      <c r="BK40" s="360"/>
      <c r="BL40" s="360"/>
      <c r="BM40" s="360"/>
      <c r="BN40" s="207"/>
      <c r="BO40" s="207"/>
      <c r="BP40" s="360"/>
      <c r="BQ40" s="360"/>
      <c r="BR40" s="360"/>
      <c r="BS40" s="360"/>
      <c r="BT40" s="360"/>
      <c r="BU40" s="360"/>
      <c r="BV40" s="360"/>
      <c r="BW40" s="360"/>
      <c r="BX40" s="360"/>
      <c r="BY40" s="360"/>
      <c r="BZ40" s="360"/>
      <c r="CA40" s="207"/>
      <c r="CB40" s="207"/>
      <c r="CC40" s="360"/>
      <c r="CD40" s="360"/>
      <c r="CE40" s="360"/>
      <c r="CF40" s="360"/>
      <c r="CG40" s="360"/>
      <c r="CH40" s="360"/>
      <c r="CI40" s="360"/>
      <c r="CJ40" s="360"/>
      <c r="CK40" s="360"/>
      <c r="CL40" s="360"/>
      <c r="CM40" s="360"/>
      <c r="CN40" s="207"/>
      <c r="CO40" s="207"/>
      <c r="CP40" s="360"/>
      <c r="CQ40" s="360"/>
      <c r="CR40" s="360"/>
      <c r="CS40" s="360"/>
      <c r="CT40" s="360"/>
      <c r="CU40" s="360"/>
      <c r="CV40" s="360"/>
      <c r="CW40" s="360"/>
      <c r="CX40" s="360"/>
      <c r="CY40" s="360"/>
      <c r="CZ40" s="360"/>
      <c r="DA40" s="207"/>
      <c r="DB40" s="207"/>
      <c r="DC40" s="360"/>
      <c r="DD40" s="360"/>
      <c r="DE40" s="360"/>
      <c r="DF40" s="360"/>
      <c r="DG40" s="360"/>
      <c r="DH40" s="360"/>
      <c r="DI40" s="360"/>
      <c r="DJ40" s="360"/>
      <c r="DK40" s="360"/>
      <c r="DL40" s="360"/>
      <c r="DM40" s="360"/>
      <c r="DN40" s="207"/>
      <c r="DO40" s="207"/>
      <c r="DP40" s="360"/>
      <c r="DQ40" s="360"/>
      <c r="DR40" s="360"/>
      <c r="DS40" s="360"/>
      <c r="DT40" s="360"/>
      <c r="DU40" s="360"/>
      <c r="DV40" s="360"/>
      <c r="DW40" s="360"/>
      <c r="DX40" s="360"/>
      <c r="DY40" s="360"/>
      <c r="DZ40" s="360"/>
      <c r="EA40" s="207"/>
      <c r="EB40" s="207"/>
      <c r="EC40" s="360"/>
      <c r="ED40" s="360"/>
      <c r="EE40" s="360"/>
      <c r="EF40" s="360"/>
      <c r="EG40" s="360"/>
      <c r="EH40" s="360"/>
      <c r="EI40" s="360"/>
      <c r="EJ40" s="360"/>
      <c r="EK40" s="360"/>
      <c r="EL40" s="360"/>
      <c r="EM40" s="360"/>
      <c r="EN40" s="207"/>
      <c r="EO40" s="207"/>
      <c r="EP40" s="360"/>
      <c r="EQ40" s="360"/>
      <c r="ER40" s="360"/>
      <c r="ES40" s="360"/>
      <c r="ET40" s="360"/>
      <c r="EU40" s="360"/>
      <c r="EV40" s="360"/>
      <c r="EW40" s="360"/>
      <c r="EX40" s="360"/>
      <c r="EY40" s="360"/>
      <c r="EZ40" s="360"/>
      <c r="FA40" s="207"/>
      <c r="FB40" s="207"/>
      <c r="FC40" s="360"/>
      <c r="FD40" s="360"/>
      <c r="FE40" s="360"/>
      <c r="FF40" s="360"/>
      <c r="FG40" s="360"/>
      <c r="FH40" s="360"/>
      <c r="FI40" s="360"/>
      <c r="FJ40" s="360"/>
      <c r="FK40" s="360"/>
      <c r="FL40" s="360"/>
      <c r="FM40" s="360"/>
      <c r="FN40" s="207"/>
      <c r="FO40" s="207"/>
      <c r="FP40" s="360"/>
      <c r="FQ40" s="360"/>
      <c r="FR40" s="360"/>
      <c r="FS40" s="360"/>
      <c r="FT40" s="360"/>
      <c r="FU40" s="360"/>
      <c r="FV40" s="360"/>
      <c r="FW40" s="360"/>
      <c r="FX40" s="360"/>
      <c r="FY40" s="360"/>
      <c r="FZ40" s="360"/>
      <c r="GA40" s="207"/>
      <c r="GB40" s="207"/>
      <c r="GC40" s="360"/>
      <c r="GD40" s="360"/>
      <c r="GE40" s="360"/>
      <c r="GF40" s="360"/>
      <c r="GG40" s="360"/>
      <c r="GH40" s="360"/>
      <c r="GI40" s="360"/>
      <c r="GJ40" s="360"/>
      <c r="GK40" s="360"/>
      <c r="GL40" s="360"/>
      <c r="GM40" s="360"/>
      <c r="GN40" s="207"/>
      <c r="GO40" s="207"/>
      <c r="GP40" s="360"/>
      <c r="GQ40" s="360"/>
      <c r="GR40" s="360"/>
      <c r="GS40" s="360"/>
      <c r="GT40" s="360"/>
      <c r="GU40" s="360"/>
      <c r="GV40" s="360"/>
      <c r="GW40" s="360"/>
      <c r="GX40" s="360"/>
      <c r="GY40" s="360"/>
      <c r="GZ40" s="360"/>
      <c r="HA40" s="207"/>
      <c r="HB40" s="207"/>
      <c r="HC40" s="360"/>
      <c r="HD40" s="360"/>
      <c r="HE40" s="360"/>
      <c r="HF40" s="360"/>
      <c r="HG40" s="360"/>
      <c r="HH40" s="360"/>
      <c r="HI40" s="360"/>
      <c r="HJ40" s="360"/>
      <c r="HK40" s="360"/>
      <c r="HL40" s="360"/>
      <c r="HM40" s="360"/>
      <c r="HN40" s="207"/>
      <c r="HO40" s="207"/>
      <c r="HP40" s="360"/>
      <c r="HQ40" s="360"/>
      <c r="HR40" s="360"/>
      <c r="HS40" s="360"/>
      <c r="HT40" s="360"/>
      <c r="HU40" s="360"/>
      <c r="HV40" s="360"/>
      <c r="HW40" s="360"/>
      <c r="HX40" s="360"/>
      <c r="HY40" s="360"/>
      <c r="HZ40" s="360"/>
      <c r="IA40" s="207"/>
      <c r="IB40" s="207"/>
      <c r="IC40" s="360"/>
      <c r="ID40" s="360"/>
      <c r="IE40" s="360"/>
      <c r="IF40" s="360"/>
      <c r="IG40" s="360"/>
      <c r="IH40" s="360"/>
      <c r="II40" s="360"/>
      <c r="IJ40" s="360"/>
      <c r="IK40" s="360"/>
      <c r="IL40" s="360"/>
      <c r="IM40" s="360"/>
      <c r="IN40" s="207"/>
      <c r="IO40" s="207"/>
      <c r="IP40" s="360"/>
      <c r="IQ40" s="360"/>
      <c r="IR40" s="360"/>
      <c r="IS40" s="360"/>
      <c r="IT40" s="360"/>
      <c r="IU40" s="360"/>
      <c r="IV40" s="360"/>
    </row>
    <row r="41" spans="1:256" x14ac:dyDescent="0.2">
      <c r="A41" s="218"/>
      <c r="B41" s="219"/>
      <c r="C41" s="355"/>
      <c r="D41" s="355"/>
      <c r="E41" s="355"/>
      <c r="F41" s="355"/>
      <c r="G41" s="355"/>
      <c r="H41" s="355"/>
      <c r="I41" s="355"/>
      <c r="J41" s="355"/>
      <c r="K41" s="355"/>
      <c r="L41" s="355"/>
      <c r="M41" s="35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5"/>
      <c r="D42" s="355"/>
      <c r="E42" s="355"/>
      <c r="F42" s="355"/>
      <c r="G42" s="355"/>
      <c r="H42" s="355"/>
      <c r="I42" s="355"/>
      <c r="J42" s="355"/>
      <c r="K42" s="355"/>
      <c r="L42" s="355"/>
      <c r="M42" s="35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5"/>
      <c r="D43" s="355"/>
      <c r="E43" s="355"/>
      <c r="F43" s="355"/>
      <c r="G43" s="355"/>
      <c r="H43" s="355"/>
      <c r="I43" s="355"/>
      <c r="J43" s="355"/>
      <c r="K43" s="355"/>
      <c r="L43" s="355"/>
      <c r="M43" s="35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5"/>
      <c r="D44" s="355"/>
      <c r="E44" s="355"/>
      <c r="F44" s="355"/>
      <c r="G44" s="355"/>
      <c r="H44" s="355"/>
      <c r="I44" s="355"/>
      <c r="J44" s="355"/>
      <c r="K44" s="355"/>
      <c r="L44" s="355"/>
      <c r="M44" s="35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5"/>
      <c r="D45" s="355"/>
      <c r="E45" s="355"/>
      <c r="F45" s="355"/>
      <c r="G45" s="355"/>
      <c r="H45" s="355"/>
      <c r="I45" s="355"/>
      <c r="J45" s="355"/>
      <c r="K45" s="355"/>
      <c r="L45" s="355"/>
      <c r="M45" s="35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5"/>
      <c r="D46" s="355"/>
      <c r="E46" s="355"/>
      <c r="F46" s="355"/>
      <c r="G46" s="355"/>
      <c r="H46" s="355"/>
      <c r="I46" s="355"/>
      <c r="J46" s="355"/>
      <c r="K46" s="355"/>
      <c r="L46" s="355"/>
      <c r="M46" s="35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5"/>
      <c r="D47" s="355"/>
      <c r="E47" s="355"/>
      <c r="F47" s="355"/>
      <c r="G47" s="355"/>
      <c r="H47" s="355"/>
      <c r="I47" s="355"/>
      <c r="J47" s="355"/>
      <c r="K47" s="355"/>
      <c r="L47" s="355"/>
      <c r="M47" s="35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5"/>
      <c r="D48" s="355"/>
      <c r="E48" s="355"/>
      <c r="F48" s="355"/>
      <c r="G48" s="355"/>
      <c r="H48" s="355"/>
      <c r="I48" s="355"/>
      <c r="J48" s="355"/>
      <c r="K48" s="355"/>
      <c r="L48" s="355"/>
      <c r="M48" s="35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5"/>
      <c r="D49" s="355"/>
      <c r="E49" s="355"/>
      <c r="F49" s="355"/>
      <c r="G49" s="355"/>
      <c r="H49" s="355"/>
      <c r="I49" s="355"/>
      <c r="J49" s="355"/>
      <c r="K49" s="355"/>
      <c r="L49" s="355"/>
      <c r="M49" s="35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5"/>
      <c r="D50" s="355"/>
      <c r="E50" s="355"/>
      <c r="F50" s="355"/>
      <c r="G50" s="355"/>
      <c r="H50" s="355"/>
      <c r="I50" s="355"/>
      <c r="J50" s="355"/>
      <c r="K50" s="355"/>
      <c r="L50" s="355"/>
      <c r="M50" s="356"/>
      <c r="N50" s="126"/>
      <c r="O50" s="126"/>
      <c r="P50" s="126"/>
      <c r="Q50" s="126"/>
      <c r="R50" s="126"/>
      <c r="S50" s="126"/>
      <c r="T50" s="126"/>
      <c r="U50" s="126"/>
      <c r="V50" s="126"/>
      <c r="W50" s="126"/>
      <c r="X50" s="126"/>
      <c r="Y50" s="126"/>
      <c r="Z50" s="126"/>
    </row>
    <row r="51" spans="1:256" x14ac:dyDescent="0.2">
      <c r="A51" s="218"/>
      <c r="B51" s="219"/>
      <c r="C51" s="355"/>
      <c r="D51" s="355"/>
      <c r="E51" s="355"/>
      <c r="F51" s="355"/>
      <c r="G51" s="355"/>
      <c r="H51" s="355"/>
      <c r="I51" s="355"/>
      <c r="J51" s="355"/>
      <c r="K51" s="355"/>
      <c r="L51" s="355"/>
      <c r="M51" s="356"/>
      <c r="N51" s="126"/>
      <c r="O51" s="126"/>
      <c r="P51" s="126"/>
      <c r="Q51" s="126"/>
      <c r="R51" s="126"/>
      <c r="S51" s="126"/>
      <c r="T51" s="126"/>
      <c r="U51" s="126"/>
      <c r="V51" s="126"/>
      <c r="W51" s="126"/>
      <c r="X51" s="126"/>
      <c r="Y51" s="126"/>
      <c r="Z51" s="126"/>
    </row>
    <row r="52" spans="1:256" x14ac:dyDescent="0.2">
      <c r="A52" s="218"/>
      <c r="B52" s="219"/>
      <c r="C52" s="355"/>
      <c r="D52" s="355"/>
      <c r="E52" s="355"/>
      <c r="F52" s="355"/>
      <c r="G52" s="355"/>
      <c r="H52" s="355"/>
      <c r="I52" s="355"/>
      <c r="J52" s="355"/>
      <c r="K52" s="355"/>
      <c r="L52" s="355"/>
      <c r="M52" s="356"/>
      <c r="N52" s="126"/>
      <c r="O52" s="126"/>
      <c r="P52" s="126"/>
      <c r="Q52" s="126"/>
      <c r="R52" s="126"/>
      <c r="S52" s="126"/>
      <c r="T52" s="126"/>
      <c r="U52" s="126"/>
      <c r="V52" s="126"/>
      <c r="W52" s="126"/>
      <c r="X52" s="126"/>
      <c r="Y52" s="126"/>
      <c r="Z52" s="126"/>
    </row>
    <row r="53" spans="1:256" x14ac:dyDescent="0.2">
      <c r="A53" s="218"/>
      <c r="B53" s="219"/>
      <c r="C53" s="355"/>
      <c r="D53" s="355"/>
      <c r="E53" s="355"/>
      <c r="F53" s="355"/>
      <c r="G53" s="355"/>
      <c r="H53" s="355"/>
      <c r="I53" s="355"/>
      <c r="J53" s="355"/>
      <c r="K53" s="355"/>
      <c r="L53" s="355"/>
      <c r="M53" s="356"/>
      <c r="N53" s="126"/>
      <c r="O53" s="126"/>
      <c r="P53" s="126"/>
      <c r="Q53" s="126"/>
      <c r="R53" s="126"/>
      <c r="S53" s="126"/>
      <c r="T53" s="126"/>
      <c r="U53" s="126"/>
      <c r="V53" s="126"/>
      <c r="W53" s="126"/>
      <c r="X53" s="126"/>
      <c r="Y53" s="126"/>
      <c r="Z53" s="126"/>
    </row>
    <row r="54" spans="1:256" x14ac:dyDescent="0.2">
      <c r="A54" s="218"/>
      <c r="B54" s="219"/>
      <c r="C54" s="355"/>
      <c r="D54" s="355"/>
      <c r="E54" s="355"/>
      <c r="F54" s="355"/>
      <c r="G54" s="355"/>
      <c r="H54" s="355"/>
      <c r="I54" s="355"/>
      <c r="J54" s="355"/>
      <c r="K54" s="355"/>
      <c r="L54" s="355"/>
      <c r="M54" s="356"/>
      <c r="N54" s="126"/>
      <c r="O54" s="126"/>
      <c r="P54" s="126"/>
      <c r="Q54" s="126"/>
      <c r="R54" s="126"/>
      <c r="S54" s="126"/>
      <c r="T54" s="126"/>
      <c r="U54" s="126"/>
      <c r="V54" s="126"/>
      <c r="W54" s="126"/>
      <c r="X54" s="126"/>
      <c r="Y54" s="126"/>
      <c r="Z54" s="126"/>
    </row>
    <row r="55" spans="1:256" x14ac:dyDescent="0.2">
      <c r="A55" s="218"/>
      <c r="B55" s="219"/>
      <c r="C55" s="355"/>
      <c r="D55" s="355"/>
      <c r="E55" s="355"/>
      <c r="F55" s="355"/>
      <c r="G55" s="355"/>
      <c r="H55" s="355"/>
      <c r="I55" s="355"/>
      <c r="J55" s="355"/>
      <c r="K55" s="355"/>
      <c r="L55" s="355"/>
      <c r="M55" s="356"/>
      <c r="N55" s="126"/>
      <c r="O55" s="126"/>
      <c r="P55" s="126"/>
      <c r="Q55" s="126"/>
      <c r="R55" s="126"/>
      <c r="S55" s="126"/>
      <c r="T55" s="126"/>
      <c r="U55" s="126"/>
      <c r="V55" s="126"/>
      <c r="W55" s="126"/>
      <c r="X55" s="126"/>
      <c r="Y55" s="126"/>
      <c r="Z55" s="126"/>
    </row>
    <row r="56" spans="1:256" x14ac:dyDescent="0.2">
      <c r="A56" s="218"/>
      <c r="B56" s="219"/>
      <c r="C56" s="355"/>
      <c r="D56" s="355"/>
      <c r="E56" s="355"/>
      <c r="F56" s="355"/>
      <c r="G56" s="355"/>
      <c r="H56" s="355"/>
      <c r="I56" s="355"/>
      <c r="J56" s="355"/>
      <c r="K56" s="355"/>
      <c r="L56" s="355"/>
      <c r="M56" s="356"/>
      <c r="N56" s="126"/>
      <c r="O56" s="126"/>
      <c r="P56" s="126"/>
      <c r="Q56" s="126"/>
      <c r="R56" s="126"/>
      <c r="S56" s="126"/>
      <c r="T56" s="126"/>
      <c r="U56" s="126"/>
      <c r="V56" s="126"/>
      <c r="W56" s="126"/>
      <c r="X56" s="126"/>
      <c r="Y56" s="126"/>
      <c r="Z56" s="126"/>
    </row>
    <row r="57" spans="1:256" x14ac:dyDescent="0.2">
      <c r="A57" s="218"/>
      <c r="B57" s="219"/>
      <c r="C57" s="355"/>
      <c r="D57" s="355"/>
      <c r="E57" s="355"/>
      <c r="F57" s="355"/>
      <c r="G57" s="355"/>
      <c r="H57" s="355"/>
      <c r="I57" s="355"/>
      <c r="J57" s="355"/>
      <c r="K57" s="355"/>
      <c r="L57" s="355"/>
      <c r="M57" s="356"/>
      <c r="N57" s="126"/>
      <c r="O57" s="126"/>
      <c r="P57" s="126"/>
      <c r="Q57" s="126"/>
      <c r="R57" s="126"/>
      <c r="S57" s="126"/>
      <c r="T57" s="126"/>
      <c r="U57" s="126"/>
      <c r="V57" s="126"/>
      <c r="W57" s="126"/>
      <c r="X57" s="126"/>
      <c r="Y57" s="126"/>
      <c r="Z57" s="126"/>
    </row>
    <row r="58" spans="1:256" x14ac:dyDescent="0.2">
      <c r="A58" s="218"/>
      <c r="B58" s="219"/>
      <c r="C58" s="355"/>
      <c r="D58" s="355"/>
      <c r="E58" s="355"/>
      <c r="F58" s="355"/>
      <c r="G58" s="355"/>
      <c r="H58" s="355"/>
      <c r="I58" s="355"/>
      <c r="J58" s="355"/>
      <c r="K58" s="355"/>
      <c r="L58" s="355"/>
      <c r="M58" s="356"/>
      <c r="N58" s="126"/>
      <c r="O58" s="126"/>
      <c r="P58" s="126"/>
      <c r="Q58" s="126"/>
      <c r="R58" s="126"/>
      <c r="S58" s="126"/>
      <c r="T58" s="126"/>
      <c r="U58" s="126"/>
      <c r="V58" s="126"/>
      <c r="W58" s="126"/>
      <c r="X58" s="126"/>
      <c r="Y58" s="126"/>
      <c r="Z58" s="126"/>
    </row>
    <row r="59" spans="1:256" x14ac:dyDescent="0.2">
      <c r="A59" s="218"/>
      <c r="B59" s="219"/>
      <c r="C59" s="355"/>
      <c r="D59" s="355"/>
      <c r="E59" s="355"/>
      <c r="F59" s="355"/>
      <c r="G59" s="355"/>
      <c r="H59" s="355"/>
      <c r="I59" s="355"/>
      <c r="J59" s="355"/>
      <c r="K59" s="355"/>
      <c r="L59" s="355"/>
      <c r="M59" s="356"/>
    </row>
    <row r="60" spans="1:256" x14ac:dyDescent="0.2">
      <c r="A60" s="218"/>
      <c r="B60" s="219"/>
      <c r="C60" s="355"/>
      <c r="D60" s="355"/>
      <c r="E60" s="355"/>
      <c r="F60" s="355"/>
      <c r="G60" s="355"/>
      <c r="H60" s="355"/>
      <c r="I60" s="355"/>
      <c r="J60" s="355"/>
      <c r="K60" s="355"/>
      <c r="L60" s="355"/>
      <c r="M60" s="356"/>
    </row>
    <row r="61" spans="1:256" x14ac:dyDescent="0.2">
      <c r="A61" s="218"/>
      <c r="B61" s="219"/>
      <c r="C61" s="355"/>
      <c r="D61" s="355"/>
      <c r="E61" s="355"/>
      <c r="F61" s="355"/>
      <c r="G61" s="355"/>
      <c r="H61" s="355"/>
      <c r="I61" s="355"/>
      <c r="J61" s="355"/>
      <c r="K61" s="355"/>
      <c r="L61" s="355"/>
      <c r="M61" s="356"/>
    </row>
    <row r="62" spans="1:256" x14ac:dyDescent="0.2">
      <c r="A62" s="218"/>
      <c r="B62" s="219"/>
      <c r="C62" s="355"/>
      <c r="D62" s="355"/>
      <c r="E62" s="355"/>
      <c r="F62" s="355"/>
      <c r="G62" s="355"/>
      <c r="H62" s="355"/>
      <c r="I62" s="355"/>
      <c r="J62" s="355"/>
      <c r="K62" s="355"/>
      <c r="L62" s="355"/>
      <c r="M62" s="356"/>
    </row>
    <row r="63" spans="1:256" x14ac:dyDescent="0.2">
      <c r="A63" s="218"/>
      <c r="B63" s="219"/>
      <c r="C63" s="355"/>
      <c r="D63" s="355"/>
      <c r="E63" s="355"/>
      <c r="F63" s="355"/>
      <c r="G63" s="355"/>
      <c r="H63" s="355"/>
      <c r="I63" s="355"/>
      <c r="J63" s="355"/>
      <c r="K63" s="355"/>
      <c r="L63" s="355"/>
      <c r="M63" s="356"/>
    </row>
    <row r="64" spans="1:256" x14ac:dyDescent="0.2">
      <c r="A64" s="218"/>
      <c r="B64" s="219"/>
      <c r="C64" s="355"/>
      <c r="D64" s="355"/>
      <c r="E64" s="355"/>
      <c r="F64" s="355"/>
      <c r="G64" s="355"/>
      <c r="H64" s="355"/>
      <c r="I64" s="355"/>
      <c r="J64" s="355"/>
      <c r="K64" s="355"/>
      <c r="L64" s="355"/>
      <c r="M64" s="356"/>
    </row>
    <row r="65" spans="1:13" x14ac:dyDescent="0.2">
      <c r="A65" s="218"/>
      <c r="B65" s="219"/>
      <c r="C65" s="355"/>
      <c r="D65" s="355"/>
      <c r="E65" s="355"/>
      <c r="F65" s="355"/>
      <c r="G65" s="355"/>
      <c r="H65" s="355"/>
      <c r="I65" s="355"/>
      <c r="J65" s="355"/>
      <c r="K65" s="355"/>
      <c r="L65" s="355"/>
      <c r="M65" s="356"/>
    </row>
    <row r="66" spans="1:13" x14ac:dyDescent="0.2">
      <c r="A66" s="218"/>
      <c r="B66" s="219"/>
      <c r="C66" s="355"/>
      <c r="D66" s="355"/>
      <c r="E66" s="355"/>
      <c r="F66" s="355"/>
      <c r="G66" s="355"/>
      <c r="H66" s="355"/>
      <c r="I66" s="355"/>
      <c r="J66" s="355"/>
      <c r="K66" s="355"/>
      <c r="L66" s="355"/>
      <c r="M66" s="356"/>
    </row>
    <row r="67" spans="1:13" x14ac:dyDescent="0.2">
      <c r="A67" s="218"/>
      <c r="B67" s="219"/>
      <c r="C67" s="355"/>
      <c r="D67" s="355"/>
      <c r="E67" s="355"/>
      <c r="F67" s="355"/>
      <c r="G67" s="355"/>
      <c r="H67" s="355"/>
      <c r="I67" s="355"/>
      <c r="J67" s="355"/>
      <c r="K67" s="355"/>
      <c r="L67" s="355"/>
      <c r="M67" s="356"/>
    </row>
    <row r="68" spans="1:13" x14ac:dyDescent="0.2">
      <c r="A68" s="218"/>
      <c r="B68" s="219"/>
      <c r="C68" s="355"/>
      <c r="D68" s="355"/>
      <c r="E68" s="355"/>
      <c r="F68" s="355"/>
      <c r="G68" s="355"/>
      <c r="H68" s="355"/>
      <c r="I68" s="355"/>
      <c r="J68" s="355"/>
      <c r="K68" s="355"/>
      <c r="L68" s="355"/>
      <c r="M68" s="356"/>
    </row>
    <row r="69" spans="1:13" x14ac:dyDescent="0.2">
      <c r="A69" s="218"/>
      <c r="B69" s="219"/>
      <c r="C69" s="355"/>
      <c r="D69" s="355"/>
      <c r="E69" s="355"/>
      <c r="F69" s="355"/>
      <c r="G69" s="355"/>
      <c r="H69" s="355"/>
      <c r="I69" s="355"/>
      <c r="J69" s="355"/>
      <c r="K69" s="355"/>
      <c r="L69" s="355"/>
      <c r="M69" s="356"/>
    </row>
    <row r="70" spans="1:13" ht="12" thickBot="1" x14ac:dyDescent="0.25">
      <c r="A70" s="220"/>
      <c r="B70" s="221"/>
      <c r="C70" s="357"/>
      <c r="D70" s="357"/>
      <c r="E70" s="357"/>
      <c r="F70" s="357"/>
      <c r="G70" s="357"/>
      <c r="H70" s="357"/>
      <c r="I70" s="357"/>
      <c r="J70" s="357"/>
      <c r="K70" s="357"/>
      <c r="L70" s="357"/>
      <c r="M70" s="358"/>
    </row>
    <row r="71" spans="1:13" ht="12" thickTop="1" x14ac:dyDescent="0.2">
      <c r="A71" s="208"/>
      <c r="B71" s="208"/>
      <c r="C71" s="209"/>
      <c r="D71" s="209"/>
      <c r="E71" s="209"/>
      <c r="F71" s="209"/>
      <c r="G71" s="209"/>
      <c r="H71" s="209"/>
      <c r="I71" s="209"/>
      <c r="J71" s="209"/>
      <c r="K71" s="209"/>
      <c r="L71" s="209"/>
    </row>
    <row r="72" spans="1:13" ht="12.75" x14ac:dyDescent="0.2">
      <c r="A72" s="359" t="s">
        <v>832</v>
      </c>
      <c r="B72" s="359"/>
      <c r="C72" s="359"/>
      <c r="D72" s="359"/>
      <c r="E72" s="359"/>
      <c r="F72" s="126"/>
      <c r="G72" s="126"/>
      <c r="H72" s="126"/>
      <c r="I72" s="126"/>
      <c r="J72" s="126"/>
      <c r="K72" s="126"/>
      <c r="L72" s="126"/>
      <c r="M72" s="126"/>
    </row>
    <row r="73" spans="1:13" x14ac:dyDescent="0.2">
      <c r="A73" s="210" t="s">
        <v>764</v>
      </c>
      <c r="B73" s="210" t="s">
        <v>765</v>
      </c>
      <c r="C73" s="354"/>
      <c r="D73" s="354"/>
      <c r="E73" s="354"/>
      <c r="F73" s="354"/>
      <c r="G73" s="354"/>
      <c r="H73" s="354"/>
      <c r="I73" s="354"/>
      <c r="J73" s="354"/>
      <c r="K73" s="354"/>
      <c r="L73" s="354"/>
      <c r="M73" s="354"/>
    </row>
    <row r="74" spans="1:13" x14ac:dyDescent="0.2">
      <c r="A74" s="211"/>
      <c r="B74" s="211"/>
      <c r="C74" s="354"/>
      <c r="D74" s="354"/>
      <c r="E74" s="354"/>
      <c r="F74" s="354"/>
      <c r="G74" s="354"/>
      <c r="H74" s="354"/>
      <c r="I74" s="354"/>
      <c r="J74" s="354"/>
      <c r="K74" s="354"/>
      <c r="L74" s="354"/>
      <c r="M74" s="354"/>
    </row>
    <row r="75" spans="1:13" x14ac:dyDescent="0.2">
      <c r="A75" s="211"/>
      <c r="B75" s="211"/>
      <c r="C75" s="354"/>
      <c r="D75" s="354"/>
      <c r="E75" s="354"/>
      <c r="F75" s="354"/>
      <c r="G75" s="354"/>
      <c r="H75" s="354"/>
      <c r="I75" s="354"/>
      <c r="J75" s="354"/>
      <c r="K75" s="354"/>
      <c r="L75" s="354"/>
      <c r="M75" s="354"/>
    </row>
    <row r="76" spans="1:13" x14ac:dyDescent="0.2">
      <c r="A76" s="211"/>
      <c r="B76" s="211"/>
      <c r="C76" s="354"/>
      <c r="D76" s="354"/>
      <c r="E76" s="354"/>
      <c r="F76" s="354"/>
      <c r="G76" s="354"/>
      <c r="H76" s="354"/>
      <c r="I76" s="354"/>
      <c r="J76" s="354"/>
      <c r="K76" s="354"/>
      <c r="L76" s="354"/>
      <c r="M76" s="354"/>
    </row>
    <row r="77" spans="1:13" x14ac:dyDescent="0.2">
      <c r="A77" s="211"/>
      <c r="B77" s="211"/>
      <c r="C77" s="354"/>
      <c r="D77" s="354"/>
      <c r="E77" s="354"/>
      <c r="F77" s="354"/>
      <c r="G77" s="354"/>
      <c r="H77" s="354"/>
      <c r="I77" s="354"/>
      <c r="J77" s="354"/>
      <c r="K77" s="354"/>
      <c r="L77" s="354"/>
      <c r="M77" s="354"/>
    </row>
    <row r="78" spans="1:13" x14ac:dyDescent="0.2">
      <c r="A78" s="211"/>
      <c r="B78" s="211"/>
      <c r="C78" s="354"/>
      <c r="D78" s="354"/>
      <c r="E78" s="354"/>
      <c r="F78" s="354"/>
      <c r="G78" s="354"/>
      <c r="H78" s="354"/>
      <c r="I78" s="354"/>
      <c r="J78" s="354"/>
      <c r="K78" s="354"/>
      <c r="L78" s="354"/>
      <c r="M78" s="354"/>
    </row>
    <row r="79" spans="1:13" x14ac:dyDescent="0.2">
      <c r="A79" s="211"/>
      <c r="B79" s="211"/>
      <c r="C79" s="354"/>
      <c r="D79" s="354"/>
      <c r="E79" s="354"/>
      <c r="F79" s="354"/>
      <c r="G79" s="354"/>
      <c r="H79" s="354"/>
      <c r="I79" s="354"/>
      <c r="J79" s="354"/>
      <c r="K79" s="354"/>
      <c r="L79" s="354"/>
      <c r="M79" s="354"/>
    </row>
    <row r="80" spans="1:13" x14ac:dyDescent="0.2">
      <c r="A80" s="211"/>
      <c r="B80" s="211"/>
      <c r="C80" s="354"/>
      <c r="D80" s="354"/>
      <c r="E80" s="354"/>
      <c r="F80" s="354"/>
      <c r="G80" s="354"/>
      <c r="H80" s="354"/>
      <c r="I80" s="354"/>
      <c r="J80" s="354"/>
      <c r="K80" s="354"/>
      <c r="L80" s="354"/>
      <c r="M80" s="354"/>
    </row>
    <row r="81" spans="1:13" x14ac:dyDescent="0.2">
      <c r="A81" s="211"/>
      <c r="B81" s="211"/>
      <c r="C81" s="354"/>
      <c r="D81" s="354"/>
      <c r="E81" s="354"/>
      <c r="F81" s="354"/>
      <c r="G81" s="354"/>
      <c r="H81" s="354"/>
      <c r="I81" s="354"/>
      <c r="J81" s="354"/>
      <c r="K81" s="354"/>
      <c r="L81" s="354"/>
      <c r="M81" s="354"/>
    </row>
    <row r="82" spans="1:13" x14ac:dyDescent="0.2">
      <c r="A82" s="211"/>
      <c r="B82" s="211"/>
      <c r="C82" s="354"/>
      <c r="D82" s="354"/>
      <c r="E82" s="354"/>
      <c r="F82" s="354"/>
      <c r="G82" s="354"/>
      <c r="H82" s="354"/>
      <c r="I82" s="354"/>
      <c r="J82" s="354"/>
      <c r="K82" s="354"/>
      <c r="L82" s="354"/>
      <c r="M82" s="354"/>
    </row>
    <row r="83" spans="1:13" x14ac:dyDescent="0.2">
      <c r="A83" s="211"/>
      <c r="B83" s="211"/>
      <c r="C83" s="354"/>
      <c r="D83" s="354"/>
      <c r="E83" s="354"/>
      <c r="F83" s="354"/>
      <c r="G83" s="354"/>
      <c r="H83" s="354"/>
      <c r="I83" s="354"/>
      <c r="J83" s="354"/>
      <c r="K83" s="354"/>
      <c r="L83" s="354"/>
      <c r="M83" s="354"/>
    </row>
    <row r="84" spans="1:13" x14ac:dyDescent="0.2">
      <c r="A84" s="211"/>
      <c r="B84" s="211"/>
      <c r="C84" s="354"/>
      <c r="D84" s="354"/>
      <c r="E84" s="354"/>
      <c r="F84" s="354"/>
      <c r="G84" s="354"/>
      <c r="H84" s="354"/>
      <c r="I84" s="354"/>
      <c r="J84" s="354"/>
      <c r="K84" s="354"/>
      <c r="L84" s="354"/>
      <c r="M84" s="354"/>
    </row>
    <row r="85" spans="1:13" x14ac:dyDescent="0.2">
      <c r="A85" s="211"/>
      <c r="B85" s="211"/>
      <c r="C85" s="354"/>
      <c r="D85" s="354"/>
      <c r="E85" s="354"/>
      <c r="F85" s="354"/>
      <c r="G85" s="354"/>
      <c r="H85" s="354"/>
      <c r="I85" s="354"/>
      <c r="J85" s="354"/>
      <c r="K85" s="354"/>
      <c r="L85" s="354"/>
      <c r="M85" s="354"/>
    </row>
    <row r="86" spans="1:13" x14ac:dyDescent="0.2">
      <c r="A86" s="211"/>
      <c r="B86" s="211"/>
      <c r="C86" s="354"/>
      <c r="D86" s="354"/>
      <c r="E86" s="354"/>
      <c r="F86" s="354"/>
      <c r="G86" s="354"/>
      <c r="H86" s="354"/>
      <c r="I86" s="354"/>
      <c r="J86" s="354"/>
      <c r="K86" s="354"/>
      <c r="L86" s="354"/>
      <c r="M86" s="354"/>
    </row>
    <row r="87" spans="1:13" x14ac:dyDescent="0.2">
      <c r="A87" s="211"/>
      <c r="B87" s="211"/>
      <c r="C87" s="354"/>
      <c r="D87" s="354"/>
      <c r="E87" s="354"/>
      <c r="F87" s="354"/>
      <c r="G87" s="354"/>
      <c r="H87" s="354"/>
      <c r="I87" s="354"/>
      <c r="J87" s="354"/>
      <c r="K87" s="354"/>
      <c r="L87" s="354"/>
      <c r="M87" s="354"/>
    </row>
    <row r="88" spans="1:13" x14ac:dyDescent="0.2">
      <c r="A88" s="211"/>
      <c r="B88" s="211"/>
      <c r="C88" s="354"/>
      <c r="D88" s="354"/>
      <c r="E88" s="354"/>
      <c r="F88" s="354"/>
      <c r="G88" s="354"/>
      <c r="H88" s="354"/>
      <c r="I88" s="354"/>
      <c r="J88" s="354"/>
      <c r="K88" s="354"/>
      <c r="L88" s="354"/>
      <c r="M88" s="354"/>
    </row>
    <row r="89" spans="1:13" x14ac:dyDescent="0.2">
      <c r="A89" s="211"/>
      <c r="B89" s="211"/>
      <c r="C89" s="354"/>
      <c r="D89" s="354"/>
      <c r="E89" s="354"/>
      <c r="F89" s="354"/>
      <c r="G89" s="354"/>
      <c r="H89" s="354"/>
      <c r="I89" s="354"/>
      <c r="J89" s="354"/>
      <c r="K89" s="354"/>
      <c r="L89" s="354"/>
      <c r="M89" s="354"/>
    </row>
    <row r="90" spans="1:13" x14ac:dyDescent="0.2">
      <c r="A90" s="211"/>
      <c r="B90" s="211"/>
      <c r="C90" s="354"/>
      <c r="D90" s="354"/>
      <c r="E90" s="354"/>
      <c r="F90" s="354"/>
      <c r="G90" s="354"/>
      <c r="H90" s="354"/>
      <c r="I90" s="354"/>
      <c r="J90" s="354"/>
      <c r="K90" s="354"/>
      <c r="L90" s="354"/>
      <c r="M90" s="354"/>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Ronald</cp:lastModifiedBy>
  <cp:lastPrinted>2020-09-15T19:23:12Z</cp:lastPrinted>
  <dcterms:created xsi:type="dcterms:W3CDTF">1997-12-04T19:04:30Z</dcterms:created>
  <dcterms:modified xsi:type="dcterms:W3CDTF">2020-12-11T14:43:07Z</dcterms:modified>
</cp:coreProperties>
</file>