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D37" i="14" l="1"/>
  <c r="D25" i="14"/>
  <c r="D7" i="14"/>
  <c r="D6" i="14"/>
  <c r="D5" i="14"/>
  <c r="C10" i="12"/>
  <c r="F469" i="1"/>
  <c r="F473" i="1"/>
  <c r="G198" i="1" l="1"/>
  <c r="G216" i="1" l="1"/>
  <c r="G234" i="1"/>
  <c r="F110" i="1" l="1"/>
  <c r="F120" i="1" l="1"/>
  <c r="J605" i="1"/>
  <c r="H605" i="1"/>
  <c r="L78" i="15"/>
  <c r="D9" i="13" l="1"/>
  <c r="C38" i="12" l="1"/>
  <c r="C37" i="12"/>
  <c r="B38" i="12"/>
  <c r="B37" i="12"/>
  <c r="B28" i="12" l="1"/>
  <c r="B29" i="12"/>
  <c r="B30" i="12"/>
  <c r="C28" i="12"/>
  <c r="C19" i="12" l="1"/>
  <c r="C20" i="12"/>
  <c r="B20" i="12"/>
  <c r="C12" i="12" l="1"/>
  <c r="C11" i="12"/>
  <c r="B12" i="12"/>
  <c r="B10" i="12"/>
  <c r="F583" i="1" l="1"/>
  <c r="H243" i="1" l="1"/>
  <c r="H225" i="1"/>
  <c r="H207" i="1"/>
  <c r="J592" i="1" l="1"/>
  <c r="I592" i="1"/>
  <c r="H592" i="1"/>
  <c r="H596" i="1"/>
  <c r="G542" i="1"/>
  <c r="I503" i="1"/>
  <c r="H503" i="1"/>
  <c r="G503" i="1"/>
  <c r="F503" i="1"/>
  <c r="I500" i="1"/>
  <c r="H500" i="1"/>
  <c r="G500" i="1"/>
  <c r="F500" i="1"/>
  <c r="I499" i="1"/>
  <c r="H499" i="1"/>
  <c r="G499" i="1"/>
  <c r="F499" i="1"/>
  <c r="H496" i="1"/>
  <c r="G496" i="1"/>
  <c r="F496" i="1"/>
  <c r="I529" i="1" l="1"/>
  <c r="H529" i="1"/>
  <c r="G529" i="1"/>
  <c r="F529" i="1"/>
  <c r="H528" i="1"/>
  <c r="G528" i="1"/>
  <c r="F528" i="1"/>
  <c r="I527" i="1"/>
  <c r="H527" i="1"/>
  <c r="G527" i="1"/>
  <c r="F527" i="1"/>
  <c r="I523" i="1"/>
  <c r="H523" i="1"/>
  <c r="G523" i="1"/>
  <c r="F523" i="1"/>
  <c r="I524" i="1"/>
  <c r="H524" i="1"/>
  <c r="G524" i="1"/>
  <c r="F524" i="1"/>
  <c r="I522" i="1"/>
  <c r="H522" i="1"/>
  <c r="G522" i="1"/>
  <c r="F522" i="1"/>
  <c r="J234" i="1" l="1"/>
  <c r="H234" i="1"/>
  <c r="F234" i="1"/>
  <c r="J216" i="1"/>
  <c r="H216" i="1"/>
  <c r="F216" i="1"/>
  <c r="J198" i="1"/>
  <c r="H198" i="1"/>
  <c r="H199" i="1"/>
  <c r="F198" i="1"/>
  <c r="H240" i="1" l="1"/>
  <c r="H222" i="1"/>
  <c r="H204" i="1"/>
  <c r="J242" i="1" l="1"/>
  <c r="F219" i="1" l="1"/>
  <c r="G245" i="1" l="1"/>
  <c r="F245" i="1"/>
  <c r="J244" i="1"/>
  <c r="I244" i="1"/>
  <c r="H244" i="1"/>
  <c r="G244" i="1"/>
  <c r="F244" i="1"/>
  <c r="G240" i="1"/>
  <c r="F240" i="1"/>
  <c r="H239" i="1"/>
  <c r="G239" i="1"/>
  <c r="F239" i="1"/>
  <c r="I235" i="1"/>
  <c r="H235" i="1"/>
  <c r="G235" i="1"/>
  <c r="F235" i="1"/>
  <c r="G227" i="1"/>
  <c r="F227" i="1"/>
  <c r="J226" i="1"/>
  <c r="I226" i="1"/>
  <c r="H226" i="1"/>
  <c r="G226" i="1"/>
  <c r="F226" i="1"/>
  <c r="G222" i="1"/>
  <c r="F222" i="1"/>
  <c r="H221" i="1"/>
  <c r="G221" i="1"/>
  <c r="F221" i="1"/>
  <c r="I217" i="1"/>
  <c r="H217" i="1"/>
  <c r="G217" i="1"/>
  <c r="F217" i="1"/>
  <c r="J208" i="1"/>
  <c r="I208" i="1"/>
  <c r="I203" i="1"/>
  <c r="I199" i="1"/>
  <c r="H209" i="1"/>
  <c r="H208" i="1"/>
  <c r="H203" i="1"/>
  <c r="G209" i="1"/>
  <c r="G208" i="1"/>
  <c r="G204" i="1"/>
  <c r="G203" i="1"/>
  <c r="G199" i="1"/>
  <c r="F209" i="1"/>
  <c r="F208" i="1"/>
  <c r="F204" i="1"/>
  <c r="F203" i="1"/>
  <c r="F199" i="1"/>
  <c r="H201" i="1" l="1"/>
  <c r="I234" i="1" l="1"/>
  <c r="H242" i="1"/>
  <c r="J236" i="1" l="1"/>
  <c r="H236" i="1"/>
  <c r="I216" i="1" l="1"/>
  <c r="H224" i="1"/>
  <c r="J206" i="1" l="1"/>
  <c r="I198" i="1"/>
  <c r="I206" i="1"/>
  <c r="H206" i="1"/>
  <c r="I204" i="1" l="1"/>
  <c r="J221" i="1" l="1"/>
  <c r="I221" i="1"/>
  <c r="G224" i="1"/>
  <c r="G219" i="1"/>
  <c r="F224" i="1"/>
  <c r="K242" i="1" l="1"/>
  <c r="I242" i="1"/>
  <c r="I239" i="1"/>
  <c r="G242" i="1"/>
  <c r="F242" i="1"/>
  <c r="F181" i="1" l="1"/>
  <c r="F105" i="1"/>
  <c r="F83" i="1"/>
  <c r="F69" i="1"/>
  <c r="F68" i="1"/>
  <c r="I280" i="1" l="1"/>
  <c r="I278" i="1"/>
  <c r="H317" i="1"/>
  <c r="H288" i="1" l="1"/>
  <c r="H283" i="1"/>
  <c r="H282" i="1"/>
  <c r="H278" i="1"/>
  <c r="G277" i="1"/>
  <c r="G282" i="1"/>
  <c r="G283" i="1"/>
  <c r="G278" i="1"/>
  <c r="F283" i="1"/>
  <c r="F282" i="1"/>
  <c r="F278" i="1"/>
  <c r="H393" i="1" l="1"/>
  <c r="H391" i="1"/>
  <c r="H397"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9" i="14"/>
  <c r="C10" i="14"/>
  <c r="C11" i="14"/>
  <c r="C12" i="14"/>
  <c r="C13" i="14"/>
  <c r="C14" i="14"/>
  <c r="C15" i="14"/>
  <c r="C16" i="14"/>
  <c r="C17" i="14"/>
  <c r="C18" i="14"/>
  <c r="C19" i="14"/>
  <c r="C20" i="14"/>
  <c r="B6" i="14"/>
  <c r="C6" i="14" s="1"/>
  <c r="B7" i="14"/>
  <c r="C7" i="14" s="1"/>
  <c r="B8" i="14"/>
  <c r="C8" i="14" s="1"/>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E121" i="2" s="1"/>
  <c r="L324" i="1"/>
  <c r="L325" i="1"/>
  <c r="L326" i="1"/>
  <c r="H663" i="1" s="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c r="I147" i="1"/>
  <c r="L251" i="1"/>
  <c r="C113" i="2" s="1"/>
  <c r="L333" i="1"/>
  <c r="E113" i="2" s="1"/>
  <c r="L255" i="1"/>
  <c r="L269" i="1"/>
  <c r="L270" i="1"/>
  <c r="C143" i="2" s="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D115" i="2"/>
  <c r="F115" i="2"/>
  <c r="G115" i="2"/>
  <c r="E120" i="2"/>
  <c r="E123" i="2"/>
  <c r="C125"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G477" i="1" s="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1" i="1"/>
  <c r="G644" i="1"/>
  <c r="G645" i="1"/>
  <c r="G646" i="1"/>
  <c r="G651" i="1"/>
  <c r="G652" i="1"/>
  <c r="G653" i="1"/>
  <c r="H653" i="1"/>
  <c r="G654" i="1"/>
  <c r="H654" i="1"/>
  <c r="G655" i="1"/>
  <c r="H655" i="1"/>
  <c r="H656" i="1"/>
  <c r="J656" i="1" s="1"/>
  <c r="G62" i="2"/>
  <c r="J572" i="1"/>
  <c r="I170" i="1"/>
  <c r="J140" i="1"/>
  <c r="H140" i="1"/>
  <c r="A40" i="12" l="1"/>
  <c r="E13" i="13"/>
  <c r="C13" i="13" s="1"/>
  <c r="J652" i="1"/>
  <c r="G662" i="1"/>
  <c r="G553" i="1"/>
  <c r="L257" i="1"/>
  <c r="C110" i="2"/>
  <c r="C112" i="2"/>
  <c r="C11" i="10"/>
  <c r="J258" i="1"/>
  <c r="J272" i="1" s="1"/>
  <c r="C119" i="2"/>
  <c r="C121" i="2"/>
  <c r="F258" i="1"/>
  <c r="F272" i="1" s="1"/>
  <c r="C120" i="2"/>
  <c r="C13" i="10"/>
  <c r="D15" i="13"/>
  <c r="C15" i="13" s="1"/>
  <c r="C20" i="10"/>
  <c r="D6" i="13"/>
  <c r="C6" i="13" s="1"/>
  <c r="C91" i="2"/>
  <c r="E114" i="2"/>
  <c r="C12" i="10"/>
  <c r="G339" i="1"/>
  <c r="G353" i="1" s="1"/>
  <c r="A31" i="12"/>
  <c r="E124" i="2"/>
  <c r="E119" i="2"/>
  <c r="K339" i="1"/>
  <c r="K353" i="1" s="1"/>
  <c r="H112" i="1"/>
  <c r="H462" i="1"/>
  <c r="H642" i="1" s="1"/>
  <c r="G409" i="1"/>
  <c r="H646" i="1" s="1"/>
  <c r="H409" i="1"/>
  <c r="H645" i="1" s="1"/>
  <c r="J645" i="1" s="1"/>
  <c r="L402" i="1"/>
  <c r="C139" i="2" s="1"/>
  <c r="D50" i="2"/>
  <c r="F339" i="1"/>
  <c r="F353" i="1" s="1"/>
  <c r="J642" i="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D103" i="2"/>
  <c r="I140" i="1"/>
  <c r="A22" i="12"/>
  <c r="G50" i="2"/>
  <c r="J653" i="1"/>
  <c r="G572" i="1"/>
  <c r="I435" i="1"/>
  <c r="G435" i="1"/>
  <c r="I664" i="1"/>
  <c r="H661" i="1" l="1"/>
  <c r="H665" i="1" s="1"/>
  <c r="H668" i="1" s="1"/>
  <c r="C81" i="2"/>
  <c r="F194" i="1"/>
  <c r="G628" i="1" s="1"/>
  <c r="J628" i="1" s="1"/>
  <c r="H649" i="1"/>
  <c r="J649" i="1" s="1"/>
  <c r="E115" i="2"/>
  <c r="E128" i="2"/>
  <c r="G36" i="14"/>
  <c r="H36" i="14" s="1"/>
  <c r="I36" i="14" s="1"/>
  <c r="G24" i="14"/>
  <c r="H24" i="14" s="1"/>
  <c r="I24" i="14" s="1"/>
  <c r="F661" i="1"/>
  <c r="F665" i="1" s="1"/>
  <c r="C141" i="2"/>
  <c r="C144" i="2" s="1"/>
  <c r="D51"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C104" i="2"/>
  <c r="E145" i="2"/>
  <c r="F668" i="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<sst xmlns="http://schemas.openxmlformats.org/spreadsheetml/2006/main" count="5562" uniqueCount="1653">
  <si>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</si>
  <si>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</si>
  <si>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</si>
  <si>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</si>
  <si>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</si>
  <si>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</si>
  <si>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</si>
  <si>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</si>
  <si>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</si>
  <si>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</si>
  <si>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</si>
  <si>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</si>
  <si>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</si>
  <si>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</si>
  <si>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</si>
  <si>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</si>
  <si>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</si>
  <si>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</si>
  <si>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</si>
  <si>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</si>
  <si>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</si>
  <si>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</si>
  <si>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</si>
  <si>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</si>
  <si>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</si>
  <si>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</si>
  <si>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</si>
  <si>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</si>
  <si>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</si>
  <si>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</si>
  <si>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</si>
  <si>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</si>
  <si>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</si>
  <si>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</si>
  <si>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</si>
  <si>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</si>
  <si>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</si>
  <si>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</si>
  <si>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</si>
  <si>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</si>
  <si>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</si>
  <si>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</si>
  <si>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</si>
  <si>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</si>
  <si>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</si>
  <si>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</si>
  <si>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</si>
  <si>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</si>
  <si>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</si>
  <si>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</si>
  <si>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</si>
  <si>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</si>
  <si>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</si>
  <si>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</si>
  <si>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</si>
  <si>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</si>
  <si>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</si>
  <si>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</si>
  <si>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</si>
  <si>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</si>
  <si>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</si>
  <si>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</si>
  <si>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</si>
  <si>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</si>
  <si>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</si>
  <si>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</si>
  <si>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</si>
  <si>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</si>
  <si>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</si>
  <si>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</si>
  <si>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</si>
  <si>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</si>
  <si>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</si>
  <si>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</si>
  <si>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</si>
  <si>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</si>
  <si>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</si>
  <si>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</si>
  <si>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</si>
  <si>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</si>
  <si>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</si>
  <si>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</si>
  <si>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</si>
  <si>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</si>
  <si>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</si>
  <si>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</si>
  <si>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</si>
  <si>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</si>
  <si>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</si>
  <si>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</si>
  <si>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</si>
  <si>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</si>
  <si>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</si>
  <si>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</si>
  <si>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</si>
  <si>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</si>
  <si>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</si>
  <si>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</si>
  <si>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</si>
  <si>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</si>
  <si>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</si>
  <si>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</si>
  <si>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</si>
  <si>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</si>
  <si>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</si>
  <si>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</si>
  <si>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</si>
  <si>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</si>
  <si>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</si>
  <si>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</si>
  <si>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</si>
  <si>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</si>
  <si>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</si>
  <si>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</si>
  <si>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</si>
  <si>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</si>
  <si>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</si>
  <si>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</si>
  <si>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</si>
  <si>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</si>
  <si>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</si>
  <si>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</si>
  <si>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</si>
  <si>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</si>
  <si>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</si>
  <si>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</si>
  <si>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</si>
  <si>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</si>
  <si>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</si>
  <si>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</si>
  <si>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</si>
  <si>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</si>
  <si>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</si>
  <si>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</si>
  <si>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</si>
  <si>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</si>
  <si>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</si>
  <si>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</si>
  <si>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</si>
  <si>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</si>
  <si>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</si>
  <si>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</si>
  <si>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</si>
  <si>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</si>
  <si>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</si>
  <si>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</si>
  <si>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</si>
  <si>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</si>
  <si>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</si>
  <si>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</si>
  <si>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</si>
  <si>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</si>
  <si>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</si>
  <si>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</si>
  <si>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</si>
  <si>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</si>
  <si>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</si>
  <si>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</si>
  <si>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</si>
  <si>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</si>
  <si>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</si>
  <si>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</si>
  <si>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</si>
  <si>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</si>
  <si>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</si>
  <si>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</si>
  <si>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</si>
  <si>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</si>
  <si>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</si>
  <si>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</si>
  <si>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</si>
  <si>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</si>
  <si>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</si>
  <si>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</si>
  <si>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</si>
  <si>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</si>
  <si>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</si>
  <si>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</si>
  <si>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</si>
  <si>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</si>
  <si>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</si>
  <si>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</si>
  <si>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</si>
  <si>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</si>
  <si>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</si>
  <si>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</si>
  <si>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</si>
  <si>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</si>
  <si>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</si>
  <si>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</si>
  <si>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</si>
  <si>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</si>
  <si>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</si>
  <si>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</si>
  <si>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</si>
  <si>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</si>
  <si>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</si>
  <si>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</si>
  <si>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</si>
  <si>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</si>
  <si>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</si>
  <si>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</si>
  <si>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</si>
  <si>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</si>
  <si>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</si>
  <si>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</si>
  <si>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</si>
  <si>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</si>
  <si>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</si>
  <si>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</si>
  <si>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</si>
  <si>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</si>
  <si>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</si>
  <si>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</si>
  <si>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</si>
  <si>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</si>
  <si>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</si>
  <si>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</si>
  <si>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</si>
  <si>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</si>
  <si>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</si>
  <si>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</si>
  <si>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</si>
  <si>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</si>
  <si>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</si>
  <si>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</si>
  <si>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</si>
  <si>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</si>
  <si>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</si>
  <si>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</si>
  <si>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</si>
  <si>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</si>
  <si>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</si>
  <si>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</si>
  <si>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</si>
  <si>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</si>
  <si>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</si>
  <si>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</si>
  <si>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</si>
  <si>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</si>
  <si>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</si>
  <si>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</si>
  <si>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</si>
  <si>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</si>
  <si>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</si>
  <si>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</si>
  <si>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</si>
  <si>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</si>
  <si>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</si>
  <si>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</si>
  <si>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</si>
  <si>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</si>
  <si>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</si>
  <si>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</si>
  <si>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</si>
  <si>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</si>
  <si>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</si>
  <si>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</si>
  <si>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</si>
  <si>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</si>
  <si>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</si>
  <si>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</si>
  <si>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</si>
  <si>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</si>
  <si>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</si>
  <si>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</si>
  <si>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</si>
  <si>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</si>
  <si>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</si>
  <si>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</si>
  <si>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</si>
  <si>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</si>
  <si>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</si>
  <si>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</si>
  <si>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</si>
  <si>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</si>
  <si>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</si>
  <si>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</si>
  <si>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</si>
  <si>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</si>
  <si>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</si>
  <si>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</si>
  <si>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</si>
  <si>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</si>
  <si>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</si>
  <si>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</si>
  <si>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</si>
  <si>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</si>
  <si>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</si>
  <si>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</si>
  <si>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</si>
  <si>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</si>
  <si>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</si>
  <si>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</si>
  <si>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</si>
  <si>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</si>
  <si>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</si>
  <si>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</si>
  <si>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</si>
  <si>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</si>
  <si>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</si>
  <si>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</si>
  <si>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</si>
  <si>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</si>
  <si>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</si>
  <si>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</si>
  <si>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</si>
  <si>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</si>
  <si>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</si>
  <si>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</si>
  <si>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</si>
  <si>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</si>
  <si>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</si>
  <si>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</si>
  <si>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</si>
  <si>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</si>
  <si>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</si>
  <si>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</si>
  <si>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</si>
  <si>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</si>
  <si>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</si>
  <si>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</si>
  <si>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</si>
  <si>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</si>
  <si>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</si>
  <si>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</si>
  <si>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</si>
  <si>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</si>
  <si>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</si>
  <si>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</si>
  <si>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</si>
  <si>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</si>
  <si>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</si>
  <si>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</si>
  <si>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</si>
  <si>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</si>
  <si>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</si>
  <si>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</si>
  <si>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</si>
  <si>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</si>
  <si>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</si>
  <si>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</si>
  <si>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</si>
  <si>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</si>
  <si>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</si>
  <si>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</si>
  <si>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</si>
  <si>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</si>
  <si>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</si>
  <si>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</si>
  <si>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</si>
  <si>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</si>
  <si>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</si>
  <si>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</si>
  <si>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</si>
  <si>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</si>
  <si>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</si>
  <si>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</si>
  <si>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</si>
  <si>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</si>
  <si>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</si>
  <si>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</si>
  <si>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</si>
  <si>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</si>
  <si>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</si>
  <si>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</si>
  <si>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</si>
  <si>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</si>
  <si>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</si>
  <si>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</si>
  <si>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</si>
  <si>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</si>
  <si>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</si>
  <si>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</si>
  <si>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</si>
  <si>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</si>
  <si>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</si>
  <si>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</si>
  <si>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</si>
  <si>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</si>
  <si>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</si>
  <si>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</si>
  <si>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</si>
  <si>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</si>
  <si>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</si>
  <si>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</si>
  <si>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</si>
  <si>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</si>
  <si>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</si>
  <si>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</si>
  <si>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</si>
  <si>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</si>
  <si>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</si>
  <si>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</si>
  <si>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</si>
  <si>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</si>
  <si>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</si>
  <si>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</si>
  <si>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</si>
  <si>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</si>
  <si>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</si>
  <si>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</si>
  <si>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</si>
  <si>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</si>
  <si>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</si>
  <si>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</si>
  <si>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</si>
  <si>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</si>
  <si>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</si>
  <si>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</si>
  <si>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</si>
  <si>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</si>
  <si>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</si>
  <si>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</si>
  <si>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</si>
  <si>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</si>
  <si>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</si>
  <si>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</si>
  <si>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</si>
  <si>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</si>
  <si>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</si>
  <si>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</si>
  <si>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</si>
  <si>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</si>
  <si>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</si>
  <si>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</si>
  <si>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</si>
  <si>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</si>
  <si>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</si>
  <si>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</si>
  <si>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</si>
  <si>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</si>
  <si>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</si>
  <si>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</si>
  <si>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</si>
  <si>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</si>
  <si>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</si>
  <si>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</si>
  <si>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</si>
  <si>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</si>
  <si>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</si>
  <si>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</si>
  <si>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</si>
  <si>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</si>
  <si>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</si>
  <si>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</si>
  <si>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</si>
  <si>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</si>
  <si>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</si>
  <si>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</si>
  <si>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</si>
  <si>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</si>
  <si>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</si>
  <si>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</si>
  <si>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</si>
  <si>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</si>
  <si>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</si>
  <si>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</si>
  <si>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</si>
  <si>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</si>
  <si>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</si>
  <si>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</si>
  <si>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</si>
  <si>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</si>
  <si>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</si>
  <si>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</si>
  <si>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</si>
  <si>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</si>
  <si>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</si>
  <si>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</si>
  <si>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</si>
  <si>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</si>
  <si>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</si>
  <si>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</si>
  <si>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</si>
  <si>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</si>
  <si>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</si>
  <si>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</si>
  <si>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</si>
  <si>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</si>
  <si>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</si>
  <si>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</si>
  <si>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</si>
  <si>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</si>
  <si>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</si>
  <si>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</si>
  <si>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</si>
  <si>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</si>
  <si>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</si>
  <si>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</si>
  <si>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</si>
  <si>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</si>
  <si>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</si>
  <si>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</si>
  <si>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</si>
  <si>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</si>
  <si>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</si>
  <si>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</si>
  <si>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</si>
  <si>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</si>
  <si>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</si>
  <si>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</si>
  <si>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</si>
  <si>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</si>
  <si>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</si>
  <si>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</si>
  <si>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</si>
  <si>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</si>
  <si>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</si>
  <si>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</si>
  <si>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</si>
  <si>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</si>
  <si>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</si>
  <si>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</si>
  <si>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</si>
  <si>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</si>
  <si>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</si>
  <si>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</si>
  <si>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</si>
  <si>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</si>
  <si>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</si>
  <si>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</si>
  <si>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</si>
  <si>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</si>
  <si>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</si>
  <si>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</si>
  <si>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</si>
  <si>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</si>
  <si>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</si>
  <si>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</si>
  <si>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</si>
  <si>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</si>
  <si>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</si>
  <si>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</si>
  <si>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</si>
  <si>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</si>
  <si>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</si>
  <si>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</si>
  <si>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</si>
  <si>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</si>
  <si>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</si>
  <si>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</si>
  <si>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</si>
  <si>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</si>
  <si>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</si>
  <si>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</si>
  <si>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</si>
  <si>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</si>
  <si>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</si>
  <si>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</si>
  <si>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</si>
  <si>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</si>
  <si>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</si>
  <si>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</si>
  <si>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</si>
  <si>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</si>
  <si>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</si>
  <si>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</si>
  <si>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</si>
  <si>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</si>
  <si>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</si>
  <si>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</si>
  <si>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</si>
  <si>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</si>
  <si>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</si>
  <si>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</si>
  <si>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</si>
  <si>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</si>
  <si>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</si>
  <si>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</si>
  <si>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</si>
  <si>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</si>
  <si>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</si>
  <si>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</si>
  <si>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</si>
  <si>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</si>
  <si>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</si>
  <si>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</si>
  <si>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</si>
  <si>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</si>
  <si>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</si>
  <si>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</si>
  <si>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</si>
  <si>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</si>
  <si>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</si>
  <si>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</si>
  <si>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</si>
  <si>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</si>
  <si>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</si>
  <si>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</si>
  <si>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</si>
  <si>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</si>
  <si>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</si>
  <si>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</si>
  <si>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</si>
  <si>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</si>
  <si>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</si>
  <si>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</si>
  <si>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</si>
  <si>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</si>
  <si>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</si>
  <si>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</si>
  <si>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</si>
  <si>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</si>
  <si>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</si>
  <si>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</si>
  <si>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</si>
  <si>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</si>
  <si>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</si>
  <si>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</si>
  <si>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</si>
  <si>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</si>
  <si>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</si>
  <si>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</si>
  <si>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</si>
  <si>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</si>
  <si>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</si>
  <si>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</si>
  <si>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</si>
  <si>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</si>
  <si>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</si>
  <si>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</si>
  <si>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</si>
  <si>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</si>
  <si>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</si>
  <si>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</si>
  <si>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</si>
  <si>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</si>
  <si>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</si>
  <si>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</si>
  <si>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</si>
  <si>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</si>
  <si>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</si>
  <si>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</si>
  <si>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</si>
  <si>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</si>
  <si>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</si>
  <si>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</si>
  <si>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</si>
  <si>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</si>
  <si>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</si>
  <si>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</si>
  <si>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</si>
  <si>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</si>
  <si>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</si>
  <si>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</si>
  <si>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</si>
  <si>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</si>
  <si>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</si>
  <si>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</si>
  <si>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</si>
  <si>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</si>
  <si>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</si>
  <si>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</si>
  <si>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</si>
  <si>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</si>
  <si>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</si>
  <si>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</si>
  <si>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</si>
  <si>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</si>
  <si>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</si>
  <si>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</si>
  <si>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</si>
  <si>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</si>
  <si>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</si>
  <si>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</si>
  <si>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</si>
  <si>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</si>
  <si>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</si>
  <si>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</si>
  <si>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</si>
  <si>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</si>
  <si>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</si>
  <si>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</si>
  <si>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</si>
  <si>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</si>
  <si>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</si>
  <si>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</si>
  <si>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</si>
  <si>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</si>
  <si>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</si>
  <si>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</si>
  <si>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</si>
  <si>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</si>
  <si>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</si>
  <si>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</si>
  <si>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</si>
  <si>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</si>
  <si>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</si>
  <si>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</si>
  <si>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</si>
  <si>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</si>
  <si>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</si>
  <si>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</si>
  <si>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</si>
  <si>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</si>
  <si>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</si>
  <si>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</si>
  <si>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</si>
  <si>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</si>
  <si>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</si>
  <si>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</si>
  <si>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</si>
  <si>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</si>
  <si>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</si>
  <si>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</si>
  <si>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</si>
  <si>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</si>
  <si>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</si>
  <si>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</si>
  <si>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</si>
  <si>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</si>
  <si>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</si>
  <si>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</si>
  <si>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</si>
  <si>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</si>
  <si>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</si>
  <si>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</si>
  <si>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</si>
  <si>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</si>
  <si>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</si>
  <si>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</si>
  <si>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</si>
  <si>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</si>
  <si>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</si>
  <si>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</si>
  <si>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</si>
  <si>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</si>
  <si>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</si>
  <si>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</si>
  <si>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</si>
  <si>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</si>
  <si>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</si>
  <si>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</si>
  <si>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</si>
  <si>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</si>
  <si>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</si>
  <si>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</si>
  <si>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</si>
  <si>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</si>
  <si>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</si>
  <si>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</si>
  <si>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</si>
  <si>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</si>
  <si>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</si>
  <si>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</si>
  <si>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</si>
  <si>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</si>
  <si>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</si>
  <si>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</si>
  <si>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</si>
  <si>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</si>
  <si>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</si>
  <si>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</si>
  <si>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</si>
  <si>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</si>
  <si>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</si>
  <si>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</si>
  <si>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</si>
  <si>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</si>
  <si>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</si>
  <si>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</si>
  <si>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</si>
  <si>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</si>
  <si>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</si>
  <si>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</si>
  <si>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</si>
  <si>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</si>
  <si>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</si>
  <si>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</si>
  <si>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</si>
  <si>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</si>
  <si>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</si>
  <si>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</si>
  <si>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</si>
  <si>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</si>
  <si>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</si>
  <si>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</si>
  <si>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</si>
  <si>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</si>
  <si>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</si>
  <si>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</si>
  <si>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</si>
  <si>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</si>
  <si>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</si>
  <si>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</si>
  <si>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</si>
  <si>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</si>
  <si>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</si>
  <si>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</si>
  <si>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</si>
  <si>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</si>
  <si>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</si>
  <si>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</si>
  <si>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</si>
  <si>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</si>
  <si>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</si>
  <si>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</si>
  <si>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</si>
  <si>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</si>
  <si>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</si>
  <si>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</si>
  <si>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</si>
  <si>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</si>
  <si>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</si>
  <si>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</si>
  <si>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</si>
  <si>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</si>
  <si>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</si>
  <si>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</si>
  <si>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</si>
  <si>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</si>
  <si>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</si>
  <si>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</si>
  <si>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</si>
  <si>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</si>
  <si>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</si>
  <si>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</si>
  <si>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</si>
  <si>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</si>
  <si>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</si>
  <si>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</si>
  <si>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</si>
  <si>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</si>
  <si>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</si>
  <si>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</si>
  <si>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</si>
  <si>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</si>
  <si>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</si>
  <si>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</si>
  <si>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</si>
  <si>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</si>
  <si>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</si>
  <si>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</si>
  <si>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</si>
  <si>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</si>
  <si>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</si>
  <si>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</si>
  <si>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</si>
  <si>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</si>
  <si>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</si>
  <si>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</si>
  <si>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</si>
  <si>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</si>
  <si>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</si>
  <si>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</si>
  <si>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</si>
  <si>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</si>
  <si>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</si>
  <si>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</si>
  <si>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</si>
  <si>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</si>
  <si>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</si>
  <si>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</si>
  <si>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</si>
  <si>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</si>
  <si>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</si>
  <si>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</si>
  <si>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</si>
  <si>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</si>
  <si>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</si>
  <si>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</si>
  <si>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</si>
  <si>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</si>
  <si>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</si>
  <si>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</si>
  <si>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</si>
  <si>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</si>
  <si>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</si>
  <si>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</si>
  <si>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</si>
  <si>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</si>
  <si>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</si>
  <si>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</si>
  <si>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</si>
  <si>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</si>
  <si>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</si>
  <si>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</si>
  <si>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</si>
  <si>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</si>
  <si>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</si>
  <si>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</si>
  <si>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</si>
  <si>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</si>
  <si>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</si>
  <si>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</si>
  <si>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</si>
  <si>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</si>
  <si>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</si>
  <si>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</si>
  <si>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</si>
  <si>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</si>
  <si>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</si>
  <si>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</si>
  <si>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</si>
  <si>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</si>
  <si>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</si>
  <si>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</si>
  <si>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</si>
  <si>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</si>
  <si>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</si>
  <si>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</si>
  <si>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</si>
  <si>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</si>
  <si>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</si>
  <si>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</si>
  <si>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</si>
  <si>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</si>
  <si>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</si>
  <si>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</si>
  <si>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</si>
  <si>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</si>
  <si>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</si>
  <si>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</si>
  <si>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</si>
  <si>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</si>
  <si>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</si>
  <si>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</si>
  <si>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</si>
  <si>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</si>
  <si>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</si>
  <si>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</si>
  <si>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</si>
  <si>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</si>
  <si>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</si>
  <si>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</si>
  <si>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</si>
  <si>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</si>
  <si>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</si>
  <si>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</si>
  <si>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</si>
  <si>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</si>
  <si>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</si>
  <si>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</si>
  <si>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</si>
  <si>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</si>
  <si>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</si>
  <si>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</si>
  <si>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</si>
  <si>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</si>
  <si>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</si>
  <si>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</si>
  <si>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</si>
  <si>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</si>
  <si>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</si>
  <si>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</si>
  <si>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</si>
  <si>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</si>
  <si>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</si>
  <si>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</si>
  <si>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</si>
  <si>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</si>
  <si>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</si>
  <si>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</si>
  <si>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</si>
  <si>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</si>
  <si>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</si>
  <si>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</si>
  <si>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</si>
  <si>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</si>
  <si>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</si>
  <si>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</si>
  <si>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</si>
  <si>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</si>
  <si>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</si>
  <si>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</si>
  <si>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</si>
  <si>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</si>
  <si>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</si>
  <si>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</si>
  <si>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</si>
  <si>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</si>
  <si>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</si>
  <si>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</si>
  <si>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</si>
  <si>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</si>
  <si>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</si>
  <si>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</si>
  <si>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</si>
  <si>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</si>
  <si>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</si>
  <si>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</si>
  <si>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</si>
  <si>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</si>
  <si>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</si>
  <si>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</si>
  <si>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</si>
  <si>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</si>
  <si>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</si>
  <si>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</si>
  <si>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</si>
  <si>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</si>
  <si>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</si>
  <si>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</si>
  <si>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</si>
  <si>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</si>
  <si>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</si>
  <si>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</si>
  <si>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</si>
  <si>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</si>
  <si>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</si>
  <si>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</si>
  <si>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</si>
  <si>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</si>
  <si>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</si>
  <si>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</si>
  <si>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</si>
  <si>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</si>
  <si>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</si>
  <si>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</si>
  <si>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</si>
  <si>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</si>
  <si>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</si>
  <si>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</si>
  <si>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</si>
  <si>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</si>
  <si>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</si>
  <si>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</si>
  <si>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</si>
  <si>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</si>
  <si>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</si>
  <si>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</si>
  <si>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</si>
  <si>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</si>
  <si>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</si>
  <si>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</si>
  <si>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</si>
  <si>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</si>
  <si>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</si>
  <si>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</si>
  <si>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</si>
  <si>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</si>
  <si>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</si>
  <si>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</si>
  <si>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</si>
  <si>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</si>
  <si>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</si>
  <si>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</si>
  <si>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</si>
  <si>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</si>
  <si>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</si>
  <si>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</si>
  <si>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</si>
  <si>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</si>
  <si>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</si>
  <si>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</si>
  <si>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</si>
  <si>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</si>
  <si>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</si>
  <si>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</si>
  <si>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</si>
  <si>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</si>
  <si>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</si>
  <si>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</si>
  <si>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</si>
  <si>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</si>
  <si>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</si>
  <si>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</si>
  <si>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</si>
  <si>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</si>
  <si>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</si>
  <si>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</si>
  <si>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</si>
  <si>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</si>
  <si>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</si>
  <si>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</si>
  <si>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</si>
  <si>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</si>
  <si>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</si>
  <si>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</si>
  <si>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</si>
  <si>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</si>
  <si>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</si>
  <si>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</si>
  <si>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</si>
  <si>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</si>
  <si>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</si>
  <si>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</si>
  <si>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</si>
  <si>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</si>
  <si>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</si>
  <si>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</si>
  <si>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</si>
  <si>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</si>
  <si>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</si>
  <si>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</si>
  <si>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</si>
  <si>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</si>
  <si>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</si>
  <si>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</si>
  <si>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</si>
  <si>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</si>
  <si>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</si>
  <si>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</si>
  <si>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</si>
  <si>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</si>
  <si>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</si>
  <si>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</si>
  <si>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</si>
  <si>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</si>
  <si>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</si>
  <si>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</si>
  <si>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</si>
  <si>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</si>
  <si>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</si>
  <si>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</si>
  <si>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</si>
  <si>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</si>
  <si>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</si>
  <si>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</si>
  <si>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</si>
  <si>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</si>
  <si>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</si>
  <si>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</si>
  <si>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</si>
  <si>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</si>
  <si>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</si>
  <si>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</si>
  <si>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</si>
  <si>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</si>
  <si>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</si>
  <si>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</si>
  <si>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</si>
  <si>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</si>
  <si>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</si>
  <si>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</si>
  <si>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</si>
  <si>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</si>
  <si>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</si>
  <si>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</si>
  <si>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</si>
  <si>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</si>
  <si>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</si>
  <si>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</si>
  <si>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</si>
  <si>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</si>
  <si>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</si>
  <si>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</si>
  <si>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</si>
  <si>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</si>
  <si>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</si>
  <si>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</si>
  <si>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</si>
  <si>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</si>
  <si>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</si>
  <si>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</si>
  <si>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</si>
  <si>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</si>
  <si>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</si>
  <si>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</si>
  <si>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</si>
  <si>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</si>
  <si>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</si>
  <si>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</si>
  <si>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</si>
  <si>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</si>
  <si>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</si>
  <si>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</si>
  <si>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</si>
  <si>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</si>
  <si>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</si>
  <si>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</si>
  <si>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</si>
  <si>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</si>
  <si>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</si>
  <si>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</si>
  <si>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</si>
  <si>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</si>
  <si>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</si>
  <si>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</si>
  <si>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</si>
  <si>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</si>
  <si>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</si>
  <si>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</si>
  <si>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</si>
  <si>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</si>
  <si>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</si>
  <si>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</si>
  <si>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</si>
  <si>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</si>
  <si>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</si>
  <si>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</si>
  <si>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</si>
  <si>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</si>
  <si>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</si>
  <si>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</si>
  <si>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</si>
  <si>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</si>
  <si>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</si>
  <si>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</si>
  <si>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</si>
  <si>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</si>
  <si>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</si>
  <si>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</si>
  <si>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</si>
  <si>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</si>
  <si>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</si>
  <si>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</si>
  <si>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</si>
  <si>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</si>
  <si>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</si>
  <si>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</si>
  <si>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</si>
  <si>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</si>
  <si>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</si>
  <si>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</si>
  <si>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</si>
  <si>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</si>
  <si>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</si>
  <si>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</si>
  <si>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</si>
  <si>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</si>
  <si>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</si>
  <si>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</si>
  <si>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</si>
  <si>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</si>
  <si>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</si>
  <si>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</si>
  <si>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</si>
  <si>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</si>
  <si>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</si>
  <si>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</si>
  <si>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</si>
  <si>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</si>
  <si>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</si>
  <si>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</si>
  <si>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</si>
  <si>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</si>
  <si>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</si>
  <si>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</si>
  <si>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</si>
  <si>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</si>
  <si>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</si>
  <si>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</si>
  <si>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</si>
  <si>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</si>
  <si>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</si>
  <si>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</si>
  <si>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</si>
  <si>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</si>
  <si>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</si>
  <si>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</si>
  <si>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</si>
  <si>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</si>
  <si>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</si>
  <si>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</si>
  <si>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</si>
  <si>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</si>
  <si>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</si>
  <si>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</si>
  <si>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</si>
  <si>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</si>
  <si>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</si>
  <si>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</si>
  <si>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</si>
  <si>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</si>
  <si>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</si>
  <si>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</si>
  <si>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</si>
  <si>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</si>
  <si>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</si>
  <si>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</si>
  <si>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</si>
  <si>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</si>
  <si>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</si>
  <si>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</si>
  <si>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</si>
  <si>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</si>
  <si>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</si>
  <si>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</si>
  <si>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</si>
  <si>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</si>
  <si>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</si>
  <si>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</si>
  <si>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</si>
  <si>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</si>
  <si>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</si>
  <si>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</si>
  <si>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</si>
  <si>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</si>
  <si>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</si>
  <si>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</si>
  <si>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</si>
  <si>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</si>
  <si>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</si>
  <si>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</si>
  <si>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</si>
  <si>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</si>
  <si>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</si>
  <si>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</si>
  <si>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</si>
  <si>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</si>
  <si>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</si>
  <si>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</si>
  <si>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</si>
  <si>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</si>
  <si>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</si>
  <si>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</si>
  <si>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</si>
  <si>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</si>
  <si>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</si>
  <si>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</si>
  <si>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</si>
  <si>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</si>
  <si>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</si>
  <si>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</si>
  <si>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</si>
  <si>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</si>
  <si>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</si>
  <si>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</si>
  <si>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</si>
  <si>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</si>
  <si>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</si>
  <si>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</si>
  <si>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</si>
  <si>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</si>
  <si>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</si>
  <si>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</si>
  <si>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</si>
  <si>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</si>
  <si>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</si>
  <si>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</si>
  <si>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</si>
  <si>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</si>
  <si>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</si>
  <si>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</si>
  <si>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</si>
  <si>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</si>
  <si>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</si>
  <si>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</si>
  <si>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</si>
  <si>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</si>
  <si>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</si>
  <si>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</si>
  <si>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</si>
  <si>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</si>
  <si>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</si>
  <si>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</si>
  <si>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</si>
  <si>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</si>
  <si>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</si>
  <si>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</si>
  <si>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</si>
  <si>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</si>
  <si>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</si>
  <si>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</si>
  <si>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</si>
  <si>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</si>
  <si>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</si>
  <si>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</si>
  <si>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</si>
  <si>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</si>
  <si>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</si>
  <si>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</si>
  <si>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</si>
  <si>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</si>
  <si>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</si>
  <si>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</si>
  <si>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</si>
  <si>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</si>
  <si>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</si>
  <si>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</si>
  <si>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</si>
  <si>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</si>
  <si>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</si>
  <si>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</si>
  <si>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</si>
  <si>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</si>
  <si>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</si>
  <si>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</si>
  <si>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</si>
  <si>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</si>
  <si>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</si>
  <si>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</si>
  <si>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</si>
  <si>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</si>
  <si>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</si>
  <si>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</si>
  <si>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</si>
  <si>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</si>
  <si>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</si>
  <si>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</si>
  <si>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</si>
  <si>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</si>
  <si>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</si>
  <si>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</si>
  <si>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</si>
  <si>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</si>
  <si>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</si>
  <si>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</si>
  <si>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</si>
  <si>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</si>
  <si>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</si>
  <si>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</si>
  <si>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</si>
  <si>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</si>
  <si>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</si>
  <si>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</si>
  <si>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</si>
  <si>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</si>
  <si>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</si>
  <si>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</si>
  <si>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</si>
  <si>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</si>
  <si>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</si>
  <si>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</si>
  <si>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</si>
  <si>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</si>
  <si>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</si>
  <si>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</si>
  <si>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</si>
  <si>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</si>
  <si>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</si>
  <si>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</si>
  <si>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</si>
  <si>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</si>
  <si>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</si>
  <si>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</si>
  <si>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</si>
  <si>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</si>
  <si>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</si>
  <si>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</si>
  <si>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</si>
  <si>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</si>
  <si>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</si>
  <si>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</si>
  <si>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</si>
  <si>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</si>
  <si>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</si>
  <si>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</si>
  <si>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</si>
  <si>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</si>
  <si>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</si>
  <si>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</si>
  <si>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</si>
  <si>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</si>
  <si>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</si>
  <si>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</si>
  <si>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</si>
  <si>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</si>
  <si>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</si>
  <si>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</si>
  <si>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</si>
  <si>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</si>
  <si>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</si>
  <si>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</si>
  <si>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</si>
  <si>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</si>
  <si>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</si>
  <si>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</si>
  <si>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</si>
  <si>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</si>
  <si>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</si>
  <si>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</si>
  <si>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</si>
  <si>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</si>
  <si>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</si>
  <si>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</si>
  <si>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</si>
  <si>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</si>
  <si>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</si>
  <si>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</si>
  <si>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</si>
  <si>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</si>
  <si>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</si>
  <si>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</si>
  <si>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</si>
  <si>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</si>
  <si>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</si>
  <si>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</si>
  <si>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</si>
  <si>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</si>
  <si>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</si>
  <si>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</si>
  <si>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</si>
  <si>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</si>
  <si>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</si>
  <si>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</si>
  <si>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</si>
  <si>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</si>
  <si>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</si>
  <si>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</si>
  <si>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</si>
  <si>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</si>
  <si>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</si>
  <si>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</si>
  <si>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</si>
  <si>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</si>
  <si>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</si>
  <si>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</si>
  <si>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</si>
  <si>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</si>
  <si>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</si>
  <si>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</si>
  <si>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</si>
  <si>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</si>
  <si>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</si>
  <si>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</si>
  <si>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</si>
  <si>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</si>
  <si>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</si>
  <si>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</si>
  <si>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</si>
  <si>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</si>
  <si>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</si>
  <si>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</si>
  <si>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</si>
  <si>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</si>
  <si>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</si>
  <si>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</si>
  <si>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</si>
  <si>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</si>
  <si>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</si>
  <si>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</si>
  <si>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</si>
  <si>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</si>
  <si>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</si>
  <si>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</si>
  <si>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</si>
  <si>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</si>
  <si>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</si>
  <si>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</si>
  <si>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</si>
  <si>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</si>
  <si>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</si>
  <si>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</si>
  <si>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</si>
  <si>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</si>
  <si>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</si>
  <si>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</si>
  <si>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</si>
  <si>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</si>
  <si>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</si>
  <si>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</si>
  <si>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</si>
  <si>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</si>
  <si>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</si>
  <si>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</si>
  <si>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</si>
  <si>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</si>
  <si>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</si>
  <si>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</si>
  <si>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</si>
  <si>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</si>
  <si>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</si>
  <si>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</si>
  <si>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</si>
  <si>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</si>
  <si>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</si>
  <si>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</si>
  <si>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</si>
  <si>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</si>
  <si>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</si>
  <si>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</si>
  <si>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</si>
  <si>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</si>
  <si>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</si>
  <si>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</si>
  <si>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</si>
  <si>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</si>
  <si>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</si>
  <si>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</si>
  <si>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</si>
  <si>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</si>
  <si>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</si>
  <si>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</si>
  <si>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</si>
  <si>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</si>
  <si>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</si>
  <si>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</si>
  <si>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</si>
  <si>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</si>
  <si>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</si>
  <si>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</si>
  <si>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</si>
  <si>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</si>
  <si>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</si>
  <si>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</si>
  <si>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</si>
  <si>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</si>
  <si>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</si>
  <si>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</si>
  <si>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</si>
  <si>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</si>
  <si>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</si>
  <si>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</si>
  <si>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</si>
  <si>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</si>
  <si>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</si>
  <si>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</si>
  <si>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</si>
  <si>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</si>
  <si>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</si>
  <si>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</si>
  <si>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</si>
  <si>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</si>
  <si>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</si>
  <si>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</si>
  <si>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</si>
  <si>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</si>
  <si>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</si>
  <si>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</si>
  <si>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</si>
  <si>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</si>
  <si>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</si>
  <si>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</si>
  <si>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</si>
  <si>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</si>
  <si>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</si>
  <si>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</si>
  <si>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</si>
  <si>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</si>
  <si>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</si>
  <si>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</si>
  <si>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</si>
  <si>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</si>
  <si>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</si>
  <si>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</si>
  <si>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</si>
  <si>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</si>
  <si>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</si>
  <si>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</si>
  <si>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</si>
  <si>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</si>
  <si>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</si>
  <si>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</si>
  <si>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</si>
  <si>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</si>
  <si>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</si>
  <si>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</si>
  <si>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</si>
  <si>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</si>
  <si>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</si>
  <si>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</si>
  <si>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</si>
  <si>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</si>
  <si>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</si>
  <si>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</si>
  <si>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</si>
  <si>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</si>
  <si>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</si>
  <si>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</si>
  <si>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Conway School District</t>
  </si>
  <si>
    <t>Seidenstuecker Scholarship</t>
  </si>
  <si>
    <t>12/03</t>
  </si>
  <si>
    <t>7/16</t>
  </si>
  <si>
    <t>7/17</t>
  </si>
  <si>
    <t>6/18</t>
  </si>
  <si>
    <t>1/2024</t>
  </si>
  <si>
    <t>8/2036</t>
  </si>
  <si>
    <t>8/2037</t>
  </si>
  <si>
    <t>8/2038</t>
  </si>
  <si>
    <t>A. Crosby Kennett Middle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</si>
</sst>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3">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0" activePane="bottomRight" state="frozen"/>
      <selection pane="topRight" activeCell="F1" sqref="F1"/>
      <selection pane="bottomLeft" activeCell="A4" sqref="A4"/>
      <selection pane="bottomRight" activeCell="I666" sqref="I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113</v>
      </c>
      <c r="C2" s="21">
        <v>113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2992389.38</v>
      </c>
      <c r="G9" s="18">
        <v>604352.49</v>
      </c>
      <c r="H9" s="18"/>
      <c r="I9" s="18"/>
      <c r="J9" s="67">
        <f>SUM(I440)</f>
        <v>1743792.01</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649332.74</v>
      </c>
      <c r="G12" s="18"/>
      <c r="H12" s="18"/>
      <c r="I12" s="18">
        <v>40040</v>
      </c>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140223.87</v>
      </c>
      <c r="G13" s="18">
        <v>50074.47</v>
      </c>
      <c r="H13" s="18">
        <v>76257</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3781945.99</v>
      </c>
      <c r="G19" s="41">
        <f>SUM(G9:G18)</f>
        <v>654426.96</v>
      </c>
      <c r="H19" s="41">
        <f>SUM(H9:H18)</f>
        <v>76257</v>
      </c>
      <c r="I19" s="41">
        <f>SUM(I9:I18)</f>
        <v>40040</v>
      </c>
      <c r="J19" s="41">
        <f>SUM(J9:J18)</f>
        <v>1743792.01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38130.92</v>
      </c>
      <c r="G22" s="18">
        <v>649332.74</v>
      </c>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644378.43000000005</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621923.23</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1304432.58</v>
      </c>
      <c r="G32" s="41">
        <f>SUM(G22:G31)</f>
        <v>649332.74</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2000</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241537</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3094.22</v>
      </c>
      <c r="H48" s="18">
        <v>76257</v>
      </c>
      <c r="I48" s="18">
        <v>40040</v>
      </c>
      <c r="J48" s="13">
        <f>SUM(I460)</f>
        <v>1743792.01</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2235976.41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2477513.41</v>
      </c>
      <c r="G51" s="41">
        <f>SUM(G35:G50)</f>
        <v>5094.2199999999993</v>
      </c>
      <c r="H51" s="41">
        <f>SUM(H35:H50)</f>
        <v>76257</v>
      </c>
      <c r="I51" s="41">
        <f>SUM(I35:I50)</f>
        <v>40040</v>
      </c>
      <c r="J51" s="41">
        <f>SUM(J35:J50)</f>
        <v>1743792.01</v>
      </c>
      <c r="K51" s="45" t="s">
        <v>288</v>
      </c>
      <c r="L51" s="45" t="s">
        <v>288</v>
      </c>
      <c r="N51" s="264"/>
    </row>
    <row r="52" spans="1:14" s="3" customFormat="1" ht="12.2" customHeight="1" thickTop="1" x14ac:dyDescent="0.15">
      <c r="A52" s="38" t="s">
        <v>455</v>
      </c>
      <c r="B52" s="39" t="s">
        <v>289</v>
      </c>
      <c r="C52" s="6">
        <v>37</v>
      </c>
      <c r="D52" s="39" t="s">
        <v>653</v>
      </c>
      <c r="E52" s="39"/>
      <c r="F52" s="41">
        <f>F51+F32</f>
        <v>3781945.99</v>
      </c>
      <c r="G52" s="41">
        <f>G51+G32</f>
        <v>654426.96</v>
      </c>
      <c r="H52" s="41">
        <f>H51+H32</f>
        <v>76257</v>
      </c>
      <c r="I52" s="41">
        <f>I51+I32</f>
        <v>40040</v>
      </c>
      <c r="J52" s="41">
        <f>J51+J32</f>
        <v>1743792.01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15987267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15987267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f>SUM(46862+133874+548136+1045139+1775799+6671171+1117+7347+35546)</f>
        <v>10264991</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f>SUM(7226.84+30091)</f>
        <v>37317.839999999997</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10302308.84</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f>SUM(12433.24+2305.03)</f>
        <v>14738.27</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14738.27</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18633.87</v>
      </c>
      <c r="G96" s="18"/>
      <c r="H96" s="18"/>
      <c r="I96" s="18"/>
      <c r="J96" s="18">
        <v>21016.959999999999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203004.71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4106.08</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10994.69</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1384</v>
      </c>
      <c r="G102" s="18"/>
      <c r="H102" s="18">
        <v>137934.25</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v>5500</v>
      </c>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f>SUM(43318.35+64399.34+59871.2+53602.93)</f>
        <v>221191.82</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v>23741</v>
      </c>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2</v>
      </c>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SUM(33831.43+2868.4+3581.4)+256.41</f>
        <v>40537.640000000007</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326091.10000000003</v>
      </c>
      <c r="G111" s="41">
        <f>SUM(G96:G110)</f>
        <v>203004.71</v>
      </c>
      <c r="H111" s="41">
        <f>SUM(H96:H110)</f>
        <v>137934.25</v>
      </c>
      <c r="I111" s="41">
        <f>SUM(I96:I110)</f>
        <v>0</v>
      </c>
      <c r="J111" s="41">
        <f>SUM(J96:J110)</f>
        <v>21016.959999999999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26630405.210000001</v>
      </c>
      <c r="G112" s="41">
        <f>G60+G111</f>
        <v>203004.71</v>
      </c>
      <c r="H112" s="41">
        <f>H60+H79+H94+H111</f>
        <v>137934.25</v>
      </c>
      <c r="I112" s="41">
        <f>I60+I111</f>
        <v>0</v>
      </c>
      <c r="J112" s="41">
        <f>J60+J111</f>
        <v>21016.959999999999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3154567.95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3335752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f>4982.71-256.41</f>
        <v>4726.3</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6495046.25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1059831.67</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143196.71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7260.53</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24332.959999999999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1203028.3799999999</v>
      </c>
      <c r="G136" s="41">
        <f>SUM(G123:G135)</f>
        <v>24332.959999999999</v>
      </c>
      <c r="H136" s="41">
        <f>SUM(H123:H135)</f>
        <v>7260.53</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7698074.6299999999</v>
      </c>
      <c r="G140" s="41">
        <f>G121+SUM(G136:G137)</f>
        <v>24332.959999999999</v>
      </c>
      <c r="H140" s="41">
        <f>H121+SUM(H136:H139)</f>
        <v>7260.53</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540695.86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430481.84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84754.78</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37583.480000000003</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436494.43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471106.54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9950.93</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9950.93</v>
      </c>
      <c r="G163" s="41">
        <f>SUM(G150:G162)</f>
        <v>436494.43</v>
      </c>
      <c r="H163" s="41">
        <f>SUM(H150:H162)</f>
        <v>1564622.5</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785.59</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10736.52</v>
      </c>
      <c r="G170" s="41">
        <f>G147+G163+SUM(G164:G169)</f>
        <v>436494.43</v>
      </c>
      <c r="H170" s="41">
        <f>H147+H163+SUM(H164:H169)</f>
        <v>1564622.5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331429</v>
      </c>
      <c r="K180" s="24" t="s">
        <v>288</v>
      </c>
      <c r="L180" s="24" t="s">
        <v>288</v>
      </c>
      <c r="M180" s="8"/>
      <c r="N180" s="266"/>
    </row>
    <row r="181" spans="1:14" s="3" customFormat="1" ht="12.2" customHeight="1" x14ac:dyDescent="0.15">
      <c r="A181" s="1" t="s">
        <v>525</v>
      </c>
      <c r="B181" s="2" t="s">
        <v>330</v>
      </c>
      <c r="C181" s="6">
        <v>7</v>
      </c>
      <c r="D181" s="2" t="s">
        <v>430</v>
      </c>
      <c r="E181" s="6">
        <v>5221</v>
      </c>
      <c r="F181" s="18">
        <f>SUM(436494.43+24332.96+203004.71)</f>
        <v>663832.1</v>
      </c>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663832.1</v>
      </c>
      <c r="G184" s="41">
        <f>SUM(G180:G183)</f>
        <v>0</v>
      </c>
      <c r="H184" s="41">
        <f>SUM(H180:H183)</f>
        <v>0</v>
      </c>
      <c r="I184" s="41">
        <f>SUM(I180:I183)</f>
        <v>0</v>
      </c>
      <c r="J184" s="41">
        <f>SUM(J180:J183)</f>
        <v>331429</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207475</v>
      </c>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207475</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871307.1</v>
      </c>
      <c r="G193" s="41">
        <f>G184+SUM(G189:G192)</f>
        <v>0</v>
      </c>
      <c r="H193" s="41">
        <f>+H184+SUM(H189:H192)</f>
        <v>0</v>
      </c>
      <c r="I193" s="41">
        <f>I178+I184+SUM(I189:I192)</f>
        <v>0</v>
      </c>
      <c r="J193" s="41">
        <f>J184</f>
        <v>331429</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35210523.460000008</v>
      </c>
      <c r="G194" s="47">
        <f>G112+G140+G170+G193</f>
        <v>663832.1</v>
      </c>
      <c r="H194" s="47">
        <f>H112+H140+H170+H193</f>
        <v>1709817.28</v>
      </c>
      <c r="I194" s="47">
        <f>I112+I140+I170+I193</f>
        <v>0</v>
      </c>
      <c r="J194" s="47">
        <f>J112+J140+J193</f>
        <v>352445.96</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SUM(2684293.85+76294.71+60539)</f>
        <v>2821127.56</v>
      </c>
      <c r="G198" s="18">
        <f>SUM(1729509.63+30177.61+33402.13+1305013.19-420107.53)</f>
        <v>2677995.0299999993</v>
      </c>
      <c r="H198" s="18">
        <f>SUM(15931.11+4259.13+182.43)</f>
        <v>20372.670000000002</v>
      </c>
      <c r="I198" s="18">
        <f>SUM(128295.69+14423.75)</f>
        <v>142719.44</v>
      </c>
      <c r="J198" s="18">
        <f>SUM(19238.51+87290.92+25709.35)</f>
        <v>132238.78</v>
      </c>
      <c r="K198" s="18"/>
      <c r="L198" s="19">
        <f>SUM(F198:K198)</f>
        <v>5794453.4800000004</v>
      </c>
      <c r="M198" s="8"/>
      <c r="N198" s="266"/>
    </row>
    <row r="199" spans="1:14" s="3" customFormat="1" ht="12.2" customHeight="1" x14ac:dyDescent="0.15">
      <c r="A199" s="1" t="s">
        <v>439</v>
      </c>
      <c r="B199" s="2" t="s">
        <v>341</v>
      </c>
      <c r="C199" s="2" t="s">
        <v>291</v>
      </c>
      <c r="D199" s="2" t="s">
        <v>431</v>
      </c>
      <c r="E199" s="6">
        <v>1200</v>
      </c>
      <c r="F199" s="18">
        <f>SUM(1060860.94+158386.68+39444.99)</f>
        <v>1258692.6099999999</v>
      </c>
      <c r="G199" s="18">
        <f>SUM(894898.17+93844.67+23862.1)</f>
        <v>1012604.9400000001</v>
      </c>
      <c r="H199" s="18">
        <f>SUM(245676.65+257.15)</f>
        <v>245933.8</v>
      </c>
      <c r="I199" s="18">
        <f>SUM(1140.52+358.97+170.33)</f>
        <v>1669.82</v>
      </c>
      <c r="J199" s="18"/>
      <c r="K199" s="18"/>
      <c r="L199" s="19">
        <f>SUM(F199:K199)</f>
        <v>2518901.1699999995</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18541.71</v>
      </c>
      <c r="G201" s="18">
        <v>1418.46</v>
      </c>
      <c r="H201" s="18">
        <f>SUM(4038.84+323.64)</f>
        <v>4362.4800000000005</v>
      </c>
      <c r="I201" s="18">
        <v>1141.46</v>
      </c>
      <c r="J201" s="18"/>
      <c r="K201" s="18"/>
      <c r="L201" s="19">
        <f>SUM(F201:K201)</f>
        <v>25464.109999999997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SUM(149800+153172+125901+20934.22+106020.8+23608.65)</f>
        <v>579436.67000000004</v>
      </c>
      <c r="G203" s="18">
        <f>SUM(99152.94+101519.02+78735.66+18000.34+92105.04+15993.37)</f>
        <v>405506.37</v>
      </c>
      <c r="H203" s="18">
        <f>SUM(2883.27+21383+360+364.68+83172.71+35356.25+101.52)</f>
        <v>143621.43</v>
      </c>
      <c r="I203" s="18">
        <f>SUM(796.41+596.02+3282.68+696.29)</f>
        <v>5371.4</v>
      </c>
      <c r="J203" s="18">
        <v>188.3</v>
      </c>
      <c r="K203" s="18">
        <v>240</v>
      </c>
      <c r="L203" s="19">
        <f t="shared" ref="L203:L209" si="0">SUM(F203:K203)</f>
        <v>1134364.17</v>
      </c>
      <c r="M203" s="8"/>
      <c r="N203" s="266"/>
    </row>
    <row r="204" spans="1:14" s="3" customFormat="1" ht="12.2" customHeight="1" x14ac:dyDescent="0.15">
      <c r="A204" s="1" t="s">
        <v>443</v>
      </c>
      <c r="B204" s="2" t="s">
        <v>341</v>
      </c>
      <c r="C204" s="2" t="s">
        <v>295</v>
      </c>
      <c r="D204" s="2" t="s">
        <v>431</v>
      </c>
      <c r="E204" s="6">
        <v>2200</v>
      </c>
      <c r="F204" s="18">
        <f>SUM(125033+5850)</f>
        <v>130883</v>
      </c>
      <c r="G204" s="18">
        <f>SUM(94212.84+16207.6+1392.92)</f>
        <v>111813.36</v>
      </c>
      <c r="H204" s="18">
        <f>SUM(13026.36+314.27+5803.67)</f>
        <v>19144.300000000003</v>
      </c>
      <c r="I204" s="18">
        <f>SUM(23849.19+3275.54)</f>
        <v>27124.73</v>
      </c>
      <c r="J204" s="18">
        <v>1312.86</v>
      </c>
      <c r="K204" s="18"/>
      <c r="L204" s="19">
        <f t="shared" si="0"/>
        <v>290278.24999999994</v>
      </c>
      <c r="M204" s="8"/>
      <c r="N204" s="266"/>
    </row>
    <row r="205" spans="1:14" s="3" customFormat="1" ht="12.2" customHeight="1" x14ac:dyDescent="0.15">
      <c r="A205" s="1" t="s">
        <v>444</v>
      </c>
      <c r="B205" s="2" t="s">
        <v>341</v>
      </c>
      <c r="C205" s="2" t="s">
        <v>296</v>
      </c>
      <c r="D205" s="2" t="s">
        <v>431</v>
      </c>
      <c r="E205" s="6">
        <v>2300</v>
      </c>
      <c r="F205" s="18">
        <v>8775</v>
      </c>
      <c r="G205" s="18">
        <v>730.04</v>
      </c>
      <c r="H205" s="18">
        <v>512198.56</v>
      </c>
      <c r="I205" s="18">
        <v>1146.78</v>
      </c>
      <c r="J205" s="18"/>
      <c r="K205" s="18">
        <v>2147.44</v>
      </c>
      <c r="L205" s="19">
        <f t="shared" si="0"/>
        <v>524997.81999999995</v>
      </c>
      <c r="M205" s="8"/>
      <c r="N205" s="266"/>
    </row>
    <row r="206" spans="1:14" s="3" customFormat="1" ht="12.2" customHeight="1" x14ac:dyDescent="0.15">
      <c r="A206" s="1" t="s">
        <v>445</v>
      </c>
      <c r="B206" s="2" t="s">
        <v>341</v>
      </c>
      <c r="C206" s="2" t="s">
        <v>297</v>
      </c>
      <c r="D206" s="2" t="s">
        <v>431</v>
      </c>
      <c r="E206" s="6">
        <v>2400</v>
      </c>
      <c r="F206" s="18">
        <v>392351.59</v>
      </c>
      <c r="G206" s="18">
        <v>194694.51</v>
      </c>
      <c r="H206" s="18">
        <f>SUM(53828.96+11394.31)</f>
        <v>65223.27</v>
      </c>
      <c r="I206" s="18">
        <f>SUM(3455.03+580.02)</f>
        <v>4035.05</v>
      </c>
      <c r="J206" s="18">
        <f>SUM(2355.17+800)</f>
        <v>3155.17</v>
      </c>
      <c r="K206" s="18">
        <v>3061</v>
      </c>
      <c r="L206" s="19">
        <f t="shared" si="0"/>
        <v>662520.5900000002</v>
      </c>
      <c r="M206" s="8"/>
      <c r="N206" s="266"/>
    </row>
    <row r="207" spans="1:14" s="3" customFormat="1" ht="12.2" customHeight="1" x14ac:dyDescent="0.15">
      <c r="A207" s="1" t="s">
        <v>446</v>
      </c>
      <c r="B207" s="2" t="s">
        <v>341</v>
      </c>
      <c r="C207" s="2" t="s">
        <v>298</v>
      </c>
      <c r="D207" s="2" t="s">
        <v>431</v>
      </c>
      <c r="E207" s="6">
        <v>2500</v>
      </c>
      <c r="F207" s="18"/>
      <c r="G207" s="18"/>
      <c r="H207" s="18">
        <f>SUM(413441.98-5654.75)</f>
        <v>407787.23</v>
      </c>
      <c r="I207" s="18"/>
      <c r="J207" s="18"/>
      <c r="K207" s="18"/>
      <c r="L207" s="19">
        <f t="shared" si="0"/>
        <v>407787.23</v>
      </c>
      <c r="M207" s="8"/>
      <c r="N207" s="266"/>
    </row>
    <row r="208" spans="1:14" s="3" customFormat="1" ht="12.2" customHeight="1" x14ac:dyDescent="0.15">
      <c r="A208" s="1" t="s">
        <v>447</v>
      </c>
      <c r="B208" s="2" t="s">
        <v>341</v>
      </c>
      <c r="C208" s="2" t="s">
        <v>299</v>
      </c>
      <c r="D208" s="2" t="s">
        <v>431</v>
      </c>
      <c r="E208" s="6">
        <v>2600</v>
      </c>
      <c r="F208" s="18">
        <f>SUM(182819.78+117127.12)</f>
        <v>299946.90000000002</v>
      </c>
      <c r="G208" s="18">
        <f>SUM(119005.58+62554.27)</f>
        <v>181559.85</v>
      </c>
      <c r="H208" s="18">
        <f>SUM(338590.43+41534.25+135891.22)</f>
        <v>516015.9</v>
      </c>
      <c r="I208" s="18">
        <f>SUM(198975.11+4772.51+1768.63)</f>
        <v>205516.25</v>
      </c>
      <c r="J208" s="18">
        <f>SUM(16022.75+3262.98+27926.87)</f>
        <v>47212.6</v>
      </c>
      <c r="K208" s="18"/>
      <c r="L208" s="19">
        <f t="shared" si="0"/>
        <v>1250251.5</v>
      </c>
      <c r="M208" s="8"/>
      <c r="N208" s="266"/>
    </row>
    <row r="209" spans="1:14" s="3" customFormat="1" ht="12.2" customHeight="1" x14ac:dyDescent="0.15">
      <c r="A209" s="1" t="s">
        <v>448</v>
      </c>
      <c r="B209" s="2" t="s">
        <v>341</v>
      </c>
      <c r="C209" s="2" t="s">
        <v>300</v>
      </c>
      <c r="D209" s="2" t="s">
        <v>431</v>
      </c>
      <c r="E209" s="6">
        <v>2700</v>
      </c>
      <c r="F209" s="18">
        <f>SUM(4410.97+4695.3+11377.14+6997.52+90134.39)</f>
        <v>117615.32</v>
      </c>
      <c r="G209" s="18">
        <f>SUM(1131.66+393.57+848.51+1211.48+514.96+577.09+58876.44)</f>
        <v>63553.710000000006</v>
      </c>
      <c r="H209" s="18">
        <f>SUM(44250+11338.89)</f>
        <v>55588.89</v>
      </c>
      <c r="I209" s="18">
        <v>26699.89</v>
      </c>
      <c r="J209" s="18">
        <v>62681.58</v>
      </c>
      <c r="K209" s="18"/>
      <c r="L209" s="19">
        <f t="shared" si="0"/>
        <v>326139.39000000007</v>
      </c>
      <c r="M209" s="8"/>
      <c r="N209" s="266"/>
    </row>
    <row r="210" spans="1:14" s="3" customFormat="1" ht="12.2" customHeight="1" x14ac:dyDescent="0.15">
      <c r="A210" s="1" t="s">
        <v>449</v>
      </c>
      <c r="B210" s="2" t="s">
        <v>341</v>
      </c>
      <c r="C210" s="2" t="s">
        <v>343</v>
      </c>
      <c r="D210" s="2" t="s">
        <v>431</v>
      </c>
      <c r="E210" s="6">
        <v>2800</v>
      </c>
      <c r="F210" s="18"/>
      <c r="G210" s="18"/>
      <c r="H210" s="18">
        <v>1176.56</v>
      </c>
      <c r="I210" s="18"/>
      <c r="J210" s="18"/>
      <c r="K210" s="18"/>
      <c r="L210" s="19">
        <f>SUM(F210:K210)</f>
        <v>1176.56</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5627370.3600000003</v>
      </c>
      <c r="G212" s="41">
        <f t="shared" si="1"/>
        <v>4649876.2699999986</v>
      </c>
      <c r="H212" s="41">
        <f t="shared" si="1"/>
        <v>1991425.09</v>
      </c>
      <c r="I212" s="41">
        <f t="shared" si="1"/>
        <v>415424.82</v>
      </c>
      <c r="J212" s="41">
        <f t="shared" si="1"/>
        <v>246789.28999999998</v>
      </c>
      <c r="K212" s="41">
        <f t="shared" si="1"/>
        <v>5448.4400000000005</v>
      </c>
      <c r="L212" s="41">
        <f t="shared" si="1"/>
        <v>12936334.270000001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SUM(1046702.17+41616+26388.79)</f>
        <v>1114706.96</v>
      </c>
      <c r="G216" s="18">
        <f>SUM(654098.99+17414.22+14559.9+568851.9-168043.01)</f>
        <v>1086882</v>
      </c>
      <c r="H216" s="18">
        <f>SUM(1358.33+1972.57+79.52)</f>
        <v>3410.4199999999996</v>
      </c>
      <c r="I216" s="18">
        <f>SUM(48164.64+5158.92)</f>
        <v>53323.56</v>
      </c>
      <c r="J216" s="18">
        <f>SUM(8743.07+33702.99+11206.64)</f>
        <v>53652.7</v>
      </c>
      <c r="K216" s="18"/>
      <c r="L216" s="19">
        <f>SUM(F216:K216)</f>
        <v>2311975.64</v>
      </c>
      <c r="M216" s="8"/>
      <c r="N216" s="266"/>
    </row>
    <row r="217" spans="1:14" s="3" customFormat="1" ht="12.2" customHeight="1" x14ac:dyDescent="0.15">
      <c r="A217" s="1" t="s">
        <v>439</v>
      </c>
      <c r="B217" s="2" t="s">
        <v>346</v>
      </c>
      <c r="C217" s="2" t="s">
        <v>291</v>
      </c>
      <c r="D217" s="2" t="s">
        <v>431</v>
      </c>
      <c r="E217" s="6">
        <v>1200</v>
      </c>
      <c r="F217" s="18">
        <f>SUM(429433.11+17193.97)</f>
        <v>446627.07999999996</v>
      </c>
      <c r="G217" s="18">
        <f>SUM(309389.81+10401.43)</f>
        <v>319791.24</v>
      </c>
      <c r="H217" s="18">
        <f>SUM(425412.6+112.09)</f>
        <v>425524.69</v>
      </c>
      <c r="I217" s="18">
        <f>SUM(4887.97+74.25)</f>
        <v>4962.22</v>
      </c>
      <c r="J217" s="18"/>
      <c r="K217" s="18"/>
      <c r="L217" s="19">
        <f>SUM(F217:K217)</f>
        <v>1196905.23</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f>SUM(57821.5+3900)</f>
        <v>61721.5</v>
      </c>
      <c r="G219" s="18">
        <f>SUM(9912.73+1010.22)</f>
        <v>10922.949999999999</v>
      </c>
      <c r="H219" s="18">
        <v>13680.9</v>
      </c>
      <c r="I219" s="18">
        <v>6935.54</v>
      </c>
      <c r="J219" s="18">
        <v>3319.98</v>
      </c>
      <c r="K219" s="18">
        <v>961.92</v>
      </c>
      <c r="L219" s="19">
        <f>SUM(F219:K219)</f>
        <v>97542.789999999979</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SUM(47860+55941.5+46544+6978.14+10560+10290.95)</f>
        <v>178174.59000000003</v>
      </c>
      <c r="G221" s="18">
        <f>SUM(40449.85+45706.38+23127.89+4936.87+2654+6971.47)</f>
        <v>123846.45999999999</v>
      </c>
      <c r="H221" s="18">
        <f>SUM(2402.74+7324.99+1320+44.25)</f>
        <v>11091.98</v>
      </c>
      <c r="I221" s="18">
        <f>SUM(375.84+450.52+2123.09)</f>
        <v>2949.45</v>
      </c>
      <c r="J221" s="18">
        <f>SUM(1714.78+1333.38)</f>
        <v>3048.16</v>
      </c>
      <c r="K221" s="18"/>
      <c r="L221" s="19">
        <f t="shared" ref="L221:L227" si="2">SUM(F221:K221)</f>
        <v>319110.64</v>
      </c>
      <c r="M221" s="8"/>
      <c r="N221" s="266"/>
    </row>
    <row r="222" spans="1:14" s="3" customFormat="1" ht="12.2" customHeight="1" x14ac:dyDescent="0.15">
      <c r="A222" s="1" t="s">
        <v>443</v>
      </c>
      <c r="B222" s="2" t="s">
        <v>346</v>
      </c>
      <c r="C222" s="2" t="s">
        <v>295</v>
      </c>
      <c r="D222" s="2" t="s">
        <v>431</v>
      </c>
      <c r="E222" s="6">
        <v>2200</v>
      </c>
      <c r="F222" s="18">
        <f>SUM(57438+2550)</f>
        <v>59988</v>
      </c>
      <c r="G222" s="18">
        <f>SUM(22323.63+678.83+37380.9+607.17)</f>
        <v>60990.53</v>
      </c>
      <c r="H222" s="18">
        <f>SUM(6460.82+2529.8)</f>
        <v>8990.619999999999</v>
      </c>
      <c r="I222" s="18">
        <v>8524.5499999999993</v>
      </c>
      <c r="J222" s="18">
        <v>955.44</v>
      </c>
      <c r="K222" s="18"/>
      <c r="L222" s="19">
        <f t="shared" si="2"/>
        <v>139449.13999999998</v>
      </c>
      <c r="M222" s="8"/>
      <c r="N222" s="266"/>
    </row>
    <row r="223" spans="1:14" s="3" customFormat="1" ht="12.2" customHeight="1" x14ac:dyDescent="0.15">
      <c r="A223" s="1" t="s">
        <v>444</v>
      </c>
      <c r="B223" s="2" t="s">
        <v>346</v>
      </c>
      <c r="C223" s="2" t="s">
        <v>296</v>
      </c>
      <c r="D223" s="2" t="s">
        <v>431</v>
      </c>
      <c r="E223" s="6">
        <v>2300</v>
      </c>
      <c r="F223" s="18">
        <v>3825</v>
      </c>
      <c r="G223" s="18">
        <v>318.22000000000003</v>
      </c>
      <c r="H223" s="18">
        <v>223266.04</v>
      </c>
      <c r="I223" s="18">
        <v>499.88</v>
      </c>
      <c r="J223" s="18"/>
      <c r="K223" s="18">
        <v>936.06</v>
      </c>
      <c r="L223" s="19">
        <f t="shared" si="2"/>
        <v>228845.2</v>
      </c>
      <c r="M223" s="8"/>
      <c r="N223" s="266"/>
    </row>
    <row r="224" spans="1:14" s="3" customFormat="1" ht="12.2" customHeight="1" x14ac:dyDescent="0.15">
      <c r="A224" s="1" t="s">
        <v>445</v>
      </c>
      <c r="B224" s="2" t="s">
        <v>346</v>
      </c>
      <c r="C224" s="2" t="s">
        <v>297</v>
      </c>
      <c r="D224" s="2" t="s">
        <v>431</v>
      </c>
      <c r="E224" s="6">
        <v>2400</v>
      </c>
      <c r="F224" s="18">
        <f>SUM(160083.96+3730)</f>
        <v>163813.96</v>
      </c>
      <c r="G224" s="18">
        <f>SUM(61495.94+929.34)</f>
        <v>62425.279999999999</v>
      </c>
      <c r="H224" s="18">
        <f>SUM(21839.37+4879.12)</f>
        <v>26718.489999999998</v>
      </c>
      <c r="I224" s="18">
        <v>970.87</v>
      </c>
      <c r="J224" s="18">
        <v>1325.58</v>
      </c>
      <c r="K224" s="18">
        <v>5998.22</v>
      </c>
      <c r="L224" s="19">
        <f t="shared" si="2"/>
        <v>261252.39999999997</v>
      </c>
      <c r="M224" s="8"/>
      <c r="N224" s="266"/>
    </row>
    <row r="225" spans="1:14" s="3" customFormat="1" ht="12.2" customHeight="1" x14ac:dyDescent="0.15">
      <c r="A225" s="1" t="s">
        <v>446</v>
      </c>
      <c r="B225" s="2" t="s">
        <v>346</v>
      </c>
      <c r="C225" s="2" t="s">
        <v>298</v>
      </c>
      <c r="D225" s="2" t="s">
        <v>431</v>
      </c>
      <c r="E225" s="6">
        <v>2500</v>
      </c>
      <c r="F225" s="18"/>
      <c r="G225" s="18"/>
      <c r="H225" s="18">
        <f>SUM(125081.46-2464.89)</f>
        <v>122616.57</v>
      </c>
      <c r="I225" s="18"/>
      <c r="J225" s="18"/>
      <c r="K225" s="18"/>
      <c r="L225" s="19">
        <f t="shared" si="2"/>
        <v>122616.57</v>
      </c>
      <c r="M225" s="8"/>
      <c r="N225" s="266"/>
    </row>
    <row r="226" spans="1:14" s="3" customFormat="1" ht="12.2" customHeight="1" x14ac:dyDescent="0.15">
      <c r="A226" s="1" t="s">
        <v>447</v>
      </c>
      <c r="B226" s="2" t="s">
        <v>346</v>
      </c>
      <c r="C226" s="2" t="s">
        <v>299</v>
      </c>
      <c r="D226" s="2" t="s">
        <v>431</v>
      </c>
      <c r="E226" s="6">
        <v>2600</v>
      </c>
      <c r="F226" s="18">
        <f>SUM(196959.18+51055.41)</f>
        <v>248014.59</v>
      </c>
      <c r="G226" s="18">
        <f>SUM(144390.87+27267.25)</f>
        <v>171658.12</v>
      </c>
      <c r="H226" s="18">
        <f>SUM(176061.74+18127.15+59234.63)</f>
        <v>253423.52</v>
      </c>
      <c r="I226" s="18">
        <f>SUM(194817.88+770.94)</f>
        <v>195588.82</v>
      </c>
      <c r="J226" s="18">
        <f>SUM(16090.51+12173.25)</f>
        <v>28263.760000000002</v>
      </c>
      <c r="K226" s="18"/>
      <c r="L226" s="19">
        <f t="shared" si="2"/>
        <v>896948.81</v>
      </c>
      <c r="M226" s="8"/>
      <c r="N226" s="266"/>
    </row>
    <row r="227" spans="1:14" s="3" customFormat="1" ht="12.2" customHeight="1" x14ac:dyDescent="0.15">
      <c r="A227" s="1" t="s">
        <v>448</v>
      </c>
      <c r="B227" s="2" t="s">
        <v>346</v>
      </c>
      <c r="C227" s="2" t="s">
        <v>300</v>
      </c>
      <c r="D227" s="2" t="s">
        <v>431</v>
      </c>
      <c r="E227" s="6">
        <v>2700</v>
      </c>
      <c r="F227" s="18">
        <f>SUM(9966.54+1162.84+39289.35)</f>
        <v>50418.729999999996</v>
      </c>
      <c r="G227" s="18">
        <f>SUM(1588.82+283.04+25664.09)</f>
        <v>27535.95</v>
      </c>
      <c r="H227" s="18">
        <v>4942.59</v>
      </c>
      <c r="I227" s="18">
        <v>11638.41</v>
      </c>
      <c r="J227" s="18">
        <v>27322.74</v>
      </c>
      <c r="K227" s="18"/>
      <c r="L227" s="19">
        <f t="shared" si="2"/>
        <v>121858.42</v>
      </c>
      <c r="M227" s="8"/>
      <c r="N227" s="266"/>
    </row>
    <row r="228" spans="1:14" s="3" customFormat="1" ht="12.2" customHeight="1" x14ac:dyDescent="0.15">
      <c r="A228" s="1" t="s">
        <v>449</v>
      </c>
      <c r="B228" s="2" t="s">
        <v>346</v>
      </c>
      <c r="C228" s="2" t="s">
        <v>343</v>
      </c>
      <c r="D228" s="2" t="s">
        <v>431</v>
      </c>
      <c r="E228" s="6">
        <v>2800</v>
      </c>
      <c r="F228" s="18"/>
      <c r="G228" s="18"/>
      <c r="H228" s="18">
        <v>512.86</v>
      </c>
      <c r="I228" s="18"/>
      <c r="J228" s="18"/>
      <c r="K228" s="18"/>
      <c r="L228" s="19">
        <f>SUM(F228:K228)</f>
        <v>512.86</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2327290.41</v>
      </c>
      <c r="G230" s="41">
        <f>SUM(G216:G229)</f>
        <v>1864370.7499999998</v>
      </c>
      <c r="H230" s="41">
        <f>SUM(H216:H229)</f>
        <v>1094178.6800000002</v>
      </c>
      <c r="I230" s="41">
        <f>SUM(I216:I229)</f>
        <v>285393.3</v>
      </c>
      <c r="J230" s="41">
        <f>SUM(J216:J229)</f>
        <v>117888.36</v>
      </c>
      <c r="K230" s="41">
        <f t="shared" si="3"/>
        <v>7896.2000000000007</v>
      </c>
      <c r="L230" s="41">
        <f t="shared" si="3"/>
        <v>5697017.700000002</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SUM(2333926.68+60084.58+68300.41)</f>
        <v>2462311.6700000004</v>
      </c>
      <c r="G234" s="18">
        <f>SUM(1691536.83+31563.6+37684.46+1472322.57-462118.28)</f>
        <v>2770989.1799999997</v>
      </c>
      <c r="H234" s="18">
        <f>SUM(12831.15+205.82)</f>
        <v>13036.97</v>
      </c>
      <c r="I234" s="18">
        <f>SUM(73970.97+18338.15)</f>
        <v>92309.119999999995</v>
      </c>
      <c r="J234" s="18">
        <f>SUM(20966.53+97700+29005.42)</f>
        <v>147671.95000000001</v>
      </c>
      <c r="K234" s="18">
        <v>12266.16</v>
      </c>
      <c r="L234" s="19">
        <f>SUM(F234:K234)</f>
        <v>5498585.0499999998</v>
      </c>
      <c r="M234" s="8"/>
      <c r="N234" s="266"/>
    </row>
    <row r="235" spans="1:14" s="3" customFormat="1" ht="12.2" customHeight="1" x14ac:dyDescent="0.15">
      <c r="A235" s="1" t="s">
        <v>439</v>
      </c>
      <c r="B235" s="2" t="s">
        <v>350</v>
      </c>
      <c r="C235" s="2" t="s">
        <v>291</v>
      </c>
      <c r="D235" s="2" t="s">
        <v>431</v>
      </c>
      <c r="E235" s="6">
        <v>1200</v>
      </c>
      <c r="F235" s="18">
        <f>SUM(668902.88+44502.04)</f>
        <v>713404.92</v>
      </c>
      <c r="G235" s="18">
        <f>SUM(444493.26+26921.34)</f>
        <v>471414.60000000003</v>
      </c>
      <c r="H235" s="18">
        <f>SUM(129403.08+290.11)</f>
        <v>129693.19</v>
      </c>
      <c r="I235" s="18">
        <f>SUM(4579.81+192.17)</f>
        <v>4771.9800000000005</v>
      </c>
      <c r="J235" s="18">
        <v>2680.84</v>
      </c>
      <c r="K235" s="18"/>
      <c r="L235" s="19">
        <f>SUM(F235:K235)</f>
        <v>1321965.53</v>
      </c>
      <c r="M235" s="8"/>
      <c r="N235" s="266"/>
    </row>
    <row r="236" spans="1:14" s="3" customFormat="1" ht="12.2" customHeight="1" x14ac:dyDescent="0.15">
      <c r="A236" s="1" t="s">
        <v>440</v>
      </c>
      <c r="B236" s="2" t="s">
        <v>350</v>
      </c>
      <c r="C236" s="2" t="s">
        <v>292</v>
      </c>
      <c r="D236" s="2" t="s">
        <v>431</v>
      </c>
      <c r="E236" s="6">
        <v>1300</v>
      </c>
      <c r="F236" s="18">
        <v>499034.11</v>
      </c>
      <c r="G236" s="18">
        <v>358172.54</v>
      </c>
      <c r="H236" s="18">
        <f>SUM(35798.47+799.9)</f>
        <v>36598.370000000003</v>
      </c>
      <c r="I236" s="18">
        <v>66580.429999999993</v>
      </c>
      <c r="J236" s="18">
        <f>SUM(5059.03+5000)</f>
        <v>10059.029999999999</v>
      </c>
      <c r="K236" s="18"/>
      <c r="L236" s="19">
        <f>SUM(F236:K236)</f>
        <v>970444.48</v>
      </c>
      <c r="M236" s="8"/>
      <c r="N236" s="266"/>
    </row>
    <row r="237" spans="1:14" s="3" customFormat="1" ht="12.2" customHeight="1" x14ac:dyDescent="0.15">
      <c r="A237" s="1" t="s">
        <v>441</v>
      </c>
      <c r="B237" s="2" t="s">
        <v>350</v>
      </c>
      <c r="C237" s="2" t="s">
        <v>293</v>
      </c>
      <c r="D237" s="2" t="s">
        <v>431</v>
      </c>
      <c r="E237" s="6">
        <v>1400</v>
      </c>
      <c r="F237" s="18">
        <v>199413.5</v>
      </c>
      <c r="G237" s="18">
        <v>43739.16</v>
      </c>
      <c r="H237" s="18">
        <v>94011.14</v>
      </c>
      <c r="I237" s="18">
        <v>23357.49</v>
      </c>
      <c r="J237" s="18">
        <v>6200</v>
      </c>
      <c r="K237" s="18">
        <v>10005</v>
      </c>
      <c r="L237" s="19">
        <f>SUM(F237:K237)</f>
        <v>376726.29</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SUM(63550+347466.57+89395+34890.5+78089.44+26635.4)</f>
        <v>640026.91</v>
      </c>
      <c r="G239" s="18">
        <f>SUM(27401.63+207050.9+53449.95+24689.34+66519.62+18043.81)</f>
        <v>397155.25</v>
      </c>
      <c r="H239" s="18">
        <f>SUM(42768.65+8968.5+4765.36+1189.65+3985+506.11+114.54)</f>
        <v>62297.810000000005</v>
      </c>
      <c r="I239" s="18">
        <f>SUM(3186.42+3352.45+199+289.63)</f>
        <v>7027.5</v>
      </c>
      <c r="J239" s="18">
        <v>333.4</v>
      </c>
      <c r="K239" s="18">
        <v>90</v>
      </c>
      <c r="L239" s="19">
        <f t="shared" ref="L239:L245" si="4">SUM(F239:K239)</f>
        <v>1106930.8699999999</v>
      </c>
      <c r="M239" s="8"/>
      <c r="N239" s="266"/>
    </row>
    <row r="240" spans="1:14" s="3" customFormat="1" ht="12.2" customHeight="1" x14ac:dyDescent="0.15">
      <c r="A240" s="1" t="s">
        <v>443</v>
      </c>
      <c r="B240" s="2" t="s">
        <v>350</v>
      </c>
      <c r="C240" s="2" t="s">
        <v>295</v>
      </c>
      <c r="D240" s="2" t="s">
        <v>431</v>
      </c>
      <c r="E240" s="6">
        <v>2200</v>
      </c>
      <c r="F240" s="18">
        <f>SUM(8448+58150.29+6600)</f>
        <v>73198.290000000008</v>
      </c>
      <c r="G240" s="18">
        <f>SUM(25245+2090.1+25801.63+1571.5)</f>
        <v>54708.229999999996</v>
      </c>
      <c r="H240" s="18">
        <f>SUM(20779.97+994.35+594.82+6547.73)</f>
        <v>28916.87</v>
      </c>
      <c r="I240" s="18">
        <v>5074.1099999999997</v>
      </c>
      <c r="J240" s="18"/>
      <c r="K240" s="18">
        <v>1148</v>
      </c>
      <c r="L240" s="19">
        <f t="shared" si="4"/>
        <v>163045.5</v>
      </c>
      <c r="M240" s="8"/>
      <c r="N240" s="266"/>
    </row>
    <row r="241" spans="1:14" s="3" customFormat="1" ht="12.2" customHeight="1" x14ac:dyDescent="0.15">
      <c r="A241" s="1" t="s">
        <v>444</v>
      </c>
      <c r="B241" s="2" t="s">
        <v>350</v>
      </c>
      <c r="C241" s="2" t="s">
        <v>296</v>
      </c>
      <c r="D241" s="2" t="s">
        <v>431</v>
      </c>
      <c r="E241" s="6">
        <v>2300</v>
      </c>
      <c r="F241" s="18">
        <v>9900</v>
      </c>
      <c r="G241" s="18">
        <v>823.63</v>
      </c>
      <c r="H241" s="18">
        <v>577865.04</v>
      </c>
      <c r="I241" s="18">
        <v>1293.81</v>
      </c>
      <c r="J241" s="18"/>
      <c r="K241" s="18">
        <v>2422.75</v>
      </c>
      <c r="L241" s="19">
        <f t="shared" si="4"/>
        <v>592305.2300000001</v>
      </c>
      <c r="M241" s="8"/>
      <c r="N241" s="266"/>
    </row>
    <row r="242" spans="1:14" s="3" customFormat="1" ht="12.2" customHeight="1" x14ac:dyDescent="0.15">
      <c r="A242" s="1" t="s">
        <v>445</v>
      </c>
      <c r="B242" s="2" t="s">
        <v>350</v>
      </c>
      <c r="C242" s="2" t="s">
        <v>297</v>
      </c>
      <c r="D242" s="2" t="s">
        <v>431</v>
      </c>
      <c r="E242" s="6">
        <v>2400</v>
      </c>
      <c r="F242" s="18">
        <f>SUM(341923.96+140068.4)</f>
        <v>481992.36</v>
      </c>
      <c r="G242" s="18">
        <f>SUM(203116.08+81379.95)</f>
        <v>284496.02999999997</v>
      </c>
      <c r="H242" s="18">
        <f>SUM(74718.68+5688.43+12557.95)</f>
        <v>92965.059999999983</v>
      </c>
      <c r="I242" s="18">
        <f>SUM(9546.88+6488.64)</f>
        <v>16035.52</v>
      </c>
      <c r="J242" s="18">
        <f>SUM(5184.45+1833.47+2000)</f>
        <v>9017.92</v>
      </c>
      <c r="K242" s="18">
        <f>SUM(6647+18631.29)</f>
        <v>25278.29</v>
      </c>
      <c r="L242" s="19">
        <f t="shared" si="4"/>
        <v>909785.17999999993</v>
      </c>
      <c r="M242" s="8"/>
      <c r="N242" s="266"/>
    </row>
    <row r="243" spans="1:14" s="3" customFormat="1" ht="12.2" customHeight="1" x14ac:dyDescent="0.15">
      <c r="A243" s="1" t="s">
        <v>446</v>
      </c>
      <c r="B243" s="2" t="s">
        <v>350</v>
      </c>
      <c r="C243" s="2" t="s">
        <v>298</v>
      </c>
      <c r="D243" s="2" t="s">
        <v>431</v>
      </c>
      <c r="E243" s="6">
        <v>2500</v>
      </c>
      <c r="F243" s="18"/>
      <c r="G243" s="18"/>
      <c r="H243" s="18">
        <f>SUM(181291.25-6379.72)</f>
        <v>174911.53</v>
      </c>
      <c r="I243" s="18"/>
      <c r="J243" s="18"/>
      <c r="K243" s="18"/>
      <c r="L243" s="19">
        <f t="shared" si="4"/>
        <v>174911.53</v>
      </c>
      <c r="M243" s="8"/>
      <c r="N243" s="266"/>
    </row>
    <row r="244" spans="1:14" s="3" customFormat="1" ht="12.2" customHeight="1" x14ac:dyDescent="0.15">
      <c r="A244" s="1" t="s">
        <v>447</v>
      </c>
      <c r="B244" s="2" t="s">
        <v>350</v>
      </c>
      <c r="C244" s="2" t="s">
        <v>299</v>
      </c>
      <c r="D244" s="2" t="s">
        <v>431</v>
      </c>
      <c r="E244" s="6">
        <v>2600</v>
      </c>
      <c r="F244" s="18">
        <f>SUM(312260.02+41169.48+132143.41)</f>
        <v>485572.91000000003</v>
      </c>
      <c r="G244" s="18">
        <f>SUM(198579.52+18629.49+70574.05)</f>
        <v>287783.06</v>
      </c>
      <c r="H244" s="18">
        <f>SUM(286909.27+108327.6+153313.17)</f>
        <v>548550.04</v>
      </c>
      <c r="I244" s="18">
        <f>SUM(441672.48+22079.74+1995.38)</f>
        <v>465747.6</v>
      </c>
      <c r="J244" s="18">
        <f>SUM(14267.59+15500.46+31507.24)</f>
        <v>61275.29</v>
      </c>
      <c r="K244" s="18"/>
      <c r="L244" s="19">
        <f t="shared" si="4"/>
        <v>1848928.9</v>
      </c>
      <c r="M244" s="8"/>
      <c r="N244" s="266"/>
    </row>
    <row r="245" spans="1:14" s="3" customFormat="1" ht="12.2" customHeight="1" x14ac:dyDescent="0.15">
      <c r="A245" s="1" t="s">
        <v>448</v>
      </c>
      <c r="B245" s="2" t="s">
        <v>350</v>
      </c>
      <c r="C245" s="2" t="s">
        <v>300</v>
      </c>
      <c r="D245" s="2" t="s">
        <v>431</v>
      </c>
      <c r="E245" s="6">
        <v>2700</v>
      </c>
      <c r="F245" s="18">
        <f>SUM(34631.29+8985.8+101690.09)</f>
        <v>145307.18</v>
      </c>
      <c r="G245" s="18">
        <f>SUM(5903.44+1632.97+66424.7)</f>
        <v>73961.11</v>
      </c>
      <c r="H245" s="18">
        <v>12792.6</v>
      </c>
      <c r="I245" s="18">
        <v>30122.95</v>
      </c>
      <c r="J245" s="18">
        <v>70717.679999999993</v>
      </c>
      <c r="K245" s="18"/>
      <c r="L245" s="19">
        <f t="shared" si="4"/>
        <v>332901.51999999996</v>
      </c>
      <c r="M245" s="8"/>
      <c r="N245" s="266"/>
    </row>
    <row r="246" spans="1:14" s="3" customFormat="1" ht="12.2" customHeight="1" x14ac:dyDescent="0.15">
      <c r="A246" s="1" t="s">
        <v>449</v>
      </c>
      <c r="B246" s="2" t="s">
        <v>350</v>
      </c>
      <c r="C246" s="2" t="s">
        <v>343</v>
      </c>
      <c r="D246" s="2" t="s">
        <v>431</v>
      </c>
      <c r="E246" s="6">
        <v>2800</v>
      </c>
      <c r="F246" s="18"/>
      <c r="G246" s="18"/>
      <c r="H246" s="18">
        <v>1327.41</v>
      </c>
      <c r="I246" s="18"/>
      <c r="J246" s="18"/>
      <c r="K246" s="18"/>
      <c r="L246" s="19">
        <f>SUM(F246:K246)</f>
        <v>1327.41</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5710161.8500000006</v>
      </c>
      <c r="G248" s="41">
        <f t="shared" si="5"/>
        <v>4743242.79</v>
      </c>
      <c r="H248" s="41">
        <f t="shared" si="5"/>
        <v>1772966.03</v>
      </c>
      <c r="I248" s="41">
        <f t="shared" si="5"/>
        <v>712320.50999999989</v>
      </c>
      <c r="J248" s="41">
        <f t="shared" si="5"/>
        <v>307956.11</v>
      </c>
      <c r="K248" s="41">
        <f t="shared" si="5"/>
        <v>51210.2</v>
      </c>
      <c r="L248" s="41">
        <f t="shared" si="5"/>
        <v>13297857.49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13664822.620000001</v>
      </c>
      <c r="G258" s="41">
        <f t="shared" si="8"/>
        <v>11257489.809999999</v>
      </c>
      <c r="H258" s="41">
        <f t="shared" si="8"/>
        <v>4858569.8000000007</v>
      </c>
      <c r="I258" s="41">
        <f t="shared" si="8"/>
        <v>1413138.63</v>
      </c>
      <c r="J258" s="41">
        <f t="shared" si="8"/>
        <v>672633.76</v>
      </c>
      <c r="K258" s="41">
        <f t="shared" si="8"/>
        <v>64554.84</v>
      </c>
      <c r="L258" s="41">
        <f t="shared" si="8"/>
        <v>31931209.460000001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2092900</v>
      </c>
      <c r="L261" s="19">
        <f>SUM(F261:K261)</f>
        <v>2092900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549800.21</v>
      </c>
      <c r="L262" s="19">
        <f>SUM(F262:K262)</f>
        <v>549800.21</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331429</v>
      </c>
      <c r="L267" s="19">
        <f t="shared" si="9"/>
        <v>331429</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2974129.21</v>
      </c>
      <c r="L271" s="41">
        <f t="shared" si="9"/>
        <v>2974129.21</v>
      </c>
      <c r="M271" s="8"/>
      <c r="N271" s="266"/>
    </row>
    <row r="272" spans="1:14" s="34" customFormat="1" ht="12.2" customHeight="1" thickTop="1" x14ac:dyDescent="0.2">
      <c r="A272" s="43" t="s">
        <v>464</v>
      </c>
      <c r="B272" s="40">
        <v>10</v>
      </c>
      <c r="C272" s="40">
        <v>18</v>
      </c>
      <c r="D272" s="39" t="s">
        <v>431</v>
      </c>
      <c r="E272" s="40"/>
      <c r="F272" s="42">
        <f t="shared" ref="F272:L272" si="11">F258+F271</f>
        <v>13664822.620000001</v>
      </c>
      <c r="G272" s="42">
        <f t="shared" si="11"/>
        <v>11257489.809999999</v>
      </c>
      <c r="H272" s="42">
        <f t="shared" si="11"/>
        <v>4858569.8000000007</v>
      </c>
      <c r="I272" s="42">
        <f t="shared" si="11"/>
        <v>1413138.63</v>
      </c>
      <c r="J272" s="42">
        <f t="shared" si="11"/>
        <v>672633.76</v>
      </c>
      <c r="K272" s="42">
        <f t="shared" si="11"/>
        <v>3038684.05</v>
      </c>
      <c r="L272" s="42">
        <f t="shared" si="11"/>
        <v>34905338.670000002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405522.21</v>
      </c>
      <c r="G277" s="18">
        <f>SUM(204004.31)</f>
        <v>204004.31</v>
      </c>
      <c r="H277" s="18"/>
      <c r="I277" s="18">
        <v>47302.91</v>
      </c>
      <c r="J277" s="18">
        <v>6603</v>
      </c>
      <c r="K277" s="18"/>
      <c r="L277" s="19">
        <f>SUM(F277:K277)</f>
        <v>663432.43000000005</v>
      </c>
      <c r="M277" s="8"/>
      <c r="N277" s="266"/>
    </row>
    <row r="278" spans="1:14" s="3" customFormat="1" ht="12.2" customHeight="1" x14ac:dyDescent="0.15">
      <c r="A278" s="1" t="s">
        <v>439</v>
      </c>
      <c r="B278" s="2" t="s">
        <v>357</v>
      </c>
      <c r="C278" s="2" t="s">
        <v>291</v>
      </c>
      <c r="D278" s="2" t="s">
        <v>431</v>
      </c>
      <c r="E278" s="6">
        <v>1200</v>
      </c>
      <c r="F278" s="18">
        <f>SUM(42987.5+7200)</f>
        <v>50187.5</v>
      </c>
      <c r="G278" s="18">
        <f>SUM(32524.05+1786.32)</f>
        <v>34310.370000000003</v>
      </c>
      <c r="H278" s="18">
        <f>SUM(5640+59480)</f>
        <v>65120</v>
      </c>
      <c r="I278" s="18">
        <f>SUM(18134.28+4146.58-4282.2)</f>
        <v>17998.66</v>
      </c>
      <c r="J278" s="18">
        <v>4620</v>
      </c>
      <c r="K278" s="18"/>
      <c r="L278" s="19">
        <f>SUM(F278:K278)</f>
        <v>172236.53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142104.56</v>
      </c>
      <c r="G280" s="18">
        <v>25539.05</v>
      </c>
      <c r="H280" s="18">
        <v>6715</v>
      </c>
      <c r="I280" s="18">
        <f>SUM(33636.96-7762.24)</f>
        <v>25874.720000000001</v>
      </c>
      <c r="J280" s="18"/>
      <c r="K280" s="18"/>
      <c r="L280" s="19">
        <f>SUM(F280:K280)</f>
        <v>200233.33</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SUM(23878.84+9024)</f>
        <v>32902.839999999997</v>
      </c>
      <c r="G282" s="18">
        <f>SUM(852.82+5702.69+1392.6-761.01)</f>
        <v>7187.0999999999985</v>
      </c>
      <c r="H282" s="18">
        <f>SUM(15320.75+197235+47030.1)</f>
        <v>259585.85</v>
      </c>
      <c r="I282" s="18"/>
      <c r="J282" s="18"/>
      <c r="K282" s="18"/>
      <c r="L282" s="19">
        <f t="shared" ref="L282:L288" si="12">SUM(F282:K282)</f>
        <v>299675.78999999998</v>
      </c>
      <c r="M282" s="8"/>
      <c r="N282" s="266"/>
    </row>
    <row r="283" spans="1:14" s="3" customFormat="1" ht="12.2" customHeight="1" x14ac:dyDescent="0.15">
      <c r="A283" s="1" t="s">
        <v>443</v>
      </c>
      <c r="B283" s="2" t="s">
        <v>357</v>
      </c>
      <c r="C283" s="2" t="s">
        <v>295</v>
      </c>
      <c r="D283" s="2" t="s">
        <v>431</v>
      </c>
      <c r="E283" s="6">
        <v>2200</v>
      </c>
      <c r="F283" s="18">
        <f>SUM(34156.39+2736)</f>
        <v>36892.39</v>
      </c>
      <c r="G283" s="18">
        <f>SUM(8532.33+610.92)</f>
        <v>9143.25</v>
      </c>
      <c r="H283" s="18">
        <f>SUM(282916.29-60000+41851.16-2600.54)</f>
        <v>262166.90999999997</v>
      </c>
      <c r="I283" s="18">
        <v>6263.97</v>
      </c>
      <c r="J283" s="18">
        <v>14694.39</v>
      </c>
      <c r="K283" s="18"/>
      <c r="L283" s="19">
        <f t="shared" si="12"/>
        <v>329160.90999999997</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f>SUM(5042.98+1150.37)</f>
        <v>6193.3499999999995</v>
      </c>
      <c r="I288" s="18"/>
      <c r="J288" s="18"/>
      <c r="K288" s="18"/>
      <c r="L288" s="19">
        <f t="shared" si="12"/>
        <v>6193.3499999999995</v>
      </c>
      <c r="M288" s="8"/>
      <c r="N288" s="266"/>
    </row>
    <row r="289" spans="1:14" s="3" customFormat="1" ht="12.2" customHeight="1" x14ac:dyDescent="0.15">
      <c r="A289" s="1" t="s">
        <v>449</v>
      </c>
      <c r="B289" s="2" t="s">
        <v>357</v>
      </c>
      <c r="C289" s="2" t="s">
        <v>343</v>
      </c>
      <c r="D289" s="2" t="s">
        <v>431</v>
      </c>
      <c r="E289" s="6">
        <v>2800</v>
      </c>
      <c r="F289" s="18"/>
      <c r="G289" s="18"/>
      <c r="H289" s="18">
        <v>3225.95</v>
      </c>
      <c r="I289" s="18"/>
      <c r="J289" s="18"/>
      <c r="K289" s="18"/>
      <c r="L289" s="19">
        <f>SUM(F289:K289)</f>
        <v>3225.95</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667609.5</v>
      </c>
      <c r="G291" s="42">
        <f t="shared" si="13"/>
        <v>280184.07999999996</v>
      </c>
      <c r="H291" s="42">
        <f t="shared" si="13"/>
        <v>603007.05999999994</v>
      </c>
      <c r="I291" s="42">
        <f t="shared" si="13"/>
        <v>97440.260000000009</v>
      </c>
      <c r="J291" s="42">
        <f t="shared" si="13"/>
        <v>25917.39</v>
      </c>
      <c r="K291" s="42">
        <f t="shared" si="13"/>
        <v>0</v>
      </c>
      <c r="L291" s="41">
        <f t="shared" si="13"/>
        <v>1674158.29</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v>60000</v>
      </c>
      <c r="I302" s="18"/>
      <c r="J302" s="18"/>
      <c r="K302" s="18"/>
      <c r="L302" s="19">
        <f t="shared" si="14"/>
        <v>60000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60000</v>
      </c>
      <c r="I310" s="42">
        <f t="shared" si="15"/>
        <v>0</v>
      </c>
      <c r="J310" s="42">
        <f t="shared" si="15"/>
        <v>0</v>
      </c>
      <c r="K310" s="42">
        <f t="shared" si="15"/>
        <v>0</v>
      </c>
      <c r="L310" s="41">
        <f t="shared" si="15"/>
        <v>60000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18000</v>
      </c>
      <c r="G315" s="18">
        <v>3656</v>
      </c>
      <c r="H315" s="18"/>
      <c r="I315" s="18">
        <v>2487.04</v>
      </c>
      <c r="J315" s="18"/>
      <c r="K315" s="18"/>
      <c r="L315" s="19">
        <f>SUM(F315:K315)</f>
        <v>24143.040000000001</v>
      </c>
      <c r="M315" s="8"/>
      <c r="N315" s="266"/>
    </row>
    <row r="316" spans="1:14" s="3" customFormat="1" ht="12.2" customHeight="1" x14ac:dyDescent="0.15">
      <c r="A316" s="1" t="s">
        <v>439</v>
      </c>
      <c r="B316" s="2" t="s">
        <v>359</v>
      </c>
      <c r="C316" s="2" t="s">
        <v>291</v>
      </c>
      <c r="D316" s="2" t="s">
        <v>431</v>
      </c>
      <c r="E316" s="6">
        <v>1200</v>
      </c>
      <c r="F316" s="18"/>
      <c r="G316" s="18"/>
      <c r="H316" s="18"/>
      <c r="I316" s="18">
        <v>4282.2</v>
      </c>
      <c r="J316" s="18"/>
      <c r="K316" s="18"/>
      <c r="L316" s="19">
        <f>SUM(F316:K316)</f>
        <v>4282.2</v>
      </c>
      <c r="M316" s="8"/>
      <c r="N316" s="266"/>
    </row>
    <row r="317" spans="1:14" s="3" customFormat="1" ht="12.2" customHeight="1" x14ac:dyDescent="0.15">
      <c r="A317" s="1" t="s">
        <v>440</v>
      </c>
      <c r="B317" s="2" t="s">
        <v>359</v>
      </c>
      <c r="C317" s="2" t="s">
        <v>292</v>
      </c>
      <c r="D317" s="2" t="s">
        <v>431</v>
      </c>
      <c r="E317" s="6">
        <v>1300</v>
      </c>
      <c r="F317" s="18">
        <v>8034</v>
      </c>
      <c r="G317" s="18">
        <v>7123.36</v>
      </c>
      <c r="H317" s="18">
        <f>SUM(15771.57-5505.95)</f>
        <v>10265.619999999999</v>
      </c>
      <c r="I317" s="18">
        <v>38940.54</v>
      </c>
      <c r="J317" s="18">
        <v>16051.99</v>
      </c>
      <c r="K317" s="18"/>
      <c r="L317" s="19">
        <f>SUM(F317:K317)</f>
        <v>80415.510000000009</v>
      </c>
      <c r="M317" s="8"/>
      <c r="N317" s="266"/>
    </row>
    <row r="318" spans="1:14" s="3" customFormat="1" ht="12.2" customHeight="1" x14ac:dyDescent="0.15">
      <c r="A318" s="1" t="s">
        <v>441</v>
      </c>
      <c r="B318" s="2" t="s">
        <v>359</v>
      </c>
      <c r="C318" s="2" t="s">
        <v>293</v>
      </c>
      <c r="D318" s="2" t="s">
        <v>431</v>
      </c>
      <c r="E318" s="6">
        <v>1400</v>
      </c>
      <c r="F318" s="18"/>
      <c r="G318" s="18"/>
      <c r="H318" s="18"/>
      <c r="I318" s="18">
        <v>7762.24</v>
      </c>
      <c r="J318" s="18"/>
      <c r="K318" s="18">
        <v>675</v>
      </c>
      <c r="L318" s="19">
        <f>SUM(F318:K318)</f>
        <v>8437.24</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6600</v>
      </c>
      <c r="G320" s="18">
        <v>761.01</v>
      </c>
      <c r="H320" s="18"/>
      <c r="I320" s="18"/>
      <c r="J320" s="18"/>
      <c r="K320" s="18"/>
      <c r="L320" s="19">
        <f t="shared" ref="L320:L326" si="16">SUM(F320:K320)</f>
        <v>7361.01</v>
      </c>
      <c r="M320" s="8"/>
      <c r="N320" s="266"/>
    </row>
    <row r="321" spans="1:14" s="3" customFormat="1" ht="12.2" customHeight="1" x14ac:dyDescent="0.15">
      <c r="A321" s="1" t="s">
        <v>443</v>
      </c>
      <c r="B321" s="2" t="s">
        <v>359</v>
      </c>
      <c r="C321" s="2" t="s">
        <v>295</v>
      </c>
      <c r="D321" s="2" t="s">
        <v>431</v>
      </c>
      <c r="E321" s="6">
        <v>2200</v>
      </c>
      <c r="F321" s="18"/>
      <c r="G321" s="18"/>
      <c r="H321" s="18">
        <v>2600.54</v>
      </c>
      <c r="I321" s="18"/>
      <c r="J321" s="18"/>
      <c r="K321" s="18">
        <v>3312.81</v>
      </c>
      <c r="L321" s="19">
        <f t="shared" si="16"/>
        <v>5913.35</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v>6440</v>
      </c>
      <c r="G323" s="18">
        <v>492.71</v>
      </c>
      <c r="H323" s="18"/>
      <c r="I323" s="18"/>
      <c r="J323" s="18"/>
      <c r="K323" s="18"/>
      <c r="L323" s="19">
        <f t="shared" si="16"/>
        <v>6932.71</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v>1459.76</v>
      </c>
      <c r="G326" s="18">
        <v>268.12</v>
      </c>
      <c r="H326" s="18"/>
      <c r="I326" s="18"/>
      <c r="J326" s="18"/>
      <c r="K326" s="18"/>
      <c r="L326" s="19">
        <f t="shared" si="16"/>
        <v>1727.88</v>
      </c>
      <c r="M326" s="8"/>
      <c r="N326" s="266"/>
    </row>
    <row r="327" spans="1:14" s="3" customFormat="1" ht="12.2" customHeight="1" x14ac:dyDescent="0.15">
      <c r="A327" s="1" t="s">
        <v>449</v>
      </c>
      <c r="B327" s="2" t="s">
        <v>359</v>
      </c>
      <c r="C327" s="2" t="s">
        <v>343</v>
      </c>
      <c r="D327" s="2" t="s">
        <v>431</v>
      </c>
      <c r="E327" s="6">
        <v>2800</v>
      </c>
      <c r="F327" s="18"/>
      <c r="G327" s="18"/>
      <c r="H327" s="18">
        <v>3225.95</v>
      </c>
      <c r="I327" s="18"/>
      <c r="J327" s="18"/>
      <c r="K327" s="18"/>
      <c r="L327" s="19">
        <f>SUM(F327:K327)</f>
        <v>3225.95</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40533.760000000002</v>
      </c>
      <c r="G329" s="42">
        <f t="shared" si="17"/>
        <v>12301.2</v>
      </c>
      <c r="H329" s="42">
        <f t="shared" si="17"/>
        <v>16092.11</v>
      </c>
      <c r="I329" s="42">
        <f t="shared" si="17"/>
        <v>53472.02</v>
      </c>
      <c r="J329" s="42">
        <f t="shared" si="17"/>
        <v>16051.99</v>
      </c>
      <c r="K329" s="42">
        <f t="shared" si="17"/>
        <v>3987.81</v>
      </c>
      <c r="L329" s="41">
        <f t="shared" si="17"/>
        <v>142438.89000000004</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708143.26</v>
      </c>
      <c r="G339" s="41">
        <f t="shared" si="20"/>
        <v>292485.27999999997</v>
      </c>
      <c r="H339" s="41">
        <f t="shared" si="20"/>
        <v>679099.16999999993</v>
      </c>
      <c r="I339" s="41">
        <f t="shared" si="20"/>
        <v>150912.28</v>
      </c>
      <c r="J339" s="41">
        <f t="shared" si="20"/>
        <v>41969.38</v>
      </c>
      <c r="K339" s="41">
        <f t="shared" si="20"/>
        <v>3987.81</v>
      </c>
      <c r="L339" s="41">
        <f t="shared" si="20"/>
        <v>1876597.1800000002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708143.26</v>
      </c>
      <c r="G353" s="41">
        <f>G339</f>
        <v>292485.27999999997</v>
      </c>
      <c r="H353" s="41">
        <f>H339</f>
        <v>679099.16999999993</v>
      </c>
      <c r="I353" s="41">
        <f>I339</f>
        <v>150912.28</v>
      </c>
      <c r="J353" s="41">
        <f>J339</f>
        <v>41969.38</v>
      </c>
      <c r="K353" s="47">
        <f>K339+K352</f>
        <v>3987.81</v>
      </c>
      <c r="L353" s="41">
        <f>L339+L352</f>
        <v>1876597.1800000002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413441.98</v>
      </c>
      <c r="I359" s="18"/>
      <c r="J359" s="18"/>
      <c r="K359" s="18"/>
      <c r="L359" s="13">
        <f>SUM(F359:K359)</f>
        <v>413441.98</v>
      </c>
      <c r="M359" s="8"/>
      <c r="N359" s="266"/>
    </row>
    <row r="360" spans="1:22" s="3" customFormat="1" ht="12.2" customHeight="1" x14ac:dyDescent="0.15">
      <c r="A360" s="1" t="s">
        <v>542</v>
      </c>
      <c r="B360" s="2" t="s">
        <v>366</v>
      </c>
      <c r="C360" s="6">
        <v>2</v>
      </c>
      <c r="D360" s="2" t="s">
        <v>431</v>
      </c>
      <c r="E360" s="6"/>
      <c r="F360" s="18"/>
      <c r="G360" s="18"/>
      <c r="H360" s="18">
        <v>125081.46</v>
      </c>
      <c r="I360" s="18"/>
      <c r="J360" s="18"/>
      <c r="K360" s="18"/>
      <c r="L360" s="19">
        <f>SUM(F360:K360)</f>
        <v>125081.46</v>
      </c>
      <c r="M360" s="8"/>
      <c r="N360" s="266"/>
    </row>
    <row r="361" spans="1:22" s="3" customFormat="1" ht="12.2" customHeight="1" x14ac:dyDescent="0.15">
      <c r="A361" s="3" t="s">
        <v>543</v>
      </c>
      <c r="B361" s="2" t="s">
        <v>366</v>
      </c>
      <c r="C361" s="6">
        <v>3</v>
      </c>
      <c r="D361" s="2" t="s">
        <v>431</v>
      </c>
      <c r="E361" s="6"/>
      <c r="F361" s="18"/>
      <c r="G361" s="18"/>
      <c r="H361" s="18">
        <v>181291.25</v>
      </c>
      <c r="I361" s="18"/>
      <c r="J361" s="18"/>
      <c r="K361" s="18"/>
      <c r="L361" s="19">
        <f>SUM(F361:K361)</f>
        <v>181291.25</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719814.69</v>
      </c>
      <c r="I363" s="47">
        <f t="shared" si="22"/>
        <v>0</v>
      </c>
      <c r="J363" s="47">
        <f t="shared" si="22"/>
        <v>0</v>
      </c>
      <c r="K363" s="47">
        <f t="shared" si="22"/>
        <v>0</v>
      </c>
      <c r="L363" s="47">
        <f t="shared" si="22"/>
        <v>719814.69</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v>250000</v>
      </c>
      <c r="H391" s="18">
        <f>SUM(1042.95+43.48)</f>
        <v>1086.43</v>
      </c>
      <c r="I391" s="18"/>
      <c r="J391" s="24" t="s">
        <v>288</v>
      </c>
      <c r="K391" s="24" t="s">
        <v>288</v>
      </c>
      <c r="L391" s="56">
        <f t="shared" si="25"/>
        <v>251086.43</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f>SUM(200.7+184.25)</f>
        <v>384.95</v>
      </c>
      <c r="I393" s="18"/>
      <c r="J393" s="24" t="s">
        <v>288</v>
      </c>
      <c r="K393" s="24" t="s">
        <v>288</v>
      </c>
      <c r="L393" s="56">
        <f t="shared" si="25"/>
        <v>384.95</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250000</v>
      </c>
      <c r="H394" s="139">
        <f>SUM(H388:H393)</f>
        <v>1471.38</v>
      </c>
      <c r="I394" s="65">
        <f>SUM(I388:I393)</f>
        <v>0</v>
      </c>
      <c r="J394" s="45" t="s">
        <v>288</v>
      </c>
      <c r="K394" s="45" t="s">
        <v>288</v>
      </c>
      <c r="L394" s="47">
        <f>SUM(L388:L393)</f>
        <v>251471.38</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81429</v>
      </c>
      <c r="H397" s="18">
        <f>SUM(6958.21+2400.87+1200.67+3568.07)</f>
        <v>14127.82</v>
      </c>
      <c r="I397" s="18"/>
      <c r="J397" s="24" t="s">
        <v>288</v>
      </c>
      <c r="K397" s="24" t="s">
        <v>288</v>
      </c>
      <c r="L397" s="56">
        <f t="shared" si="26"/>
        <v>95556.82</v>
      </c>
      <c r="M397" s="8"/>
      <c r="N397" s="266"/>
    </row>
    <row r="398" spans="1:14" s="3" customFormat="1" ht="12.2" customHeight="1" x14ac:dyDescent="0.15">
      <c r="A398" s="79" t="s">
        <v>515</v>
      </c>
      <c r="B398" s="2" t="s">
        <v>381</v>
      </c>
      <c r="C398" s="6">
        <v>10</v>
      </c>
      <c r="D398" s="2" t="s">
        <v>432</v>
      </c>
      <c r="E398" s="6"/>
      <c r="F398" s="18"/>
      <c r="G398" s="18"/>
      <c r="H398" s="18">
        <v>5020.43</v>
      </c>
      <c r="I398" s="18"/>
      <c r="J398" s="24" t="s">
        <v>288</v>
      </c>
      <c r="K398" s="24" t="s">
        <v>288</v>
      </c>
      <c r="L398" s="56">
        <f t="shared" si="26"/>
        <v>5020.43</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81429</v>
      </c>
      <c r="H402" s="47">
        <f>SUM(H396:H401)</f>
        <v>19148.25</v>
      </c>
      <c r="I402" s="47">
        <f>SUM(I396:I401)</f>
        <v>0</v>
      </c>
      <c r="J402" s="45" t="s">
        <v>288</v>
      </c>
      <c r="K402" s="45" t="s">
        <v>288</v>
      </c>
      <c r="L402" s="47">
        <f>SUM(L396:L401)</f>
        <v>100577.25</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t="s">
        <v>1643</v>
      </c>
      <c r="B404" s="2" t="s">
        <v>381</v>
      </c>
      <c r="C404" s="6">
        <v>15</v>
      </c>
      <c r="D404" s="2" t="s">
        <v>432</v>
      </c>
      <c r="E404" s="6"/>
      <c r="F404" s="18"/>
      <c r="G404" s="18"/>
      <c r="H404" s="18">
        <v>397.33</v>
      </c>
      <c r="I404" s="18"/>
      <c r="J404" s="24" t="s">
        <v>288</v>
      </c>
      <c r="K404" s="24" t="s">
        <v>288</v>
      </c>
      <c r="L404" s="56">
        <f>SUM(F404:K404)</f>
        <v>397.33</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397.33</v>
      </c>
      <c r="I408" s="47">
        <f>SUM(I404:I407)</f>
        <v>0</v>
      </c>
      <c r="J408" s="49" t="s">
        <v>288</v>
      </c>
      <c r="K408" s="49" t="s">
        <v>288</v>
      </c>
      <c r="L408" s="47">
        <f>SUM(L404:L407)</f>
        <v>397.33</v>
      </c>
      <c r="M408" s="8"/>
      <c r="N408" s="266"/>
    </row>
    <row r="409" spans="1:21" s="3" customFormat="1" ht="12.2" customHeight="1" thickTop="1" x14ac:dyDescent="0.15">
      <c r="A409" s="78" t="s">
        <v>421</v>
      </c>
      <c r="B409" s="2" t="s">
        <v>381</v>
      </c>
      <c r="C409" s="6">
        <v>20</v>
      </c>
      <c r="D409" s="6"/>
      <c r="E409" s="40"/>
      <c r="F409" s="47">
        <f>F394+F402+F408</f>
        <v>0</v>
      </c>
      <c r="G409" s="47">
        <f>G394+G402+G408</f>
        <v>331429</v>
      </c>
      <c r="H409" s="47">
        <f>H394+H402+H408</f>
        <v>21016.960000000003</v>
      </c>
      <c r="I409" s="47">
        <f>I394+I402+I408</f>
        <v>0</v>
      </c>
      <c r="J409" s="24" t="s">
        <v>288</v>
      </c>
      <c r="K409" s="24" t="s">
        <v>288</v>
      </c>
      <c r="L409" s="47">
        <f>L394+L402+L408</f>
        <v>352445.96</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v>160722</v>
      </c>
      <c r="I417" s="18"/>
      <c r="J417" s="18"/>
      <c r="K417" s="18"/>
      <c r="L417" s="56">
        <f t="shared" si="27"/>
        <v>160722</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v>46753</v>
      </c>
      <c r="I419" s="18"/>
      <c r="J419" s="18"/>
      <c r="K419" s="18"/>
      <c r="L419" s="56">
        <f t="shared" si="27"/>
        <v>46753</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207475</v>
      </c>
      <c r="I420" s="139">
        <f t="shared" si="28"/>
        <v>0</v>
      </c>
      <c r="J420" s="139">
        <f t="shared" si="28"/>
        <v>0</v>
      </c>
      <c r="K420" s="139">
        <f t="shared" si="28"/>
        <v>0</v>
      </c>
      <c r="L420" s="47">
        <f t="shared" si="28"/>
        <v>207475</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207475</v>
      </c>
      <c r="I435" s="47">
        <f t="shared" si="32"/>
        <v>0</v>
      </c>
      <c r="J435" s="47">
        <f t="shared" si="32"/>
        <v>0</v>
      </c>
      <c r="K435" s="47">
        <f t="shared" si="32"/>
        <v>0</v>
      </c>
      <c r="L435" s="47">
        <f t="shared" si="32"/>
        <v>207475</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79211.11</v>
      </c>
      <c r="G440" s="18">
        <v>1630843.65</v>
      </c>
      <c r="H440" s="18">
        <v>33737.25</v>
      </c>
      <c r="I440" s="56">
        <f t="shared" ref="I440:I446" si="33">SUM(F440:H440)</f>
        <v>1743792.01</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79211.11</v>
      </c>
      <c r="G447" s="13">
        <f>SUM(G440:G446)</f>
        <v>1630843.65</v>
      </c>
      <c r="H447" s="13">
        <f>SUM(H440:H446)</f>
        <v>33737.25</v>
      </c>
      <c r="I447" s="13">
        <f>SUM(I440:I446)</f>
        <v>1743792.01</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79211.11</v>
      </c>
      <c r="G460" s="18">
        <v>1630843.65</v>
      </c>
      <c r="H460" s="18">
        <v>33737.25</v>
      </c>
      <c r="I460" s="56">
        <f t="shared" si="34"/>
        <v>1743792.01</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79211.11</v>
      </c>
      <c r="G461" s="83">
        <f>SUM(G455:G460)</f>
        <v>1630843.65</v>
      </c>
      <c r="H461" s="83">
        <f>SUM(H455:H460)</f>
        <v>33737.25</v>
      </c>
      <c r="I461" s="83">
        <f>SUM(I455:I460)</f>
        <v>1743792.01</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79211.11</v>
      </c>
      <c r="G462" s="42">
        <f>G453+G461</f>
        <v>1630843.65</v>
      </c>
      <c r="H462" s="42">
        <f>H453+H461</f>
        <v>33737.25</v>
      </c>
      <c r="I462" s="42">
        <f>I453+I461</f>
        <v>1743792.01</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2160621.2799999998</v>
      </c>
      <c r="G466" s="18">
        <v>3094.22</v>
      </c>
      <c r="H466" s="18">
        <v>243036.9</v>
      </c>
      <c r="I466" s="18">
        <v>40040</v>
      </c>
      <c r="J466" s="18">
        <v>1598821.05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SUM(36260792.28-1050268.82)</f>
        <v>35210523.460000001</v>
      </c>
      <c r="G469" s="18">
        <v>663832.1</v>
      </c>
      <c r="H469" s="18">
        <v>1709817.28</v>
      </c>
      <c r="I469" s="18"/>
      <c r="J469" s="18">
        <v>352445.96</v>
      </c>
      <c r="K469" s="24" t="s">
        <v>288</v>
      </c>
      <c r="L469" s="24" t="s">
        <v>288</v>
      </c>
      <c r="N469" s="265"/>
    </row>
    <row r="470" spans="1:14" s="52" customFormat="1" ht="12.2" customHeight="1" x14ac:dyDescent="0.2">
      <c r="A470" s="93" t="s">
        <v>611</v>
      </c>
      <c r="B470" s="75">
        <v>19</v>
      </c>
      <c r="C470" s="80">
        <v>3</v>
      </c>
      <c r="D470" s="2" t="s">
        <v>432</v>
      </c>
      <c r="E470" s="80"/>
      <c r="F470" s="18">
        <v>11707.34</v>
      </c>
      <c r="G470" s="18">
        <v>57982.59</v>
      </c>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35222230.800000004</v>
      </c>
      <c r="G471" s="53">
        <f>SUM(G469:G470)</f>
        <v>721814.69</v>
      </c>
      <c r="H471" s="53">
        <f>SUM(H469:H470)</f>
        <v>1709817.28</v>
      </c>
      <c r="I471" s="53">
        <f>SUM(I469:I470)</f>
        <v>0</v>
      </c>
      <c r="J471" s="53">
        <f>SUM(J469:J470)</f>
        <v>352445.96</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SUM(35955607.49-1050268.82)</f>
        <v>34905338.670000002</v>
      </c>
      <c r="G473" s="18">
        <v>719814.69</v>
      </c>
      <c r="H473" s="18">
        <v>1876597.18</v>
      </c>
      <c r="I473" s="18"/>
      <c r="J473" s="18">
        <v>207475</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34905338.670000002</v>
      </c>
      <c r="G475" s="53">
        <f>SUM(G473:G474)</f>
        <v>719814.69</v>
      </c>
      <c r="H475" s="53">
        <f>SUM(H473:H474)</f>
        <v>1876597.18</v>
      </c>
      <c r="I475" s="53">
        <f>SUM(I473:I474)</f>
        <v>0</v>
      </c>
      <c r="J475" s="53">
        <f>SUM(J473:J474)</f>
        <v>207475</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2477513.4100000039</v>
      </c>
      <c r="G477" s="53">
        <f>(G466+G471)- G475</f>
        <v>5094.2199999999721</v>
      </c>
      <c r="H477" s="53">
        <f>(H466+H471)- H475</f>
        <v>76257</v>
      </c>
      <c r="I477" s="53">
        <f>(I466+I471)- I475</f>
        <v>40040</v>
      </c>
      <c r="J477" s="53">
        <f>(J466+J471)- J475</f>
        <v>1743792.01</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20</v>
      </c>
      <c r="H491" s="154">
        <v>20</v>
      </c>
      <c r="I491" s="154">
        <v>20</v>
      </c>
      <c r="J491" s="154"/>
      <c r="K491" s="24" t="s">
        <v>288</v>
      </c>
      <c r="L491" s="24" t="s">
        <v>288</v>
      </c>
      <c r="N491" s="265"/>
    </row>
    <row r="492" spans="1:14" s="52" customFormat="1" ht="12.2" customHeight="1" x14ac:dyDescent="0.2">
      <c r="A492" s="22" t="s">
        <v>615</v>
      </c>
      <c r="B492" s="75">
        <v>20</v>
      </c>
      <c r="C492" s="115">
        <v>2</v>
      </c>
      <c r="D492" s="2" t="s">
        <v>432</v>
      </c>
      <c r="E492" s="115"/>
      <c r="F492" s="155" t="s">
        <v>1644</v>
      </c>
      <c r="G492" s="155" t="s">
        <v>1645</v>
      </c>
      <c r="H492" s="155" t="s">
        <v>1646</v>
      </c>
      <c r="I492" s="155" t="s">
        <v>1647</v>
      </c>
      <c r="J492" s="154"/>
      <c r="K492" s="24" t="s">
        <v>288</v>
      </c>
      <c r="L492" s="24" t="s">
        <v>288</v>
      </c>
      <c r="N492" s="265"/>
    </row>
    <row r="493" spans="1:14" s="52" customFormat="1" ht="12.2" customHeight="1" x14ac:dyDescent="0.2">
      <c r="A493" s="22" t="s">
        <v>616</v>
      </c>
      <c r="B493" s="75">
        <v>20</v>
      </c>
      <c r="C493" s="115">
        <v>3</v>
      </c>
      <c r="D493" s="2" t="s">
        <v>432</v>
      </c>
      <c r="E493" s="115"/>
      <c r="F493" s="155" t="s">
        <v>1648</v>
      </c>
      <c r="G493" s="155" t="s">
        <v>1649</v>
      </c>
      <c r="H493" s="155" t="s">
        <v>1650</v>
      </c>
      <c r="I493" s="155" t="s">
        <v>1651</v>
      </c>
      <c r="J493" s="154"/>
      <c r="K493" s="24" t="s">
        <v>288</v>
      </c>
      <c r="L493" s="24" t="s">
        <v>288</v>
      </c>
      <c r="N493" s="265"/>
    </row>
    <row r="494" spans="1:14" s="52" customFormat="1" ht="12.2" customHeight="1" x14ac:dyDescent="0.2">
      <c r="A494" s="22" t="s">
        <v>617</v>
      </c>
      <c r="B494" s="75">
        <v>20</v>
      </c>
      <c r="C494" s="115">
        <v>4</v>
      </c>
      <c r="D494" s="2" t="s">
        <v>432</v>
      </c>
      <c r="E494" s="115"/>
      <c r="F494" s="18">
        <v>42120000</v>
      </c>
      <c r="G494" s="18">
        <v>1837000</v>
      </c>
      <c r="H494" s="18">
        <v>1871000</v>
      </c>
      <c r="I494" s="18">
        <v>1122900</v>
      </c>
      <c r="J494" s="18"/>
      <c r="K494" s="24" t="s">
        <v>288</v>
      </c>
      <c r="L494" s="24" t="s">
        <v>288</v>
      </c>
      <c r="N494" s="265"/>
    </row>
    <row r="495" spans="1:14" s="52" customFormat="1" ht="12.2" customHeight="1" x14ac:dyDescent="0.2">
      <c r="A495" s="22" t="s">
        <v>618</v>
      </c>
      <c r="B495" s="75">
        <v>20</v>
      </c>
      <c r="C495" s="115">
        <v>5</v>
      </c>
      <c r="D495" s="2" t="s">
        <v>432</v>
      </c>
      <c r="E495" s="115"/>
      <c r="F495" s="18">
        <v>4</v>
      </c>
      <c r="G495" s="18">
        <v>2.5</v>
      </c>
      <c r="H495" s="18">
        <v>2.6640000000000001</v>
      </c>
      <c r="I495" s="18">
        <v>3.24</v>
      </c>
      <c r="J495" s="18"/>
      <c r="K495" s="24" t="s">
        <v>288</v>
      </c>
      <c r="L495" s="24" t="s">
        <v>288</v>
      </c>
      <c r="N495" s="265"/>
    </row>
    <row r="496" spans="1:14" s="52" customFormat="1" ht="12.2" customHeight="1" x14ac:dyDescent="0.2">
      <c r="A496" s="22" t="s">
        <v>619</v>
      </c>
      <c r="B496" s="75">
        <v>20</v>
      </c>
      <c r="C496" s="115">
        <v>6</v>
      </c>
      <c r="D496" s="2" t="s">
        <v>432</v>
      </c>
      <c r="E496" s="115"/>
      <c r="F496" s="18">
        <f>SUM(11060000-1850000)</f>
        <v>9210000</v>
      </c>
      <c r="G496" s="18">
        <f>SUM(1749300-95000)</f>
        <v>1654300</v>
      </c>
      <c r="H496" s="18">
        <f>SUM(1871000-91000)</f>
        <v>1780000</v>
      </c>
      <c r="I496" s="18">
        <v>1122900</v>
      </c>
      <c r="J496" s="18"/>
      <c r="K496" s="53">
        <f>SUM(F496:J496)</f>
        <v>13767200</v>
      </c>
      <c r="L496" s="24" t="s">
        <v>288</v>
      </c>
      <c r="N496" s="265"/>
    </row>
    <row r="497" spans="1:14" s="52" customFormat="1" ht="12.2" customHeight="1" x14ac:dyDescent="0.2">
      <c r="A497" s="22" t="s">
        <v>620</v>
      </c>
      <c r="B497" s="75">
        <v>20</v>
      </c>
      <c r="C497" s="115">
        <v>7</v>
      </c>
      <c r="D497" s="2" t="s">
        <v>432</v>
      </c>
      <c r="E497" s="115"/>
      <c r="F497" s="18">
        <v>0</v>
      </c>
      <c r="G497" s="18">
        <v>0</v>
      </c>
      <c r="H497" s="18">
        <v>0</v>
      </c>
      <c r="I497" s="18">
        <v>0</v>
      </c>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204">
        <v>1845000</v>
      </c>
      <c r="G498" s="204">
        <v>95000</v>
      </c>
      <c r="H498" s="204">
        <v>95000</v>
      </c>
      <c r="I498" s="204">
        <v>57900</v>
      </c>
      <c r="J498" s="18"/>
      <c r="K498" s="53">
        <f t="shared" si="35"/>
        <v>2092900</v>
      </c>
      <c r="L498" s="24" t="s">
        <v>288</v>
      </c>
      <c r="N498" s="265"/>
    </row>
    <row r="499" spans="1:14" s="52" customFormat="1" ht="12.2" customHeight="1" x14ac:dyDescent="0.2">
      <c r="A499" s="200" t="s">
        <v>622</v>
      </c>
      <c r="B499" s="201">
        <v>20</v>
      </c>
      <c r="C499" s="202">
        <v>9</v>
      </c>
      <c r="D499" s="203" t="s">
        <v>432</v>
      </c>
      <c r="E499" s="202"/>
      <c r="F499" s="204">
        <f>SUM(9210000-1845000)</f>
        <v>7365000</v>
      </c>
      <c r="G499" s="204">
        <f>SUM(1654300-95000)</f>
        <v>1559300</v>
      </c>
      <c r="H499" s="204">
        <f>SUM(1780000-95000)</f>
        <v>1685000</v>
      </c>
      <c r="I499" s="204">
        <f>SUM(1122900-57900)</f>
        <v>1065000</v>
      </c>
      <c r="J499" s="204"/>
      <c r="K499" s="205">
        <f t="shared" si="35"/>
        <v>11674300</v>
      </c>
      <c r="L499" s="206" t="s">
        <v>288</v>
      </c>
      <c r="N499" s="265"/>
    </row>
    <row r="500" spans="1:14" s="52" customFormat="1" ht="12.2" customHeight="1" thickBot="1" x14ac:dyDescent="0.25">
      <c r="A500" s="22" t="s">
        <v>623</v>
      </c>
      <c r="B500" s="75">
        <v>20</v>
      </c>
      <c r="C500" s="115">
        <v>10</v>
      </c>
      <c r="D500" s="2" t="s">
        <v>432</v>
      </c>
      <c r="E500" s="115"/>
      <c r="F500" s="18">
        <f>SUM(1023803.26-366623.5)</f>
        <v>657179.76</v>
      </c>
      <c r="G500" s="18">
        <f>SUM(491696.75-60009)</f>
        <v>431687.75</v>
      </c>
      <c r="H500" s="18">
        <f>SUM(659385-75557.5)</f>
        <v>583827.5</v>
      </c>
      <c r="I500" s="18">
        <f>SUM(440556.01-47610.21)</f>
        <v>392945.8</v>
      </c>
      <c r="J500" s="18"/>
      <c r="K500" s="53">
        <f t="shared" si="35"/>
        <v>2065640.81</v>
      </c>
      <c r="L500" s="24" t="s">
        <v>288</v>
      </c>
      <c r="N500" s="265"/>
    </row>
    <row r="501" spans="1:14" s="52" customFormat="1" ht="12.2" customHeight="1" thickTop="1" x14ac:dyDescent="0.2">
      <c r="A501" s="139" t="s">
        <v>624</v>
      </c>
      <c r="B501" s="44">
        <v>20</v>
      </c>
      <c r="C501" s="195">
        <v>11</v>
      </c>
      <c r="D501" s="39" t="s">
        <v>432</v>
      </c>
      <c r="E501" s="195"/>
      <c r="F501" s="42">
        <f>SUM(F499:F500)</f>
        <v>8022179.7599999998</v>
      </c>
      <c r="G501" s="42">
        <f>SUM(G499:G500)</f>
        <v>1990987.75</v>
      </c>
      <c r="H501" s="42">
        <f>SUM(H499:H500)</f>
        <v>2268827.5</v>
      </c>
      <c r="I501" s="42">
        <f>SUM(I499:I500)</f>
        <v>1457945.8</v>
      </c>
      <c r="J501" s="42">
        <f>SUM(J499:J500)</f>
        <v>0</v>
      </c>
      <c r="K501" s="42">
        <f t="shared" si="35"/>
        <v>13739940.810000001</v>
      </c>
      <c r="L501" s="45" t="s">
        <v>288</v>
      </c>
      <c r="N501" s="265"/>
    </row>
    <row r="502" spans="1:14" s="52" customFormat="1" ht="12.2" customHeight="1" x14ac:dyDescent="0.2">
      <c r="A502" s="200" t="s">
        <v>651</v>
      </c>
      <c r="B502" s="201">
        <v>20</v>
      </c>
      <c r="C502" s="202">
        <v>12</v>
      </c>
      <c r="D502" s="203" t="s">
        <v>432</v>
      </c>
      <c r="E502" s="202"/>
      <c r="F502" s="204">
        <v>1845000</v>
      </c>
      <c r="G502" s="204">
        <v>95000</v>
      </c>
      <c r="H502" s="204">
        <v>95000</v>
      </c>
      <c r="I502" s="204">
        <v>60000</v>
      </c>
      <c r="J502" s="204"/>
      <c r="K502" s="205">
        <f t="shared" si="35"/>
        <v>2095000</v>
      </c>
      <c r="L502" s="206" t="s">
        <v>288</v>
      </c>
      <c r="N502" s="265"/>
    </row>
    <row r="503" spans="1:14" s="52" customFormat="1" ht="12.2" customHeight="1" thickBot="1" x14ac:dyDescent="0.25">
      <c r="A503" s="22" t="s">
        <v>625</v>
      </c>
      <c r="B503" s="75">
        <v>20</v>
      </c>
      <c r="C503" s="115">
        <v>13</v>
      </c>
      <c r="D503" s="2" t="s">
        <v>432</v>
      </c>
      <c r="E503" s="115"/>
      <c r="F503" s="18">
        <f>SUM(116746.38+169159.38)</f>
        <v>285905.76</v>
      </c>
      <c r="G503" s="18">
        <f>SUM(28812.25+26427.75)</f>
        <v>55240</v>
      </c>
      <c r="H503" s="18">
        <f>SUM(36567.5+34145)</f>
        <v>70712.5</v>
      </c>
      <c r="I503" s="18">
        <f>SUM(23066.88+21536.88)</f>
        <v>44603.76</v>
      </c>
      <c r="J503" s="18"/>
      <c r="K503" s="53">
        <f t="shared" si="35"/>
        <v>456462.02</v>
      </c>
      <c r="L503" s="24" t="s">
        <v>288</v>
      </c>
      <c r="N503" s="265"/>
    </row>
    <row r="504" spans="1:14" s="52" customFormat="1" ht="12.2" customHeight="1" thickTop="1" x14ac:dyDescent="0.2">
      <c r="A504" s="139" t="s">
        <v>626</v>
      </c>
      <c r="B504" s="44">
        <v>20</v>
      </c>
      <c r="C504" s="195">
        <v>14</v>
      </c>
      <c r="D504" s="39" t="s">
        <v>432</v>
      </c>
      <c r="E504" s="195"/>
      <c r="F504" s="42">
        <f>SUM(F502:F503)</f>
        <v>2130905.7599999998</v>
      </c>
      <c r="G504" s="42">
        <f>SUM(G502:G503)</f>
        <v>150240</v>
      </c>
      <c r="H504" s="42">
        <f>SUM(H502:H503)</f>
        <v>165712.5</v>
      </c>
      <c r="I504" s="42">
        <f>SUM(I502:I503)</f>
        <v>104603.76000000001</v>
      </c>
      <c r="J504" s="42">
        <f>SUM(J502:J503)</f>
        <v>0</v>
      </c>
      <c r="K504" s="42">
        <f t="shared" si="35"/>
        <v>2551462.0199999996</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SUM(1060860.94+158386.68+39444.99+50187.5)</f>
        <v>1308880.1099999999</v>
      </c>
      <c r="G522" s="18">
        <f>SUM(894898.17+93844.67+23862.1+34310.37)</f>
        <v>1046915.31</v>
      </c>
      <c r="H522" s="18">
        <f>SUM(245676.65+257.15+65120)</f>
        <v>311053.8</v>
      </c>
      <c r="I522" s="18">
        <f>SUM(1140.52+358.97+170.33+17998.66)</f>
        <v>19668.48</v>
      </c>
      <c r="J522" s="18">
        <v>4620</v>
      </c>
      <c r="K522" s="18"/>
      <c r="L522" s="88">
        <f>SUM(F522:K522)</f>
        <v>2691137.6999999997</v>
      </c>
      <c r="N522" s="265"/>
    </row>
    <row r="523" spans="1:14" s="52" customFormat="1" ht="12.2" customHeight="1" x14ac:dyDescent="0.2">
      <c r="A523" s="22" t="s">
        <v>634</v>
      </c>
      <c r="B523" s="105">
        <v>21</v>
      </c>
      <c r="C523" s="115">
        <v>2</v>
      </c>
      <c r="D523" s="2" t="s">
        <v>432</v>
      </c>
      <c r="E523" s="115"/>
      <c r="F523" s="18">
        <f>SUM(429433.11+17193.97)</f>
        <v>446627.07999999996</v>
      </c>
      <c r="G523" s="18">
        <f>SUM(309389.81+10401.43)</f>
        <v>319791.24</v>
      </c>
      <c r="H523" s="18">
        <f>SUM(425412.6+112.09)</f>
        <v>425524.69</v>
      </c>
      <c r="I523" s="18">
        <f>SUM(4887.97+74.25)</f>
        <v>4962.22</v>
      </c>
      <c r="J523" s="18"/>
      <c r="K523" s="18"/>
      <c r="L523" s="88">
        <f>SUM(F523:K523)</f>
        <v>1196905.23</v>
      </c>
      <c r="N523" s="265"/>
    </row>
    <row r="524" spans="1:14" s="52" customFormat="1" ht="12.2" customHeight="1" thickBot="1" x14ac:dyDescent="0.25">
      <c r="A524" s="22" t="s">
        <v>635</v>
      </c>
      <c r="B524" s="105">
        <v>21</v>
      </c>
      <c r="C524" s="115">
        <v>3</v>
      </c>
      <c r="D524" s="2" t="s">
        <v>432</v>
      </c>
      <c r="E524" s="115"/>
      <c r="F524" s="18">
        <f>SUM(668902.88+44502.04)</f>
        <v>713404.92</v>
      </c>
      <c r="G524" s="18">
        <f>SUM(444493.26+26921.34)</f>
        <v>471414.60000000003</v>
      </c>
      <c r="H524" s="18">
        <f>SUM(129403.08+290.11)</f>
        <v>129693.19</v>
      </c>
      <c r="I524" s="18">
        <f>SUM(4579.81+192.17+4282.2)</f>
        <v>9054.18</v>
      </c>
      <c r="J524" s="18">
        <v>2680.84</v>
      </c>
      <c r="K524" s="18"/>
      <c r="L524" s="88">
        <f>SUM(F524:K524)</f>
        <v>1326247.73</v>
      </c>
      <c r="N524" s="265"/>
    </row>
    <row r="525" spans="1:14" s="52" customFormat="1" ht="12.2" customHeight="1" thickTop="1" x14ac:dyDescent="0.2">
      <c r="A525" s="139" t="s">
        <v>63</v>
      </c>
      <c r="B525" s="107">
        <v>21</v>
      </c>
      <c r="C525" s="195">
        <v>4</v>
      </c>
      <c r="D525" s="196" t="s">
        <v>432</v>
      </c>
      <c r="E525" s="195"/>
      <c r="F525" s="108">
        <f>SUM(F522:F524)</f>
        <v>2468912.11</v>
      </c>
      <c r="G525" s="108">
        <f t="shared" ref="G525:L525" si="36">SUM(G522:G524)</f>
        <v>1838121.1500000001</v>
      </c>
      <c r="H525" s="108">
        <f t="shared" si="36"/>
        <v>866271.67999999993</v>
      </c>
      <c r="I525" s="108">
        <f t="shared" si="36"/>
        <v>33684.880000000005</v>
      </c>
      <c r="J525" s="108">
        <f t="shared" si="36"/>
        <v>7300.84</v>
      </c>
      <c r="K525" s="108">
        <f t="shared" si="36"/>
        <v>0</v>
      </c>
      <c r="L525" s="89">
        <f t="shared" si="36"/>
        <v>5214290.66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SUM(20934.22+106020.8+23608.65)</f>
        <v>150563.67000000001</v>
      </c>
      <c r="G527" s="18">
        <f>SUM(18000.34+92105.04+15993.37)</f>
        <v>126098.74999999999</v>
      </c>
      <c r="H527" s="18">
        <f>SUM(364.68+83172.71+35356.25+101.52)</f>
        <v>118995.16</v>
      </c>
      <c r="I527" s="18">
        <f>SUM(3282.68+696.29)</f>
        <v>3978.97</v>
      </c>
      <c r="J527" s="18"/>
      <c r="K527" s="18"/>
      <c r="L527" s="88">
        <f>SUM(F527:K527)</f>
        <v>399636.54999999993</v>
      </c>
      <c r="M527" s="8"/>
      <c r="N527" s="266"/>
    </row>
    <row r="528" spans="1:14" s="3" customFormat="1" ht="12.2" customHeight="1" x14ac:dyDescent="0.15">
      <c r="A528" s="22" t="s">
        <v>634</v>
      </c>
      <c r="B528" s="105">
        <v>21</v>
      </c>
      <c r="C528" s="115">
        <v>6</v>
      </c>
      <c r="D528" s="2" t="s">
        <v>432</v>
      </c>
      <c r="E528" s="115"/>
      <c r="F528" s="18">
        <f>SUM(6978.14+10560+10290.95)</f>
        <v>27829.09</v>
      </c>
      <c r="G528" s="18">
        <f>SUM(4936.87+2654+6971.47)</f>
        <v>14562.34</v>
      </c>
      <c r="H528" s="18">
        <f>SUM(1320+44.25)</f>
        <v>1364.25</v>
      </c>
      <c r="I528" s="18"/>
      <c r="J528" s="18"/>
      <c r="K528" s="18"/>
      <c r="L528" s="88">
        <f>SUM(F528:K528)</f>
        <v>43755.68</v>
      </c>
      <c r="M528" s="8"/>
      <c r="N528" s="266"/>
    </row>
    <row r="529" spans="1:14" s="3" customFormat="1" ht="12.2" customHeight="1" thickBot="1" x14ac:dyDescent="0.2">
      <c r="A529" s="22" t="s">
        <v>635</v>
      </c>
      <c r="B529" s="118">
        <v>21</v>
      </c>
      <c r="C529" s="118">
        <v>7</v>
      </c>
      <c r="D529" s="2" t="s">
        <v>432</v>
      </c>
      <c r="E529" s="118"/>
      <c r="F529" s="18">
        <f>SUM(34890.5+78089.44+26635.4)</f>
        <v>139615.34</v>
      </c>
      <c r="G529" s="18">
        <f>SUM(24689.34+66519.62+18043.81)</f>
        <v>109252.76999999999</v>
      </c>
      <c r="H529" s="18">
        <f>SUM(4765.36+1189.65+3985+506.11+114.54)</f>
        <v>10560.660000000002</v>
      </c>
      <c r="I529" s="18">
        <f>SUM(199+289.63)</f>
        <v>488.63</v>
      </c>
      <c r="J529" s="18"/>
      <c r="K529" s="18"/>
      <c r="L529" s="88">
        <f>SUM(F529:K529)</f>
        <v>259917.4</v>
      </c>
      <c r="M529" s="8"/>
      <c r="N529" s="266"/>
    </row>
    <row r="530" spans="1:14" s="3" customFormat="1" ht="12.2" customHeight="1" thickTop="1" x14ac:dyDescent="0.15">
      <c r="A530" s="139" t="s">
        <v>65</v>
      </c>
      <c r="B530" s="107">
        <v>21</v>
      </c>
      <c r="C530" s="107">
        <v>8</v>
      </c>
      <c r="D530" s="158" t="s">
        <v>432</v>
      </c>
      <c r="E530" s="107"/>
      <c r="F530" s="89">
        <f>SUM(F527:F529)</f>
        <v>318008.09999999998</v>
      </c>
      <c r="G530" s="89">
        <f t="shared" ref="G530:L530" si="37">SUM(G527:G529)</f>
        <v>249913.86</v>
      </c>
      <c r="H530" s="89">
        <f t="shared" si="37"/>
        <v>130920.07</v>
      </c>
      <c r="I530" s="89">
        <f t="shared" si="37"/>
        <v>4467.5999999999995</v>
      </c>
      <c r="J530" s="89">
        <f t="shared" si="37"/>
        <v>0</v>
      </c>
      <c r="K530" s="89">
        <f t="shared" si="37"/>
        <v>0</v>
      </c>
      <c r="L530" s="89">
        <f t="shared" si="37"/>
        <v>703309.62999999989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75688</v>
      </c>
      <c r="I532" s="18"/>
      <c r="J532" s="18"/>
      <c r="K532" s="18"/>
      <c r="L532" s="88">
        <f>SUM(F532:K532)</f>
        <v>75688</v>
      </c>
      <c r="M532" s="8"/>
      <c r="N532" s="266"/>
    </row>
    <row r="533" spans="1:14" s="3" customFormat="1" ht="12.2" customHeight="1" x14ac:dyDescent="0.15">
      <c r="A533" s="22" t="s">
        <v>634</v>
      </c>
      <c r="B533" s="105">
        <v>21</v>
      </c>
      <c r="C533" s="105">
        <v>10</v>
      </c>
      <c r="D533" s="2" t="s">
        <v>432</v>
      </c>
      <c r="E533" s="105"/>
      <c r="F533" s="18"/>
      <c r="G533" s="18"/>
      <c r="H533" s="18">
        <v>32992</v>
      </c>
      <c r="I533" s="18"/>
      <c r="J533" s="18"/>
      <c r="K533" s="18"/>
      <c r="L533" s="88">
        <f>SUM(F533:K533)</f>
        <v>32992</v>
      </c>
      <c r="M533" s="8"/>
      <c r="N533" s="266"/>
    </row>
    <row r="534" spans="1:14" s="3" customFormat="1" ht="12.2" customHeight="1" thickBot="1" x14ac:dyDescent="0.2">
      <c r="A534" s="22" t="s">
        <v>635</v>
      </c>
      <c r="B534" s="105">
        <v>21</v>
      </c>
      <c r="C534" s="105">
        <v>11</v>
      </c>
      <c r="D534" s="2" t="s">
        <v>432</v>
      </c>
      <c r="E534" s="105"/>
      <c r="F534" s="18"/>
      <c r="G534" s="18"/>
      <c r="H534" s="18">
        <v>85392</v>
      </c>
      <c r="I534" s="18"/>
      <c r="J534" s="18"/>
      <c r="K534" s="18"/>
      <c r="L534" s="88">
        <f>SUM(F534:K534)</f>
        <v>85392</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194072</v>
      </c>
      <c r="I535" s="89">
        <f t="shared" si="38"/>
        <v>0</v>
      </c>
      <c r="J535" s="89">
        <f t="shared" si="38"/>
        <v>0</v>
      </c>
      <c r="K535" s="89">
        <f t="shared" si="38"/>
        <v>0</v>
      </c>
      <c r="L535" s="89">
        <f t="shared" si="38"/>
        <v>194072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46652.81</v>
      </c>
      <c r="G542" s="18">
        <f>SUM(8724.4+580.68+72.24+3329.19+5074.97+3170.16)</f>
        <v>20951.64</v>
      </c>
      <c r="H542" s="18">
        <v>44250</v>
      </c>
      <c r="I542" s="18"/>
      <c r="J542" s="18"/>
      <c r="K542" s="18"/>
      <c r="L542" s="88">
        <f>SUM(F542:K542)</f>
        <v>111854.45</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46652.81</v>
      </c>
      <c r="G545" s="193">
        <f t="shared" ref="G545:L545" si="40">SUM(G542:G544)</f>
        <v>20951.64</v>
      </c>
      <c r="H545" s="193">
        <f t="shared" si="40"/>
        <v>44250</v>
      </c>
      <c r="I545" s="193">
        <f t="shared" si="40"/>
        <v>0</v>
      </c>
      <c r="J545" s="193">
        <f t="shared" si="40"/>
        <v>0</v>
      </c>
      <c r="K545" s="193">
        <f t="shared" si="40"/>
        <v>0</v>
      </c>
      <c r="L545" s="193">
        <f t="shared" si="40"/>
        <v>111854.45</v>
      </c>
      <c r="M545" s="8"/>
      <c r="N545" s="266"/>
    </row>
    <row r="546" spans="1:14" s="3" customFormat="1" ht="12.2" customHeight="1" thickTop="1" x14ac:dyDescent="0.15">
      <c r="A546" s="98" t="s">
        <v>72</v>
      </c>
      <c r="B546" s="107">
        <v>21</v>
      </c>
      <c r="C546" s="107">
        <v>21</v>
      </c>
      <c r="D546" s="158" t="s">
        <v>432</v>
      </c>
      <c r="E546" s="107"/>
      <c r="F546" s="89">
        <f>F525+F530+F535+F540+F545</f>
        <v>2833573.02</v>
      </c>
      <c r="G546" s="89">
        <f t="shared" ref="G546:L546" si="41">G525+G530+G535+G540+G545</f>
        <v>2108986.6500000004</v>
      </c>
      <c r="H546" s="89">
        <f t="shared" si="41"/>
        <v>1235513.75</v>
      </c>
      <c r="I546" s="89">
        <f t="shared" si="41"/>
        <v>38152.480000000003</v>
      </c>
      <c r="J546" s="89">
        <f t="shared" si="41"/>
        <v>7300.84</v>
      </c>
      <c r="K546" s="89">
        <f t="shared" si="41"/>
        <v>0</v>
      </c>
      <c r="L546" s="89">
        <f t="shared" si="41"/>
        <v>6223526.7400000002</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2691137.6999999997</v>
      </c>
      <c r="G550" s="87">
        <f>L527</f>
        <v>399636.54999999993</v>
      </c>
      <c r="H550" s="87">
        <f>L532</f>
        <v>75688</v>
      </c>
      <c r="I550" s="87">
        <f>L537</f>
        <v>0</v>
      </c>
      <c r="J550" s="87">
        <f>L542</f>
        <v>111854.45</v>
      </c>
      <c r="K550" s="87">
        <f>SUM(F550:J550)</f>
        <v>3278316.6999999997</v>
      </c>
      <c r="L550" s="24" t="s">
        <v>288</v>
      </c>
      <c r="M550" s="8"/>
      <c r="N550" s="266"/>
    </row>
    <row r="551" spans="1:14" s="3" customFormat="1" ht="12.2" customHeight="1" x14ac:dyDescent="0.15">
      <c r="A551" s="22" t="s">
        <v>634</v>
      </c>
      <c r="B551" s="75">
        <v>21</v>
      </c>
      <c r="C551" s="75">
        <v>23</v>
      </c>
      <c r="D551" s="2" t="s">
        <v>432</v>
      </c>
      <c r="E551" s="75"/>
      <c r="F551" s="87">
        <f>L523</f>
        <v>1196905.23</v>
      </c>
      <c r="G551" s="87">
        <f>L528</f>
        <v>43755.68</v>
      </c>
      <c r="H551" s="87">
        <f>L533</f>
        <v>32992</v>
      </c>
      <c r="I551" s="87">
        <f>L538</f>
        <v>0</v>
      </c>
      <c r="J551" s="87">
        <f>L543</f>
        <v>0</v>
      </c>
      <c r="K551" s="87">
        <f>SUM(F551:J551)</f>
        <v>1273652.9099999999</v>
      </c>
      <c r="L551" s="24" t="s">
        <v>288</v>
      </c>
      <c r="M551" s="8"/>
      <c r="N551" s="266"/>
    </row>
    <row r="552" spans="1:14" s="3" customFormat="1" ht="12.2" customHeight="1" thickBot="1" x14ac:dyDescent="0.2">
      <c r="A552" s="22" t="s">
        <v>635</v>
      </c>
      <c r="B552" s="75">
        <v>21</v>
      </c>
      <c r="C552" s="75">
        <v>24</v>
      </c>
      <c r="D552" s="2" t="s">
        <v>432</v>
      </c>
      <c r="E552" s="75"/>
      <c r="F552" s="87">
        <f>L524</f>
        <v>1326247.73</v>
      </c>
      <c r="G552" s="87">
        <f>L529</f>
        <v>259917.4</v>
      </c>
      <c r="H552" s="87">
        <f>L534</f>
        <v>85392</v>
      </c>
      <c r="I552" s="87">
        <f>L539</f>
        <v>0</v>
      </c>
      <c r="J552" s="87">
        <f>L544</f>
        <v>0</v>
      </c>
      <c r="K552" s="87">
        <f>SUM(F552:J552)</f>
        <v>1671557.13</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5214290.66</v>
      </c>
      <c r="G553" s="89">
        <f t="shared" si="42"/>
        <v>703309.62999999989</v>
      </c>
      <c r="H553" s="89">
        <f t="shared" si="42"/>
        <v>194072</v>
      </c>
      <c r="I553" s="89">
        <f t="shared" si="42"/>
        <v>0</v>
      </c>
      <c r="J553" s="89">
        <f t="shared" si="42"/>
        <v>111854.45</v>
      </c>
      <c r="K553" s="89">
        <f t="shared" si="42"/>
        <v>6223526.7399999993</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7297.92</v>
      </c>
      <c r="G580" s="18"/>
      <c r="H580" s="18"/>
      <c r="I580" s="87">
        <f t="shared" si="47"/>
        <v>7297.92</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f>SUM(131274.2+27830)</f>
        <v>159104.20000000001</v>
      </c>
      <c r="G583" s="18">
        <v>266974.45</v>
      </c>
      <c r="H583" s="18">
        <v>48405</v>
      </c>
      <c r="I583" s="87">
        <f t="shared" si="47"/>
        <v>474483.65</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v>14807.9</v>
      </c>
      <c r="H584" s="18"/>
      <c r="I584" s="87">
        <f t="shared" si="47"/>
        <v>14807.9</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SUM(326139.39-111854.45-10631.5)</f>
        <v>203653.44</v>
      </c>
      <c r="I592" s="18">
        <f>SUM(121858.42-11555.36-1445.88)</f>
        <v>108857.18</v>
      </c>
      <c r="J592" s="18">
        <f>SUM(332901.52-40534.73-10618.77)</f>
        <v>281748.02</v>
      </c>
      <c r="K592" s="104">
        <f t="shared" ref="K592:K598" si="48">SUM(H592:J592)</f>
        <v>594258.64</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111854.45</v>
      </c>
      <c r="I593" s="18"/>
      <c r="J593" s="18"/>
      <c r="K593" s="104">
        <f t="shared" si="48"/>
        <v>111854.45</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11555.36</v>
      </c>
      <c r="J595" s="18">
        <v>40534.730000000003</v>
      </c>
      <c r="K595" s="104">
        <f t="shared" si="48"/>
        <v>52090.090000000004</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f>SUM(5542.63+5088.87)</f>
        <v>10631.5</v>
      </c>
      <c r="I596" s="18">
        <v>1445.88</v>
      </c>
      <c r="J596" s="18">
        <v>10618.77</v>
      </c>
      <c r="K596" s="104">
        <f t="shared" si="48"/>
        <v>22696.15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326139.39</v>
      </c>
      <c r="I599" s="108">
        <f>SUM(I592:I598)</f>
        <v>121858.42</v>
      </c>
      <c r="J599" s="108">
        <f>SUM(J592:J598)</f>
        <v>332901.52</v>
      </c>
      <c r="K599" s="108">
        <f>SUM(K592:K598)</f>
        <v>780899.33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SUM(246789.29+25917.39)</f>
        <v>272706.68</v>
      </c>
      <c r="I605" s="18">
        <v>117888.36</v>
      </c>
      <c r="J605" s="18">
        <f>SUM(16051.99+307956.11)</f>
        <v>324008.09999999998</v>
      </c>
      <c r="K605" s="104">
        <f>SUM(H605:J605)</f>
        <v>714603.1399999999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272706.68</v>
      </c>
      <c r="I606" s="108">
        <f>SUM(I603:I605)</f>
        <v>117888.36</v>
      </c>
      <c r="J606" s="108">
        <f>SUM(J603:J605)</f>
        <v>324008.09999999998</v>
      </c>
      <c r="K606" s="108">
        <f>SUM(K603:K605)</f>
        <v>714603.1399999999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v>3900</v>
      </c>
      <c r="G613" s="18">
        <v>1010.22</v>
      </c>
      <c r="H613" s="18"/>
      <c r="I613" s="18"/>
      <c r="J613" s="18"/>
      <c r="K613" s="18"/>
      <c r="L613" s="88">
        <f>SUM(F613:K613)</f>
        <v>4910.22</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3900</v>
      </c>
      <c r="G615" s="108">
        <f t="shared" si="49"/>
        <v>1010.22</v>
      </c>
      <c r="H615" s="108">
        <f t="shared" si="49"/>
        <v>0</v>
      </c>
      <c r="I615" s="108">
        <f t="shared" si="49"/>
        <v>0</v>
      </c>
      <c r="J615" s="108">
        <f t="shared" si="49"/>
        <v>0</v>
      </c>
      <c r="K615" s="108">
        <f t="shared" si="49"/>
        <v>0</v>
      </c>
      <c r="L615" s="89">
        <f t="shared" si="49"/>
        <v>4910.22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3781945.99</v>
      </c>
      <c r="H618" s="109">
        <f>SUM(F52)</f>
        <v>3781945.99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654426.96</v>
      </c>
      <c r="H619" s="109">
        <f>SUM(G52)</f>
        <v>654426.96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76257</v>
      </c>
      <c r="H620" s="109">
        <f>SUM(H52)</f>
        <v>76257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40040</v>
      </c>
      <c r="H621" s="109">
        <f>SUM(I52)</f>
        <v>40040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1743792.01</v>
      </c>
      <c r="H622" s="109">
        <f>SUM(J52)</f>
        <v>1743792.01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2477513.41</v>
      </c>
      <c r="H623" s="109">
        <f>F477</f>
        <v>2477513.4100000039</v>
      </c>
      <c r="I623" s="121" t="s">
        <v>101</v>
      </c>
      <c r="J623" s="109">
        <f t="shared" ref="J623:J656" si="50">G623-H623</f>
        <v>-3.7252902984619141E-9</v>
      </c>
      <c r="K623" s="109"/>
      <c r="L623" s="109"/>
      <c r="M623" s="8"/>
    </row>
    <row r="624" spans="1:14" s="3" customFormat="1" ht="12.2" customHeight="1" x14ac:dyDescent="0.15">
      <c r="A624" s="97"/>
      <c r="B624" s="105"/>
      <c r="C624" s="119"/>
      <c r="D624" s="119"/>
      <c r="E624" s="119"/>
      <c r="F624" s="119" t="s">
        <v>866</v>
      </c>
      <c r="G624" s="109">
        <f>G51</f>
        <v>5094.2199999999993</v>
      </c>
      <c r="H624" s="109">
        <f>G477</f>
        <v>5094.2199999999721</v>
      </c>
      <c r="I624" s="121" t="s">
        <v>102</v>
      </c>
      <c r="J624" s="109">
        <f t="shared" si="50"/>
        <v>2.7284841053187847E-11</v>
      </c>
      <c r="K624" s="109"/>
      <c r="L624" s="109"/>
      <c r="M624" s="8"/>
    </row>
    <row r="625" spans="1:13" s="3" customFormat="1" ht="12.2" customHeight="1" x14ac:dyDescent="0.15">
      <c r="A625" s="97"/>
      <c r="B625" s="105"/>
      <c r="C625" s="105"/>
      <c r="D625" s="105"/>
      <c r="E625" s="105"/>
      <c r="F625" s="120" t="s">
        <v>867</v>
      </c>
      <c r="G625" s="109">
        <f>H51</f>
        <v>76257</v>
      </c>
      <c r="H625" s="109">
        <f>H477</f>
        <v>76257</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40040</v>
      </c>
      <c r="H626" s="109">
        <f>I477</f>
        <v>40040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1743792.01</v>
      </c>
      <c r="H627" s="109">
        <f>J477</f>
        <v>1743792.01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35210523.460000008</v>
      </c>
      <c r="H628" s="104">
        <f>SUM(F469)</f>
        <v>35210523.460000001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663832.1</v>
      </c>
      <c r="H629" s="104">
        <f>SUM(G469)</f>
        <v>663832.1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1709817.28</v>
      </c>
      <c r="H630" s="104">
        <f>SUM(H469)</f>
        <v>1709817.28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352445.96</v>
      </c>
      <c r="H632" s="104">
        <f>SUM(J469)</f>
        <v>352445.96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34905338.670000002</v>
      </c>
      <c r="H633" s="104">
        <f>SUM(F473)</f>
        <v>34905338.670000002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1876597.1800000002</v>
      </c>
      <c r="H634" s="104">
        <f>SUM(H473)</f>
        <v>1876597.18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719814.69</v>
      </c>
      <c r="H636" s="104">
        <f>SUM(G473)</f>
        <v>719814.69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352445.96</v>
      </c>
      <c r="H638" s="164">
        <f>SUM(J469)</f>
        <v>352445.96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207475</v>
      </c>
      <c r="H639" s="164">
        <f>SUM(J473)</f>
        <v>207475</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79211.11</v>
      </c>
      <c r="H640" s="104">
        <f>SUM(F462)</f>
        <v>79211.11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1630843.65</v>
      </c>
      <c r="H641" s="104">
        <f>SUM(G462)</f>
        <v>1630843.65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33737.25</v>
      </c>
      <c r="H642" s="104">
        <f>SUM(H462)</f>
        <v>33737.25</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1743792.01</v>
      </c>
      <c r="H643" s="104">
        <f>SUM(I462)</f>
        <v>1743792.01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21016.959999999999</v>
      </c>
      <c r="H645" s="104">
        <f>H409</f>
        <v>21016.960000000003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331429</v>
      </c>
      <c r="H646" s="104">
        <f>G409</f>
        <v>331429</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352445.96</v>
      </c>
      <c r="H647" s="104">
        <f>L409</f>
        <v>352445.96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780899.33</v>
      </c>
      <c r="H648" s="104">
        <f>L209+L227+L245</f>
        <v>780899.33000000007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714603.1399999999</v>
      </c>
      <c r="H649" s="104">
        <f>(J258+J339)-(J256+J337)</f>
        <v>714603.14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326139.39000000007</v>
      </c>
      <c r="H650" s="104">
        <f>H599</f>
        <v>326139.39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121858.42</v>
      </c>
      <c r="H651" s="104">
        <f>I599</f>
        <v>121858.42</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332901.51999999996</v>
      </c>
      <c r="H652" s="104">
        <f>J599</f>
        <v>332901.52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331429</v>
      </c>
      <c r="H656" s="104">
        <f>K267+K348</f>
        <v>331429</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15023934.540000003</v>
      </c>
      <c r="G661" s="19">
        <f>(L230+L310+L360)</f>
        <v>5882099.160000002</v>
      </c>
      <c r="H661" s="19">
        <f>(L248+L329+L361)</f>
        <v>13621587.630000001</v>
      </c>
      <c r="I661" s="19">
        <f>SUM(F661:H661)</f>
        <v>34527621.330000006</v>
      </c>
      <c r="J661" s="13"/>
      <c r="K661" s="13"/>
      <c r="L661" s="13"/>
      <c r="M661" s="9"/>
    </row>
    <row r="662" spans="1:13" s="3" customFormat="1" ht="12.2" customHeight="1" x14ac:dyDescent="0.2">
      <c r="A662" s="1" t="s">
        <v>127</v>
      </c>
      <c r="F662" s="19">
        <f>(L359/IF(SUM(L359:L361)=0,1,SUM(L359:L361))*(SUM(G97:G110)))</f>
        <v>116600.3839845583</v>
      </c>
      <c r="G662" s="19">
        <f>(L360/IF(SUM(L359:L361)=0,1,SUM(L359:L361))*(SUM(G97:G110)))</f>
        <v>35275.920131161263</v>
      </c>
      <c r="H662" s="19">
        <f>(L361/IF(SUM(L359:L361)=0,1,SUM(L359:L361))*(SUM(G97:G110)))</f>
        <v>51128.405884280444</v>
      </c>
      <c r="I662" s="19">
        <f>SUM(F662:H662)</f>
        <v>203004.71000000002</v>
      </c>
      <c r="J662"/>
      <c r="K662" s="13"/>
      <c r="L662" s="13"/>
      <c r="M662" s="8"/>
    </row>
    <row r="663" spans="1:13" s="3" customFormat="1" ht="12.2" customHeight="1" x14ac:dyDescent="0.2">
      <c r="A663" s="1" t="s">
        <v>128</v>
      </c>
      <c r="F663" s="19">
        <f>(L209+L288)-(J209+J288)</f>
        <v>269651.16000000003</v>
      </c>
      <c r="G663" s="19">
        <f>(L227+L307)-(J227+J307)</f>
        <v>94535.679999999993</v>
      </c>
      <c r="H663" s="19">
        <f>(L245+L326)-(J245+J326)</f>
        <v>263911.71999999997</v>
      </c>
      <c r="I663" s="19">
        <f>SUM(F663:H663)</f>
        <v>628098.56000000006</v>
      </c>
      <c r="J663"/>
      <c r="K663" s="13"/>
      <c r="L663" s="13"/>
      <c r="M663" s="9"/>
    </row>
    <row r="664" spans="1:13" s="3" customFormat="1" ht="12.2" customHeight="1" x14ac:dyDescent="0.15">
      <c r="A664" s="198" t="s">
        <v>129</v>
      </c>
      <c r="B664" s="169"/>
      <c r="C664" s="169"/>
      <c r="D664" s="169"/>
      <c r="E664" s="169"/>
      <c r="F664" s="199">
        <f>SUM(F576:F588)+SUM(H603:H605)+SUM(L612)</f>
        <v>439108.80000000005</v>
      </c>
      <c r="G664" s="199">
        <f>SUM(G576:G588)+SUM(I603:I605)+L613</f>
        <v>404580.93</v>
      </c>
      <c r="H664" s="199">
        <f>SUM(H576:H588)+SUM(J603:J605)+L614</f>
        <v>372413.1</v>
      </c>
      <c r="I664" s="19">
        <f>SUM(F664:H664)</f>
        <v>1216102.83</v>
      </c>
      <c r="J664" s="13"/>
      <c r="K664" s="13"/>
      <c r="L664" s="13"/>
      <c r="M664" s="9"/>
    </row>
    <row r="665" spans="1:13" s="3" customFormat="1" ht="12.2" customHeight="1" x14ac:dyDescent="0.15">
      <c r="A665" s="1" t="s">
        <v>130</v>
      </c>
      <c r="F665" s="19">
        <f>F661-SUM(F662:F664)</f>
        <v>14198574.196015444</v>
      </c>
      <c r="G665" s="19">
        <f>G661-SUM(G662:G664)</f>
        <v>5347706.6298688408</v>
      </c>
      <c r="H665" s="19">
        <f>H661-SUM(H662:H664)</f>
        <v>12934134.40411572</v>
      </c>
      <c r="I665" s="19">
        <f>I661-SUM(I662:I664)</f>
        <v>32480415.230000004</v>
      </c>
      <c r="J665" s="13"/>
      <c r="K665" s="13"/>
      <c r="L665" s="13"/>
      <c r="M665" s="8"/>
    </row>
    <row r="666" spans="1:13" s="3" customFormat="1" ht="12.2" customHeight="1" x14ac:dyDescent="0.2">
      <c r="A666" s="1" t="s">
        <v>131</v>
      </c>
      <c r="F666" s="246">
        <f>99.3+573.19</f>
        <v>672.49</v>
      </c>
      <c r="G666" s="247">
        <v>273.75</v>
      </c>
      <c r="H666" s="247">
        <v>700.55</v>
      </c>
      <c r="I666" s="19">
        <f>SUM(F666:H666)</f>
        <v>1646.79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21113.439999999999</v>
      </c>
      <c r="G668" s="19">
        <f>ROUND(G665/G666,2)</f>
        <v>19535</v>
      </c>
      <c r="H668" s="19">
        <f>ROUND(H665/H666,2)</f>
        <v>18462.830000000002</v>
      </c>
      <c r="I668" s="19">
        <f>ROUND(I665/I666,2)</f>
        <v>19723.47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21113.439999999999</v>
      </c>
      <c r="G673" s="19">
        <f>ROUND((G665+G670)/(G666+G671),2)</f>
        <v>19535</v>
      </c>
      <c r="H673" s="19">
        <f>ROUND((H665+H670)/(H666+H671),2)</f>
        <v>18462.830000000002</v>
      </c>
      <c r="I673" s="19">
        <f>ROUND((I665+I670)/(I666+I671),2)</f>
        <v>19723.47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2" priority="3" stopIfTrue="1" operator="notEqual">
      <formula>0</formula>
    </cfRule>
  </conditionalFormatting>
  <conditionalFormatting sqref="J618:J656">
    <cfRule type="cellIs" dxfId="11" priority="1" operator="lessThan">
      <formula>0</formula>
    </cfRule>
    <cfRule type="cellIs" dxfId="10"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topLeftCell="A13"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Conway School District</v>
      </c>
      <c r="C5" s="344"/>
      <c r="D5" s="344"/>
      <c r="E5" s="344"/>
      <c r="F5" s="344"/>
    </row>
    <row r="8" spans="1:9" ht="18" x14ac:dyDescent="0.25">
      <c r="A8" s="323" t="s">
        <v>1591</v>
      </c>
      <c r="F8" s="330" t="s">
        <v>1609</v>
      </c>
    </row>
    <row r="9" spans="1:9" ht="15" x14ac:dyDescent="0.2">
      <c r="A9" s="321" t="s">
        <v>1592</v>
      </c>
      <c r="B9" s="324">
        <f>'DOE25'!G97</f>
        <v>203004.71</v>
      </c>
      <c r="F9" s="321" t="s">
        <v>1605</v>
      </c>
    </row>
    <row r="10" spans="1:9" ht="15" x14ac:dyDescent="0.2">
      <c r="A10" s="321" t="s">
        <v>1593</v>
      </c>
      <c r="B10" s="324">
        <f>'DOE25'!G112-'DOE25'!G97</f>
        <v>0</v>
      </c>
      <c r="F10" s="321" t="s">
        <v>1606</v>
      </c>
    </row>
    <row r="11" spans="1:9" ht="15" x14ac:dyDescent="0.2">
      <c r="A11" s="321" t="s">
        <v>1594</v>
      </c>
      <c r="B11" s="324">
        <f>'DOE25'!G140</f>
        <v>24332.959999999999</v>
      </c>
      <c r="F11" s="321" t="s">
        <v>1607</v>
      </c>
    </row>
    <row r="12" spans="1:9" ht="15" x14ac:dyDescent="0.2">
      <c r="A12" s="321" t="s">
        <v>1595</v>
      </c>
      <c r="B12" s="324">
        <f>'DOE25'!G170</f>
        <v>436494.43</v>
      </c>
      <c r="F12" s="321" t="s">
        <v>1608</v>
      </c>
    </row>
    <row r="13" spans="1:9" ht="15" x14ac:dyDescent="0.2">
      <c r="A13" s="321" t="s">
        <v>1596</v>
      </c>
      <c r="B13" s="324">
        <f>'DOE25'!G193-'DOE25'!G180</f>
        <v>0</v>
      </c>
      <c r="F13" s="321" t="s">
        <v>1618</v>
      </c>
    </row>
    <row r="14" spans="1:9" ht="18" x14ac:dyDescent="0.25">
      <c r="A14" s="323" t="s">
        <v>732</v>
      </c>
      <c r="B14" s="325">
        <f>SUM(B9:B13)</f>
        <v>663832.1</v>
      </c>
    </row>
    <row r="16" spans="1:9" ht="18" x14ac:dyDescent="0.25">
      <c r="A16" s="323" t="s">
        <v>786</v>
      </c>
      <c r="F16" s="330" t="s">
        <v>1610</v>
      </c>
    </row>
    <row r="17" spans="1:6" ht="15" x14ac:dyDescent="0.2">
      <c r="A17" s="321" t="s">
        <v>1597</v>
      </c>
      <c r="B17" s="324">
        <f>'DOE25'!L363-'DOE25'!L362</f>
        <v>719814.69</v>
      </c>
      <c r="F17" s="321" t="s">
        <v>1611</v>
      </c>
    </row>
    <row r="18" spans="1:6" ht="15" x14ac:dyDescent="0.2">
      <c r="A18" s="321" t="s">
        <v>1598</v>
      </c>
      <c r="B18" s="338"/>
      <c r="F18" s="330" t="s">
        <v>1637</v>
      </c>
    </row>
    <row r="19" spans="1:6" ht="18" x14ac:dyDescent="0.25">
      <c r="A19" s="323" t="s">
        <v>725</v>
      </c>
      <c r="B19" s="325">
        <f>SUM(B17:B18)</f>
        <v>719814.69</v>
      </c>
    </row>
    <row r="21" spans="1:6" ht="18.75" thickBot="1" x14ac:dyDescent="0.3">
      <c r="A21" s="323" t="s">
        <v>1599</v>
      </c>
    </row>
    <row r="22" spans="1:6" ht="18.75" thickTop="1" x14ac:dyDescent="0.25">
      <c r="A22" s="323" t="s">
        <v>1600</v>
      </c>
      <c r="B22" s="329">
        <f>B14-B19</f>
        <v>-55982.589999999967</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3094.22</v>
      </c>
      <c r="F31" s="321" t="s">
        <v>1615</v>
      </c>
    </row>
    <row r="33" spans="1:6" ht="15" x14ac:dyDescent="0.2">
      <c r="A33" s="321" t="s">
        <v>1641</v>
      </c>
      <c r="B33" s="324">
        <f>'DOE25'!G477</f>
        <v>5094.2199999999721</v>
      </c>
      <c r="F33" s="321" t="s">
        <v>1616</v>
      </c>
    </row>
    <row r="36" spans="1:6" ht="15" x14ac:dyDescent="0.2">
      <c r="A36" s="321" t="s">
        <v>1602</v>
      </c>
      <c r="B36" s="339">
        <v>221327</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Conway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6821668.4000000004</v>
      </c>
      <c r="C9" s="229">
        <f>'DOE25'!G198+'DOE25'!G216+'DOE25'!G234+'DOE25'!G277+'DOE25'!G296+'DOE25'!G315</f>
        <v>6743526.5199999986</v>
      </c>
    </row>
    <row r="10" spans="1:3" x14ac:dyDescent="0.2">
      <c r="A10" t="s">
        <v>775</v>
      </c>
      <c r="B10" s="240">
        <f>SUM(5859538.89-154249.94+231562.08)</f>
        <v>5936851.0299999993</v>
      </c>
      <c r="C10" s="240">
        <f>SUM(4239947.37-128318.22+3114625.58-1050268.82)</f>
        <v>6175985.9100000001</v>
      </c>
    </row>
    <row r="11" spans="1:3" x14ac:dyDescent="0.2">
      <c r="A11" t="s">
        <v>776</v>
      </c>
      <c r="B11" s="240">
        <v>323135</v>
      </c>
      <c r="C11" s="240">
        <f>SUM(128318.22+71325.66)</f>
        <v>199643.88</v>
      </c>
    </row>
    <row r="12" spans="1:3" x14ac:dyDescent="0.2">
      <c r="A12" t="s">
        <v>777</v>
      </c>
      <c r="B12" s="240">
        <f>SUM(381988.44+179693.93)</f>
        <v>561682.37</v>
      </c>
      <c r="C12" s="240">
        <f>SUM(42968.7+324928.03)</f>
        <v>367896.73000000004</v>
      </c>
    </row>
    <row r="13" spans="1:3" x14ac:dyDescent="0.2">
      <c r="A13" t="str">
        <f>IF(B9=B13,IF(C9=C13,"Check Total OK","Check Total Error"),"Check Total Error")</f>
        <v>Check Total OK</v>
      </c>
      <c r="B13" s="231">
        <f>SUM(B10:B12)</f>
        <v>6821668.3999999994</v>
      </c>
      <c r="C13" s="231">
        <f>SUM(C10:C12)</f>
        <v>6743526.5200000005</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2468912.11</v>
      </c>
      <c r="C18" s="229">
        <f>'DOE25'!G199+'DOE25'!G217+'DOE25'!G235+'DOE25'!G278+'DOE25'!G297+'DOE25'!G316</f>
        <v>1838121.1500000004</v>
      </c>
    </row>
    <row r="19" spans="1:3" x14ac:dyDescent="0.2">
      <c r="A19" t="s">
        <v>775</v>
      </c>
      <c r="B19" s="240">
        <v>997379.22</v>
      </c>
      <c r="C19" s="240">
        <f>SUM(879356.44-249935.42+34240.08)</f>
        <v>663661.09999999986</v>
      </c>
    </row>
    <row r="20" spans="1:3" x14ac:dyDescent="0.2">
      <c r="A20" t="s">
        <v>776</v>
      </c>
      <c r="B20" s="240">
        <f>SUM(322843.57-919+1148689.32)</f>
        <v>1470613.8900000001</v>
      </c>
      <c r="C20" s="240">
        <f>SUM(924454.33+249935.42)</f>
        <v>1174389.75</v>
      </c>
    </row>
    <row r="21" spans="1:3" x14ac:dyDescent="0.2">
      <c r="A21" t="s">
        <v>777</v>
      </c>
      <c r="B21" s="240">
        <v>919</v>
      </c>
      <c r="C21" s="240">
        <v>70.3</v>
      </c>
    </row>
    <row r="22" spans="1:3" x14ac:dyDescent="0.2">
      <c r="A22" t="str">
        <f>IF(B18=B22,IF(C18=C22,"Check Total OK","Check Total Error"),"Check Total Error")</f>
        <v>Check Total OK</v>
      </c>
      <c r="B22" s="231">
        <f>SUM(B19:B21)</f>
        <v>2468912.1100000003</v>
      </c>
      <c r="C22" s="231">
        <f>SUM(C19:C21)</f>
        <v>1838121.15</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507068.11</v>
      </c>
      <c r="C27" s="234">
        <f>'DOE25'!G200+'DOE25'!G218+'DOE25'!G236+'DOE25'!G279+'DOE25'!G298+'DOE25'!G317</f>
        <v>365295.89999999997</v>
      </c>
    </row>
    <row r="28" spans="1:3" x14ac:dyDescent="0.2">
      <c r="A28" t="s">
        <v>775</v>
      </c>
      <c r="B28" s="240">
        <f>SUM(499034.11-20757.52-18746)</f>
        <v>459530.58999999997</v>
      </c>
      <c r="C28" s="240">
        <f>SUM(358172.54-17463.04-2819.96)</f>
        <v>337889.54</v>
      </c>
    </row>
    <row r="29" spans="1:3" x14ac:dyDescent="0.2">
      <c r="A29" t="s">
        <v>776</v>
      </c>
      <c r="B29" s="240">
        <f>SUM(18746+8034)</f>
        <v>26780</v>
      </c>
      <c r="C29" s="240">
        <v>24586.400000000001</v>
      </c>
    </row>
    <row r="30" spans="1:3" x14ac:dyDescent="0.2">
      <c r="A30" t="s">
        <v>777</v>
      </c>
      <c r="B30" s="240">
        <f>SUM(12282+8475.52)</f>
        <v>20757.52</v>
      </c>
      <c r="C30" s="240">
        <v>2819.96</v>
      </c>
    </row>
    <row r="31" spans="1:3" x14ac:dyDescent="0.2">
      <c r="A31" t="str">
        <f>IF(B27=B31,IF(C27=C31,"Check Total OK","Check Total Error"),"Check Total Error")</f>
        <v>Check Total OK</v>
      </c>
      <c r="B31" s="231">
        <f>SUM(B28:B30)</f>
        <v>507068.11</v>
      </c>
      <c r="C31" s="231">
        <f>SUM(C28:C30)</f>
        <v>365295.9</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421781.26999999996</v>
      </c>
      <c r="C36" s="235">
        <f>'DOE25'!G201+'DOE25'!G219+'DOE25'!G237+'DOE25'!G280+'DOE25'!G299+'DOE25'!G318</f>
        <v>81619.62000000001</v>
      </c>
    </row>
    <row r="37" spans="1:3" x14ac:dyDescent="0.2">
      <c r="A37" t="s">
        <v>775</v>
      </c>
      <c r="B37" s="240">
        <f>SUM(173938+52086.13)</f>
        <v>226024.13</v>
      </c>
      <c r="C37" s="240">
        <f>SUM(13255.92+24906.15)</f>
        <v>38162.07</v>
      </c>
    </row>
    <row r="38" spans="1:3" x14ac:dyDescent="0.2">
      <c r="A38" t="s">
        <v>776</v>
      </c>
      <c r="B38" s="240">
        <f>SUM(279676.71-173938+90018.43)</f>
        <v>195757.14</v>
      </c>
      <c r="C38" s="240">
        <f>SUM(25539.05-13255.92+56080.57-24906.15)</f>
        <v>43457.549999999996</v>
      </c>
    </row>
    <row r="39" spans="1:3" x14ac:dyDescent="0.2">
      <c r="A39" t="s">
        <v>777</v>
      </c>
      <c r="B39" s="240"/>
      <c r="C39" s="240"/>
    </row>
    <row r="40" spans="1:3" x14ac:dyDescent="0.2">
      <c r="A40" t="str">
        <f>IF(B36=B40,IF(C36=C40,"Check Total OK","Check Total Error"),"Check Total Error")</f>
        <v>Check Total OK</v>
      </c>
      <c r="B40" s="231">
        <f>SUM(B37:B39)</f>
        <v>421781.27</v>
      </c>
      <c r="C40" s="231">
        <f>SUM(C37:C39)</f>
        <v>81619.62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9"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6" sqref="D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Conway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20112963.770000003</v>
      </c>
      <c r="D5" s="20">
        <f>SUM('DOE25'!L198:L201)+SUM('DOE25'!L216:L219)+SUM('DOE25'!L234:L237)-F5-G5-H5</f>
        <v>19733907.410000004</v>
      </c>
      <c r="E5" s="243"/>
      <c r="F5" s="244"/>
      <c r="G5" s="53">
        <f>SUM('DOE25'!J198:J201)+SUM('DOE25'!J216:J219)+SUM('DOE25'!J234:J237)</f>
        <v>355823.28</v>
      </c>
      <c r="H5" s="53">
        <f>SUM('DOE25'!K198:K201)+SUM('DOE25'!K216:K219)+SUM('DOE25'!K234:K237)</f>
        <v>23233.079999999998</v>
      </c>
      <c r="I5" s="256"/>
    </row>
    <row r="6" spans="1:9" x14ac:dyDescent="0.2">
      <c r="A6" s="32">
        <v>2100</v>
      </c>
      <c r="B6" t="s">
        <v>796</v>
      </c>
      <c r="C6" s="276">
        <f t="shared" si="0"/>
        <v>2560405.6799999997</v>
      </c>
      <c r="D6" s="20">
        <f>'DOE25'!L203+'DOE25'!L221+'DOE25'!L239-F6-G6-H6</f>
        <v>2556505.8199999998</v>
      </c>
      <c r="E6" s="243"/>
      <c r="F6" s="244"/>
      <c r="G6" s="53">
        <f>'DOE25'!J203+'DOE25'!J221+'DOE25'!J239</f>
        <v>3569.86</v>
      </c>
      <c r="H6" s="53">
        <f>'DOE25'!K203+'DOE25'!K221+'DOE25'!K239</f>
        <v>330</v>
      </c>
      <c r="I6" s="256"/>
    </row>
    <row r="7" spans="1:9" x14ac:dyDescent="0.2">
      <c r="A7" s="32">
        <v>2200</v>
      </c>
      <c r="B7" t="s">
        <v>821</v>
      </c>
      <c r="C7" s="276">
        <f t="shared" si="0"/>
        <v>592772.8899999999</v>
      </c>
      <c r="D7" s="20">
        <f>'DOE25'!L204+'DOE25'!L222+'DOE25'!L240-F7-G7-H7</f>
        <v>589356.58999999985</v>
      </c>
      <c r="E7" s="243"/>
      <c r="F7" s="244"/>
      <c r="G7" s="53">
        <f>'DOE25'!J204+'DOE25'!J222+'DOE25'!J240</f>
        <v>2268.3000000000002</v>
      </c>
      <c r="H7" s="53">
        <f>'DOE25'!K204+'DOE25'!K222+'DOE25'!K240</f>
        <v>1148</v>
      </c>
      <c r="I7" s="256"/>
    </row>
    <row r="8" spans="1:9" x14ac:dyDescent="0.2">
      <c r="A8" s="32">
        <v>2300</v>
      </c>
      <c r="B8" t="s">
        <v>797</v>
      </c>
      <c r="C8" s="276">
        <f t="shared" si="0"/>
        <v>751216.46</v>
      </c>
      <c r="D8" s="243"/>
      <c r="E8" s="20">
        <f>'DOE25'!L205+'DOE25'!L223+'DOE25'!L241-F8-G8-H8-D9-D11</f>
        <v>745710.21</v>
      </c>
      <c r="F8" s="244"/>
      <c r="G8" s="53">
        <f>'DOE25'!J205+'DOE25'!J223+'DOE25'!J241</f>
        <v>0</v>
      </c>
      <c r="H8" s="53">
        <f>'DOE25'!K205+'DOE25'!K223+'DOE25'!K241</f>
        <v>5506.25</v>
      </c>
      <c r="I8" s="256"/>
    </row>
    <row r="9" spans="1:9" ht="14.25" x14ac:dyDescent="0.2">
      <c r="A9" s="32">
        <v>2310</v>
      </c>
      <c r="B9" s="185" t="s">
        <v>890</v>
      </c>
      <c r="C9" s="276">
        <f t="shared" si="0"/>
        <v>214233.25000000003</v>
      </c>
      <c r="D9" s="244">
        <f>SUM(119938.94+2940.47+1765.08+2845.53+20950+25391.38+40401.85)</f>
        <v>214233.25000000003</v>
      </c>
      <c r="E9" s="243"/>
      <c r="F9" s="253"/>
      <c r="G9" s="253"/>
      <c r="H9" s="253"/>
      <c r="I9" s="256"/>
    </row>
    <row r="10" spans="1:9" ht="14.25" x14ac:dyDescent="0.2">
      <c r="A10" s="32">
        <v>2317</v>
      </c>
      <c r="B10" s="185" t="s">
        <v>891</v>
      </c>
      <c r="C10" s="276">
        <f t="shared" si="0"/>
        <v>20950</v>
      </c>
      <c r="D10" s="243"/>
      <c r="E10" s="244">
        <v>20950</v>
      </c>
      <c r="F10" s="253"/>
      <c r="G10" s="253"/>
      <c r="H10" s="253"/>
      <c r="I10" s="256"/>
    </row>
    <row r="11" spans="1:9" ht="14.25" x14ac:dyDescent="0.2">
      <c r="A11" s="32">
        <v>2321</v>
      </c>
      <c r="B11" s="185" t="s">
        <v>892</v>
      </c>
      <c r="C11" s="276">
        <f t="shared" si="0"/>
        <v>380698.54</v>
      </c>
      <c r="D11" s="244">
        <v>380698.54</v>
      </c>
      <c r="E11" s="243"/>
      <c r="F11" s="253"/>
      <c r="G11" s="253"/>
      <c r="H11" s="253"/>
      <c r="I11" s="256"/>
    </row>
    <row r="12" spans="1:9" x14ac:dyDescent="0.2">
      <c r="A12" s="32">
        <v>2400</v>
      </c>
      <c r="B12" t="s">
        <v>711</v>
      </c>
      <c r="C12" s="276">
        <f t="shared" si="0"/>
        <v>1833558.1700000002</v>
      </c>
      <c r="D12" s="20">
        <f>'DOE25'!L206+'DOE25'!L224+'DOE25'!L242-F12-G12-H12</f>
        <v>1785721.9900000002</v>
      </c>
      <c r="E12" s="243"/>
      <c r="F12" s="244"/>
      <c r="G12" s="53">
        <f>'DOE25'!J206+'DOE25'!J224+'DOE25'!J242</f>
        <v>13498.67</v>
      </c>
      <c r="H12" s="53">
        <f>'DOE25'!K206+'DOE25'!K224+'DOE25'!K242</f>
        <v>34337.51</v>
      </c>
      <c r="I12" s="256"/>
    </row>
    <row r="13" spans="1:9" x14ac:dyDescent="0.2">
      <c r="A13" s="32">
        <v>2500</v>
      </c>
      <c r="B13" t="s">
        <v>798</v>
      </c>
      <c r="C13" s="276">
        <f t="shared" si="0"/>
        <v>705315.33000000007</v>
      </c>
      <c r="D13" s="243"/>
      <c r="E13" s="20">
        <f>'DOE25'!L207+'DOE25'!L225+'DOE25'!L243-F13-G13-H13</f>
        <v>705315.33000000007</v>
      </c>
      <c r="F13" s="244"/>
      <c r="G13" s="53">
        <f>'DOE25'!J207+'DOE25'!J225+'DOE25'!J243</f>
        <v>0</v>
      </c>
      <c r="H13" s="53">
        <f>'DOE25'!K207+'DOE25'!K225+'DOE25'!K243</f>
        <v>0</v>
      </c>
      <c r="I13" s="256"/>
    </row>
    <row r="14" spans="1:9" x14ac:dyDescent="0.2">
      <c r="A14" s="32">
        <v>2600</v>
      </c>
      <c r="B14" t="s">
        <v>819</v>
      </c>
      <c r="C14" s="276">
        <f t="shared" si="0"/>
        <v>3996129.21</v>
      </c>
      <c r="D14" s="20">
        <f>'DOE25'!L208+'DOE25'!L226+'DOE25'!L244-F14-G14-H14</f>
        <v>3634434.56</v>
      </c>
      <c r="E14" s="243"/>
      <c r="F14" s="244">
        <v>224943</v>
      </c>
      <c r="G14" s="53">
        <f>'DOE25'!J208+'DOE25'!J226+'DOE25'!J244</f>
        <v>136751.65</v>
      </c>
      <c r="H14" s="53">
        <f>'DOE25'!K208+'DOE25'!K226+'DOE25'!K244</f>
        <v>0</v>
      </c>
      <c r="I14" s="256"/>
    </row>
    <row r="15" spans="1:9" x14ac:dyDescent="0.2">
      <c r="A15" s="32">
        <v>2700</v>
      </c>
      <c r="B15" t="s">
        <v>799</v>
      </c>
      <c r="C15" s="276">
        <f t="shared" si="0"/>
        <v>780899.33000000007</v>
      </c>
      <c r="D15" s="20">
        <f>'DOE25'!L209+'DOE25'!L227+'DOE25'!L245-F15-G15-H15</f>
        <v>575927.33000000007</v>
      </c>
      <c r="E15" s="243"/>
      <c r="F15" s="244">
        <v>44250</v>
      </c>
      <c r="G15" s="53">
        <f>'DOE25'!J209+'DOE25'!J227+'DOE25'!J245</f>
        <v>160722</v>
      </c>
      <c r="H15" s="53">
        <f>'DOE25'!K209+'DOE25'!K227+'DOE25'!K245</f>
        <v>0</v>
      </c>
      <c r="I15" s="256"/>
    </row>
    <row r="16" spans="1:9" x14ac:dyDescent="0.2">
      <c r="A16" s="32">
        <v>2800</v>
      </c>
      <c r="B16" t="s">
        <v>800</v>
      </c>
      <c r="C16" s="276">
        <f t="shared" si="0"/>
        <v>3016.83</v>
      </c>
      <c r="D16" s="243"/>
      <c r="E16" s="20">
        <f>'DOE25'!L210+'DOE25'!L228+'DOE25'!L246-F16-G16-H16</f>
        <v>3016.83</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2642700.21</v>
      </c>
      <c r="D25" s="243"/>
      <c r="E25" s="243"/>
      <c r="F25" s="255"/>
      <c r="G25" s="253"/>
      <c r="H25" s="253"/>
      <c r="I25" s="254">
        <f>'DOE25'!L261+'DOE25'!L262+'DOE25'!L342+'DOE25'!L343</f>
        <v>2642700.21</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719814.69</v>
      </c>
      <c r="D29" s="284">
        <f>'DOE25'!L359+'DOE25'!L360+'DOE25'!L361-'DOE25'!I368-F29-G29-H29</f>
        <v>498487.68999999994</v>
      </c>
      <c r="E29" s="243"/>
      <c r="F29" s="244">
        <v>221327</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1876597.1800000002</v>
      </c>
      <c r="D31" s="20">
        <f>'DOE25'!L291+'DOE25'!L310+'DOE25'!L329+'DOE25'!L334+'DOE25'!L335+'DOE25'!L336-F31-G31-H31</f>
        <v>1830639.9900000002</v>
      </c>
      <c r="E31" s="243"/>
      <c r="F31" s="244"/>
      <c r="G31" s="53">
        <f>'DOE25'!J291+'DOE25'!J310+'DOE25'!J329+'DOE25'!J334+'DOE25'!J335+'DOE25'!J336</f>
        <v>41969.38</v>
      </c>
      <c r="H31" s="53">
        <f>'DOE25'!K291+'DOE25'!K310+'DOE25'!K329+'DOE25'!K334+'DOE25'!K335+'DOE25'!K336</f>
        <v>3987.81</v>
      </c>
      <c r="I31" s="256"/>
    </row>
    <row r="32" spans="1:9" ht="12" thickBot="1" x14ac:dyDescent="0.25">
      <c r="C32" s="277"/>
      <c r="G32" s="251"/>
      <c r="H32" s="251"/>
      <c r="I32" s="258"/>
    </row>
    <row r="33" spans="1:9" ht="12" thickTop="1" x14ac:dyDescent="0.2">
      <c r="B33" t="s">
        <v>809</v>
      </c>
      <c r="D33" s="245">
        <f t="shared" ref="D33:I33" si="1">SUM(D5:D31)</f>
        <v>31799913.170000002</v>
      </c>
      <c r="E33" s="245">
        <f t="shared" si="1"/>
        <v>1474992.37</v>
      </c>
      <c r="F33" s="245">
        <f t="shared" si="1"/>
        <v>490520</v>
      </c>
      <c r="G33" s="245">
        <f t="shared" si="1"/>
        <v>714603.14</v>
      </c>
      <c r="H33" s="245">
        <f t="shared" si="1"/>
        <v>68542.649999999994</v>
      </c>
      <c r="I33" s="245">
        <f t="shared" si="1"/>
        <v>2642700.21</v>
      </c>
    </row>
    <row r="35" spans="1:9" ht="12" thickBot="1" x14ac:dyDescent="0.25">
      <c r="B35" s="251" t="s">
        <v>831</v>
      </c>
      <c r="D35" s="252">
        <f>E33</f>
        <v>1474992.37</v>
      </c>
      <c r="E35" s="248"/>
    </row>
    <row r="36" spans="1:9" ht="12" thickTop="1" x14ac:dyDescent="0.2">
      <c r="B36" t="s">
        <v>810</v>
      </c>
      <c r="D36" s="20">
        <f>D33</f>
        <v>31799913.170000002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Conway School District</v>
      </c>
      <c r="B2" s="126">
        <f>'DOE25'!B2</f>
        <v>113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14610492.560000001</v>
      </c>
      <c r="G4" s="303">
        <f>'DOE25'!L212+'DOE25'!L291</f>
        <v>14610492.560000002</v>
      </c>
      <c r="H4" s="337">
        <f>F4-G4</f>
        <v>0</v>
      </c>
      <c r="I4" s="309" t="str">
        <f>IF(H4=0,"","Does not match DOE25 page 7 and 11 Totals!!")</f>
        <v/>
      </c>
      <c r="N4"/>
    </row>
    <row r="5" spans="1:18" x14ac:dyDescent="0.2">
      <c r="A5" s="21" t="s">
        <v>996</v>
      </c>
      <c r="B5" s="304">
        <f>IFERROR(VLOOKUP(A5,'School Tables'!$C$3:$D$365,2,FALSE),"")</f>
        <v>20340</v>
      </c>
      <c r="C5" s="297" t="str">
        <f>IFERROR(INDEX('School Tables'!$B$3:$B$365,MATCH('School Level Expenditures'!B5,'School Tables'!$D$3:$D$365,0)),"")</f>
        <v>Conway</v>
      </c>
      <c r="D5" s="294">
        <f>SUM(3367947.07+1222288.17-55467.1-141316.45)</f>
        <v>4393451.6900000004</v>
      </c>
      <c r="E5" s="294">
        <v>563156.06999999995</v>
      </c>
      <c r="F5" s="312">
        <f>D5+E5</f>
        <v>4956607.7600000007</v>
      </c>
      <c r="G5" s="297"/>
      <c r="H5" s="297"/>
      <c r="I5" s="126"/>
      <c r="N5"/>
    </row>
    <row r="6" spans="1:18" x14ac:dyDescent="0.2">
      <c r="A6" s="21" t="s">
        <v>995</v>
      </c>
      <c r="B6" s="304">
        <f>IFERROR(VLOOKUP(A6,'School Tables'!$C$3:$D$365,2,FALSE),"")</f>
        <v>20335</v>
      </c>
      <c r="C6" s="297" t="str">
        <f>IFERROR(INDEX('School Tables'!$B$3:$B$365,MATCH('School Level Expenditures'!B6,'School Tables'!$D$3:$D$365,0)),"")</f>
        <v>Conway</v>
      </c>
      <c r="D6" s="294">
        <f>SUM(2815999.06+997357.32-55467-115310.77)</f>
        <v>3642578.61</v>
      </c>
      <c r="E6" s="294">
        <v>459521.61</v>
      </c>
      <c r="F6" s="307">
        <f t="shared" ref="F6:F20" si="0">D6+E6</f>
        <v>4102100.2199999997</v>
      </c>
      <c r="G6" s="297"/>
      <c r="H6" s="297"/>
      <c r="I6" s="126"/>
      <c r="N6"/>
    </row>
    <row r="7" spans="1:18" x14ac:dyDescent="0.2">
      <c r="A7" s="21" t="s">
        <v>994</v>
      </c>
      <c r="B7" s="304">
        <f>IFERROR(VLOOKUP(A7,'School Tables'!$C$3:$D$365,2,FALSE),"")</f>
        <v>20330</v>
      </c>
      <c r="C7" s="297" t="str">
        <f>IFERROR(INDEX('School Tables'!$B$3:$B$365,MATCH('School Level Expenditures'!B7,'School Tables'!$D$3:$D$365,0)),"")</f>
        <v>Conway</v>
      </c>
      <c r="D7" s="294">
        <f>SUM(3538860.19+1413989.99-55468.02-163480.31)</f>
        <v>4733901.8500000006</v>
      </c>
      <c r="E7" s="294">
        <v>651480.61</v>
      </c>
      <c r="F7" s="307">
        <f t="shared" si="0"/>
        <v>5385382.4600000009</v>
      </c>
      <c r="G7" s="297"/>
      <c r="H7" s="297"/>
      <c r="I7" s="126"/>
      <c r="N7"/>
    </row>
    <row r="8" spans="1:18" x14ac:dyDescent="0.2">
      <c r="A8" s="21" t="s">
        <v>1562</v>
      </c>
      <c r="B8" s="304">
        <f>IFERROR(VLOOKUP(A8,'School Tables'!$C$3:$D$365,2,FALSE),"")</f>
        <v>99999</v>
      </c>
      <c r="C8" s="297" t="str">
        <f>IFERROR(INDEX('School Tables'!$B$3:$B$365,MATCH('School Level Expenditures'!B8,'School Tables'!$D$3:$D$365,0)),"")</f>
        <v>Other District Expenditures</v>
      </c>
      <c r="D8" s="294">
        <v>166402.12</v>
      </c>
      <c r="E8" s="294"/>
      <c r="F8" s="307">
        <f t="shared" si="0"/>
        <v>166402.12</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5757017.7000000002</v>
      </c>
      <c r="G24" s="303">
        <f>'DOE25'!L230+'DOE25'!L310</f>
        <v>5757017.700000002</v>
      </c>
      <c r="H24" s="337">
        <f>F24-G24</f>
        <v>0</v>
      </c>
      <c r="I24" s="309" t="str">
        <f>IF(H24=0,"","Does not match DOE25 page 8 and 12 Totals!!")</f>
        <v/>
      </c>
      <c r="N24"/>
    </row>
    <row r="25" spans="1:14" x14ac:dyDescent="0.2">
      <c r="A25" s="21" t="s">
        <v>1652</v>
      </c>
      <c r="B25" s="304">
        <f>IFERROR(VLOOKUP(A25,'School Tables'!$I$3:$J$80,2,FALSE),"")</f>
        <v>27010</v>
      </c>
      <c r="C25" s="297" t="str">
        <f t="array" ref="C25">IFERROR(INDEX('School Tables'!$H$3:$H$80,MATCH('School Level Expenditures'!B25,'School Tables'!$J$3:$J$80,0)),"")</f>
        <v>Conway</v>
      </c>
      <c r="D25" s="294">
        <f>SUM(5865060.71-281782.35-168043.01)</f>
        <v>5415235.3500000006</v>
      </c>
      <c r="E25" s="294">
        <v>60000</v>
      </c>
      <c r="F25" s="307">
        <f>D25+E25</f>
        <v>5475235.3500000006</v>
      </c>
      <c r="G25" s="297"/>
      <c r="H25" s="297"/>
      <c r="I25" s="126"/>
      <c r="N25"/>
    </row>
    <row r="26" spans="1:14" x14ac:dyDescent="0.2">
      <c r="A26" s="21" t="s">
        <v>1562</v>
      </c>
      <c r="B26" s="304">
        <f>IFERROR(VLOOKUP(A26,'School Tables'!$I$3:$J$80,2,FALSE),"")</f>
        <v>99999</v>
      </c>
      <c r="C26" s="297" t="str">
        <f t="array" ref="C26">IFERROR(INDEX('School Tables'!$H$3:$H$80,MATCH('School Level Expenditures'!B26,'School Tables'!$J$3:$J$80,0)),"")</f>
        <v>Other District Expenditures</v>
      </c>
      <c r="D26" s="294">
        <v>281782.34999999998</v>
      </c>
      <c r="E26" s="294"/>
      <c r="F26" s="307">
        <f t="shared" ref="F26:F32" si="1">D26+E26</f>
        <v>281782.34999999998</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13440296.380000001</v>
      </c>
      <c r="G36" s="303">
        <f>'DOE25'!L248+'DOE25'!L329</f>
        <v>13440296.380000001</v>
      </c>
      <c r="H36" s="337">
        <f>F36-G36</f>
        <v>0</v>
      </c>
      <c r="I36" s="309" t="str">
        <f>IF(H36=0,"","Does not match DOE25 page 9 and 13 Totals!!")</f>
        <v/>
      </c>
      <c r="N36"/>
    </row>
    <row r="37" spans="1:14" x14ac:dyDescent="0.2">
      <c r="A37" s="21" t="s">
        <v>997</v>
      </c>
      <c r="B37" s="304">
        <f>IFERROR(VLOOKUP(A37,'School Tables'!$O$3:$P$118,2,FALSE),"")</f>
        <v>20345</v>
      </c>
      <c r="C37" s="297" t="str">
        <f t="array" ref="C37">IFERROR(INDEX('School Tables'!$N$3:$N$118,MATCH('School Level Expenditures'!B37,'School Tables'!$P$3:$P$118,0)),"")</f>
        <v>Conway</v>
      </c>
      <c r="D37" s="294">
        <f>SUM(13759975.77+15157.36+61099.64-48405-462118.28)</f>
        <v>13325709.49</v>
      </c>
      <c r="E37" s="294">
        <v>66181.89</v>
      </c>
      <c r="F37" s="307">
        <f>D37+E37</f>
        <v>13391891.380000001</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v>48405</v>
      </c>
      <c r="E38" s="294"/>
      <c r="F38" s="307">
        <f t="shared" ref="F38:F41" si="2">D38+E38</f>
        <v>48405</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ortState ref="N4:R568">
    <sortCondition ref="R4:R568"/>
    <sortCondition ref="P4:P568"/>
  </sortState>
  <mergeCells count="1">
    <mergeCell ref="A58:G58"/>
  </mergeCells>
  <conditionalFormatting sqref="H4">
    <cfRule type="cellIs" dxfId="8" priority="5" operator="equal">
      <formula>0</formula>
    </cfRule>
    <cfRule type="cellIs" dxfId="7" priority="6" operator="notEqual">
      <formula>0</formula>
    </cfRule>
  </conditionalFormatting>
  <conditionalFormatting sqref="H24">
    <cfRule type="cellIs" dxfId="6" priority="3" operator="equal">
      <formula>0</formula>
    </cfRule>
    <cfRule type="cellIs" dxfId="5" priority="4" operator="notEqual">
      <formula>0</formula>
    </cfRule>
  </conditionalFormatting>
  <conditionalFormatting sqref="H36">
    <cfRule type="cellIs" dxfId="4" priority="1" operator="equal">
      <formula>0</formula>
    </cfRule>
    <cfRule type="cellIs" dxfId="3"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'School Tables'!$I$3:$I$77</xm:f>
          </x14:formula1>
          <xm:sqref>A26:A32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 type="list" allowBlank="1" showInputMessage="1" showErrorMessage="1">
          <x14:formula1>
            <xm:f>'School Tables'!$I$3:$I$78</xm:f>
          </x14:formula1>
          <xm:sqref>A25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3" sqref="A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Conway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2992389.38</v>
      </c>
      <c r="D8" s="95">
        <f>'DOE25'!G9</f>
        <v>604352.49</v>
      </c>
      <c r="E8" s="95">
        <f>'DOE25'!H9</f>
        <v>0</v>
      </c>
      <c r="F8" s="95">
        <f>'DOE25'!I9</f>
        <v>0</v>
      </c>
      <c r="G8" s="95">
        <f>'DOE25'!J9</f>
        <v>1743792.01</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649332.74</v>
      </c>
      <c r="D11" s="95">
        <f>'DOE25'!G12</f>
        <v>0</v>
      </c>
      <c r="E11" s="95">
        <f>'DOE25'!H12</f>
        <v>0</v>
      </c>
      <c r="F11" s="95">
        <f>'DOE25'!I12</f>
        <v>40040</v>
      </c>
      <c r="G11" s="95">
        <f>'DOE25'!J12</f>
        <v>0</v>
      </c>
      <c r="H11" s="124"/>
      <c r="I11" s="124"/>
    </row>
    <row r="12" spans="1:9" x14ac:dyDescent="0.2">
      <c r="A12" s="1" t="s">
        <v>143</v>
      </c>
      <c r="B12" s="6">
        <v>140</v>
      </c>
      <c r="C12" s="95">
        <f>'DOE25'!F13</f>
        <v>140223.87</v>
      </c>
      <c r="D12" s="95">
        <f>'DOE25'!G13</f>
        <v>50074.47</v>
      </c>
      <c r="E12" s="95">
        <f>'DOE25'!H13</f>
        <v>76257</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3781945.99</v>
      </c>
      <c r="D18" s="41">
        <f>SUM(D8:D17)</f>
        <v>654426.96</v>
      </c>
      <c r="E18" s="41">
        <f>SUM(E8:E17)</f>
        <v>76257</v>
      </c>
      <c r="F18" s="41">
        <f>SUM(F8:F17)</f>
        <v>40040</v>
      </c>
      <c r="G18" s="41">
        <f>SUM(G8:G17)</f>
        <v>1743792.01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38130.92</v>
      </c>
      <c r="D21" s="95">
        <f>'DOE25'!G22</f>
        <v>649332.74</v>
      </c>
      <c r="E21" s="95">
        <f>'DOE25'!H22</f>
        <v>0</v>
      </c>
      <c r="F21" s="95">
        <f>'DOE25'!I22</f>
        <v>0</v>
      </c>
      <c r="G21" s="95">
        <f>'DOE25'!J22</f>
        <v>0</v>
      </c>
      <c r="H21" s="124"/>
      <c r="I21" s="124"/>
    </row>
    <row r="22" spans="1:9" x14ac:dyDescent="0.2">
      <c r="A22" s="1" t="s">
        <v>151</v>
      </c>
      <c r="B22" s="6">
        <v>410</v>
      </c>
      <c r="C22" s="95">
        <f>'DOE25'!F23</f>
        <v>644378.43000000005</v>
      </c>
      <c r="D22" s="95">
        <f>'DOE25'!G23</f>
        <v>0</v>
      </c>
      <c r="E22" s="95">
        <f>'DOE25'!H23</f>
        <v>0</v>
      </c>
      <c r="F22" s="95">
        <f>'DOE25'!I23</f>
        <v>0</v>
      </c>
      <c r="G22" s="95">
        <f>'DOE25'!J23</f>
        <v>0</v>
      </c>
      <c r="H22" s="124"/>
      <c r="I22" s="124"/>
    </row>
    <row r="23" spans="1:9" x14ac:dyDescent="0.2">
      <c r="A23" s="1" t="s">
        <v>152</v>
      </c>
      <c r="B23" s="6">
        <v>420</v>
      </c>
      <c r="C23" s="95">
        <f>'DOE25'!F24</f>
        <v>621923.23</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1304432.58</v>
      </c>
      <c r="D31" s="41">
        <f>SUM(D21:D30)</f>
        <v>649332.74</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2000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241537</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3094.22</v>
      </c>
      <c r="E47" s="95">
        <f>'DOE25'!H48</f>
        <v>76257</v>
      </c>
      <c r="F47" s="95">
        <f>'DOE25'!I48</f>
        <v>40040</v>
      </c>
      <c r="G47" s="95">
        <f>'DOE25'!J48</f>
        <v>1743792.01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2235976.41</v>
      </c>
      <c r="D49" s="24" t="s">
        <v>288</v>
      </c>
      <c r="E49" s="24" t="s">
        <v>288</v>
      </c>
      <c r="F49" s="24" t="s">
        <v>288</v>
      </c>
      <c r="G49" s="24" t="s">
        <v>288</v>
      </c>
      <c r="H49" s="124"/>
      <c r="I49" s="124"/>
    </row>
    <row r="50" spans="1:9" ht="12.75" thickTop="1" thickBot="1" x14ac:dyDescent="0.25">
      <c r="A50" s="38" t="s">
        <v>884</v>
      </c>
      <c r="B50" s="48"/>
      <c r="C50" s="41">
        <f>SUM(C34:C49)</f>
        <v>2477513.41</v>
      </c>
      <c r="D50" s="41">
        <f>SUM(D34:D49)</f>
        <v>5094.2199999999993</v>
      </c>
      <c r="E50" s="41">
        <f>SUM(E34:E49)</f>
        <v>76257</v>
      </c>
      <c r="F50" s="41">
        <f>SUM(F34:F49)</f>
        <v>40040</v>
      </c>
      <c r="G50" s="41">
        <f>SUM(G34:G49)</f>
        <v>1743792.01</v>
      </c>
      <c r="H50" s="124"/>
      <c r="I50" s="124"/>
    </row>
    <row r="51" spans="1:9" ht="12" thickTop="1" x14ac:dyDescent="0.2">
      <c r="A51" s="38" t="s">
        <v>885</v>
      </c>
      <c r="B51" s="2"/>
      <c r="C51" s="41">
        <f>C50+C31</f>
        <v>3781945.99</v>
      </c>
      <c r="D51" s="41">
        <f>D50+D31</f>
        <v>654426.96</v>
      </c>
      <c r="E51" s="41">
        <f>E50+E31</f>
        <v>76257</v>
      </c>
      <c r="F51" s="41">
        <f>F50+F31</f>
        <v>40040</v>
      </c>
      <c r="G51" s="41">
        <f>G50+G31</f>
        <v>1743792.01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15987267</v>
      </c>
      <c r="D56" s="95">
        <f>'DOE25'!G60</f>
        <v>0</v>
      </c>
      <c r="E56" s="95">
        <f>'DOE25'!H60</f>
        <v>0</v>
      </c>
      <c r="F56" s="95">
        <f>'DOE25'!I60</f>
        <v>0</v>
      </c>
      <c r="G56" s="95">
        <f>'DOE25'!J60</f>
        <v>0</v>
      </c>
      <c r="H56"/>
      <c r="I56"/>
    </row>
    <row r="57" spans="1:9" x14ac:dyDescent="0.2">
      <c r="A57" s="1" t="s">
        <v>164</v>
      </c>
      <c r="B57" s="6" t="s">
        <v>165</v>
      </c>
      <c r="C57" s="95">
        <f>'DOE25'!F79</f>
        <v>10302308.84</v>
      </c>
      <c r="D57" s="24" t="s">
        <v>288</v>
      </c>
      <c r="E57" s="95">
        <f>'DOE25'!H79</f>
        <v>0</v>
      </c>
      <c r="F57" s="24" t="s">
        <v>288</v>
      </c>
      <c r="G57" s="24" t="s">
        <v>288</v>
      </c>
      <c r="H57"/>
      <c r="I57"/>
    </row>
    <row r="58" spans="1:9" x14ac:dyDescent="0.2">
      <c r="A58" s="1" t="s">
        <v>166</v>
      </c>
      <c r="B58" s="6" t="s">
        <v>167</v>
      </c>
      <c r="C58" s="95">
        <f>'DOE25'!F94</f>
        <v>14738.27</v>
      </c>
      <c r="D58" s="24" t="s">
        <v>288</v>
      </c>
      <c r="E58" s="95">
        <f>'DOE25'!H94</f>
        <v>0</v>
      </c>
      <c r="F58" s="24" t="s">
        <v>288</v>
      </c>
      <c r="G58" s="24" t="s">
        <v>288</v>
      </c>
      <c r="H58"/>
      <c r="I58"/>
    </row>
    <row r="59" spans="1:9" x14ac:dyDescent="0.2">
      <c r="A59" s="69" t="s">
        <v>168</v>
      </c>
      <c r="B59" s="37" t="s">
        <v>169</v>
      </c>
      <c r="C59" s="95">
        <f>'DOE25'!F96</f>
        <v>18633.87</v>
      </c>
      <c r="D59" s="95">
        <f>'DOE25'!G96</f>
        <v>0</v>
      </c>
      <c r="E59" s="95">
        <f>'DOE25'!H96</f>
        <v>0</v>
      </c>
      <c r="F59" s="95">
        <f>'DOE25'!I96</f>
        <v>0</v>
      </c>
      <c r="G59" s="95">
        <f>'DOE25'!J96</f>
        <v>21016.959999999999</v>
      </c>
      <c r="H59"/>
      <c r="I59"/>
    </row>
    <row r="60" spans="1:9" x14ac:dyDescent="0.2">
      <c r="A60" s="1" t="s">
        <v>170</v>
      </c>
      <c r="B60" s="118" t="s">
        <v>171</v>
      </c>
      <c r="C60" s="24" t="s">
        <v>288</v>
      </c>
      <c r="D60" s="95">
        <f>'DOE25'!G97</f>
        <v>203004.71</v>
      </c>
      <c r="E60" s="24" t="s">
        <v>288</v>
      </c>
      <c r="F60" s="24" t="s">
        <v>288</v>
      </c>
      <c r="G60" s="24" t="s">
        <v>288</v>
      </c>
      <c r="H60"/>
      <c r="I60"/>
    </row>
    <row r="61" spans="1:9" ht="12" thickBot="1" x14ac:dyDescent="0.25">
      <c r="A61" s="1" t="s">
        <v>172</v>
      </c>
      <c r="B61" s="118" t="s">
        <v>173</v>
      </c>
      <c r="C61" s="95">
        <f>SUM('DOE25'!F98:F110)</f>
        <v>307457.23</v>
      </c>
      <c r="D61" s="95">
        <f>SUM('DOE25'!G98:G110)</f>
        <v>0</v>
      </c>
      <c r="E61" s="95">
        <f>SUM('DOE25'!H98:H110)</f>
        <v>137934.25</v>
      </c>
      <c r="F61" s="95">
        <f>SUM('DOE25'!I98:I110)</f>
        <v>0</v>
      </c>
      <c r="G61" s="95">
        <f>SUM('DOE25'!J98:J110)</f>
        <v>0</v>
      </c>
      <c r="H61"/>
      <c r="I61"/>
    </row>
    <row r="62" spans="1:9" ht="12.75" thickTop="1" thickBot="1" x14ac:dyDescent="0.25">
      <c r="A62" s="29" t="s">
        <v>174</v>
      </c>
      <c r="B62" s="6"/>
      <c r="C62" s="130">
        <f>SUM(C57:C61)</f>
        <v>10643138.209999999</v>
      </c>
      <c r="D62" s="130">
        <f>SUM(D57:D61)</f>
        <v>203004.71</v>
      </c>
      <c r="E62" s="130">
        <f>SUM(E57:E61)</f>
        <v>137934.25</v>
      </c>
      <c r="F62" s="130">
        <f>SUM(F57:F61)</f>
        <v>0</v>
      </c>
      <c r="G62" s="130">
        <f>SUM(G57:G61)</f>
        <v>21016.959999999999</v>
      </c>
      <c r="H62"/>
      <c r="I62"/>
    </row>
    <row r="63" spans="1:9" ht="12" thickTop="1" x14ac:dyDescent="0.2">
      <c r="A63" s="29" t="s">
        <v>175</v>
      </c>
      <c r="B63" s="6"/>
      <c r="C63" s="22">
        <f>C56+C62</f>
        <v>26630405.210000001</v>
      </c>
      <c r="D63" s="22">
        <f>D56+D62</f>
        <v>203004.71</v>
      </c>
      <c r="E63" s="22">
        <f>E56+E62</f>
        <v>137934.25</v>
      </c>
      <c r="F63" s="22">
        <f>F56+F62</f>
        <v>0</v>
      </c>
      <c r="G63" s="22">
        <f>G56+G62</f>
        <v>21016.959999999999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3154567.95</v>
      </c>
      <c r="D66" s="24" t="s">
        <v>288</v>
      </c>
      <c r="E66" s="24" t="s">
        <v>288</v>
      </c>
      <c r="F66" s="24" t="s">
        <v>288</v>
      </c>
      <c r="G66" s="24" t="s">
        <v>288</v>
      </c>
      <c r="H66"/>
      <c r="I66"/>
    </row>
    <row r="67" spans="1:9" x14ac:dyDescent="0.2">
      <c r="A67" s="1" t="s">
        <v>770</v>
      </c>
      <c r="B67" s="6">
        <v>3112</v>
      </c>
      <c r="C67" s="95">
        <f>'DOE25'!F118</f>
        <v>3335752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4726.3</v>
      </c>
      <c r="D69" s="95">
        <f>'DOE25'!G120</f>
        <v>0</v>
      </c>
      <c r="E69" s="95">
        <f>'DOE25'!H120</f>
        <v>0</v>
      </c>
      <c r="F69" s="95">
        <f>'DOE25'!I120</f>
        <v>0</v>
      </c>
      <c r="G69" s="95">
        <f>'DOE25'!J120</f>
        <v>0</v>
      </c>
      <c r="H69"/>
      <c r="I69"/>
    </row>
    <row r="70" spans="1:9" ht="12" thickTop="1" x14ac:dyDescent="0.2">
      <c r="A70" s="29" t="s">
        <v>252</v>
      </c>
      <c r="B70" s="2"/>
      <c r="C70" s="139">
        <f>SUM(C66:C69)</f>
        <v>6495046.25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1059831.67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143196.71</v>
      </c>
      <c r="D75" s="24" t="s">
        <v>288</v>
      </c>
      <c r="E75" s="24" t="s">
        <v>288</v>
      </c>
      <c r="F75" s="24" t="s">
        <v>288</v>
      </c>
      <c r="G75" s="24" t="s">
        <v>288</v>
      </c>
      <c r="H75"/>
      <c r="I75"/>
    </row>
    <row r="76" spans="1:9" x14ac:dyDescent="0.2">
      <c r="A76" s="1" t="s">
        <v>257</v>
      </c>
      <c r="B76" s="6" t="s">
        <v>179</v>
      </c>
      <c r="C76" s="95">
        <f>SUM('DOE25'!F127:F130)</f>
        <v>0</v>
      </c>
      <c r="D76" s="24" t="s">
        <v>288</v>
      </c>
      <c r="E76" s="95">
        <f>SUM('DOE25'!H127:H130)</f>
        <v>7260.53</v>
      </c>
      <c r="F76" s="95">
        <f>SUM('DOE25'!I127:I130)</f>
        <v>0</v>
      </c>
      <c r="G76" s="24" t="s">
        <v>288</v>
      </c>
      <c r="H76"/>
      <c r="I76"/>
    </row>
    <row r="77" spans="1:9" ht="12" thickBot="1" x14ac:dyDescent="0.25">
      <c r="A77" s="1" t="s">
        <v>258</v>
      </c>
      <c r="B77" s="6" t="s">
        <v>180</v>
      </c>
      <c r="C77" s="95">
        <f>SUM('DOE25'!F131:F135)</f>
        <v>0</v>
      </c>
      <c r="D77" s="95">
        <f>SUM('DOE25'!G131:G135)</f>
        <v>24332.959999999999</v>
      </c>
      <c r="E77" s="95">
        <f>SUM('DOE25'!H131:H135)</f>
        <v>0</v>
      </c>
      <c r="F77" s="95">
        <f>SUM('DOE25'!I131:I135)</f>
        <v>0</v>
      </c>
      <c r="G77" s="95">
        <f>SUM('DOE25'!J131:J135)</f>
        <v>0</v>
      </c>
      <c r="H77"/>
      <c r="I77"/>
    </row>
    <row r="78" spans="1:9" ht="12.75" thickTop="1" thickBot="1" x14ac:dyDescent="0.25">
      <c r="A78" s="29" t="s">
        <v>259</v>
      </c>
      <c r="B78" s="6"/>
      <c r="C78" s="130">
        <f>SUM(C72:C77)</f>
        <v>1203028.3799999999</v>
      </c>
      <c r="D78" s="130">
        <f>SUM(D72:D77)</f>
        <v>24332.959999999999</v>
      </c>
      <c r="E78" s="130">
        <f>SUM(E72:E77)</f>
        <v>7260.53</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7698074.6299999999</v>
      </c>
      <c r="D81" s="130">
        <f>SUM(D79:D80)+D78+D70</f>
        <v>24332.959999999999</v>
      </c>
      <c r="E81" s="130">
        <f>SUM(E79:E80)+E78+E70</f>
        <v>7260.53</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9950.93</v>
      </c>
      <c r="D88" s="341">
        <f>SUM('DOE25'!G153:G162)</f>
        <v>436494.43</v>
      </c>
      <c r="E88" s="341">
        <f>SUM('DOE25'!H153:H162)</f>
        <v>1564622.5</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785.59</v>
      </c>
      <c r="D90" s="24" t="s">
        <v>288</v>
      </c>
      <c r="E90" s="24" t="s">
        <v>288</v>
      </c>
      <c r="F90" s="24" t="s">
        <v>288</v>
      </c>
      <c r="G90" s="24" t="s">
        <v>288</v>
      </c>
    </row>
    <row r="91" spans="1:9" ht="12.75" thickTop="1" thickBot="1" x14ac:dyDescent="0.25">
      <c r="A91" s="33" t="s">
        <v>750</v>
      </c>
      <c r="C91" s="131">
        <f>SUM(C85:C90)</f>
        <v>10736.52</v>
      </c>
      <c r="D91" s="131">
        <f>SUM(D85:D90)</f>
        <v>436494.43</v>
      </c>
      <c r="E91" s="131">
        <f>SUM(E85:E90)</f>
        <v>1564622.5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331429</v>
      </c>
    </row>
    <row r="97" spans="1:7" x14ac:dyDescent="0.2">
      <c r="A97" t="s">
        <v>754</v>
      </c>
      <c r="B97" s="32" t="s">
        <v>188</v>
      </c>
      <c r="C97" s="95">
        <f>SUM('DOE25'!F181:F182)</f>
        <v>663832.1</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207475</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871307.1</v>
      </c>
      <c r="D103" s="86">
        <f>SUM(D93:D102)</f>
        <v>0</v>
      </c>
      <c r="E103" s="86">
        <f>SUM(E93:E102)</f>
        <v>0</v>
      </c>
      <c r="F103" s="86">
        <f>SUM(F93:F102)</f>
        <v>0</v>
      </c>
      <c r="G103" s="86">
        <f>SUM(G93:G102)</f>
        <v>331429</v>
      </c>
    </row>
    <row r="104" spans="1:7" ht="12.75" thickTop="1" thickBot="1" x14ac:dyDescent="0.25">
      <c r="A104" s="33" t="s">
        <v>761</v>
      </c>
      <c r="C104" s="86">
        <f>C63+C81+C91+C103</f>
        <v>35210523.460000008</v>
      </c>
      <c r="D104" s="86">
        <f>D63+D81+D91+D103</f>
        <v>663832.1</v>
      </c>
      <c r="E104" s="86">
        <f>E63+E81+E91+E103</f>
        <v>1709817.28</v>
      </c>
      <c r="F104" s="86">
        <f>F63+F81+F91+F103</f>
        <v>0</v>
      </c>
      <c r="G104" s="86">
        <f>G63+G81+G103</f>
        <v>352445.96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13605014.170000002</v>
      </c>
      <c r="D109" s="24" t="s">
        <v>288</v>
      </c>
      <c r="E109" s="95">
        <f>('DOE25'!L277)+('DOE25'!L296)+('DOE25'!L315)</f>
        <v>687575.47000000009</v>
      </c>
      <c r="F109" s="24" t="s">
        <v>288</v>
      </c>
      <c r="G109" s="24" t="s">
        <v>288</v>
      </c>
    </row>
    <row r="110" spans="1:7" x14ac:dyDescent="0.2">
      <c r="A110" t="s">
        <v>198</v>
      </c>
      <c r="B110" s="32" t="s">
        <v>199</v>
      </c>
      <c r="C110" s="95">
        <f>('DOE25'!L199)+('DOE25'!L217)+('DOE25'!L235)</f>
        <v>5037771.93</v>
      </c>
      <c r="D110" s="24" t="s">
        <v>288</v>
      </c>
      <c r="E110" s="95">
        <f>('DOE25'!L278)+('DOE25'!L297)+('DOE25'!L316)</f>
        <v>176518.73</v>
      </c>
      <c r="F110" s="24" t="s">
        <v>288</v>
      </c>
      <c r="G110" s="24" t="s">
        <v>288</v>
      </c>
    </row>
    <row r="111" spans="1:7" x14ac:dyDescent="0.2">
      <c r="A111" t="s">
        <v>200</v>
      </c>
      <c r="B111" s="32" t="s">
        <v>165</v>
      </c>
      <c r="C111" s="95">
        <f>('DOE25'!L200)+('DOE25'!L218)+('DOE25'!L236)</f>
        <v>970444.48</v>
      </c>
      <c r="D111" s="24" t="s">
        <v>288</v>
      </c>
      <c r="E111" s="95">
        <f>('DOE25'!L279)+('DOE25'!L298)+('DOE25'!L317)</f>
        <v>80415.510000000009</v>
      </c>
      <c r="F111" s="24" t="s">
        <v>288</v>
      </c>
      <c r="G111" s="24" t="s">
        <v>288</v>
      </c>
    </row>
    <row r="112" spans="1:7" x14ac:dyDescent="0.2">
      <c r="A112" t="s">
        <v>201</v>
      </c>
      <c r="B112" s="32" t="s">
        <v>167</v>
      </c>
      <c r="C112" s="95">
        <f>('DOE25'!L201)+('DOE25'!L219)+('DOE25'!L237)</f>
        <v>499733.18999999994</v>
      </c>
      <c r="D112" s="24" t="s">
        <v>288</v>
      </c>
      <c r="E112" s="95">
        <f>+('DOE25'!L280)+('DOE25'!L299)+('DOE25'!L318)</f>
        <v>208670.56999999998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20112963.770000003</v>
      </c>
      <c r="D115" s="86">
        <f>SUM(D109:D114)</f>
        <v>0</v>
      </c>
      <c r="E115" s="86">
        <f>SUM(E109:E114)</f>
        <v>1153180.28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2560405.6799999997</v>
      </c>
      <c r="D118" s="24" t="s">
        <v>288</v>
      </c>
      <c r="E118" s="95">
        <f>+('DOE25'!L282)+('DOE25'!L301)+('DOE25'!L320)</f>
        <v>307036.79999999999</v>
      </c>
      <c r="F118" s="24" t="s">
        <v>288</v>
      </c>
      <c r="G118" s="24" t="s">
        <v>288</v>
      </c>
    </row>
    <row r="119" spans="1:7" x14ac:dyDescent="0.2">
      <c r="A119" t="s">
        <v>208</v>
      </c>
      <c r="B119" s="32" t="s">
        <v>209</v>
      </c>
      <c r="C119" s="95">
        <f>('DOE25'!L204)+('DOE25'!L222)+('DOE25'!L240)</f>
        <v>592772.8899999999</v>
      </c>
      <c r="D119" s="24" t="s">
        <v>288</v>
      </c>
      <c r="E119" s="95">
        <f>+('DOE25'!L283)+('DOE25'!L302)+('DOE25'!L321)</f>
        <v>395074.25999999995</v>
      </c>
      <c r="F119" s="24" t="s">
        <v>288</v>
      </c>
      <c r="G119" s="24" t="s">
        <v>288</v>
      </c>
    </row>
    <row r="120" spans="1:7" x14ac:dyDescent="0.2">
      <c r="A120" t="s">
        <v>210</v>
      </c>
      <c r="B120" s="32" t="s">
        <v>211</v>
      </c>
      <c r="C120" s="95">
        <f>('DOE25'!L205)+('DOE25'!L223)+('DOE25'!L241)</f>
        <v>1346148.25</v>
      </c>
      <c r="D120" s="24" t="s">
        <v>288</v>
      </c>
      <c r="E120" s="95">
        <f>+('DOE25'!L284)+('DOE25'!L303)+('DOE25'!L322)</f>
        <v>0</v>
      </c>
      <c r="F120" s="24" t="s">
        <v>288</v>
      </c>
      <c r="G120" s="24" t="s">
        <v>288</v>
      </c>
    </row>
    <row r="121" spans="1:7" x14ac:dyDescent="0.2">
      <c r="A121" t="s">
        <v>212</v>
      </c>
      <c r="B121" s="32" t="s">
        <v>213</v>
      </c>
      <c r="C121" s="95">
        <f>('DOE25'!L206)+('DOE25'!L224)+('DOE25'!L242)</f>
        <v>1833558.1700000002</v>
      </c>
      <c r="D121" s="24" t="s">
        <v>288</v>
      </c>
      <c r="E121" s="95">
        <f>+('DOE25'!L285)+('DOE25'!L304)+('DOE25'!L323)</f>
        <v>6932.71</v>
      </c>
      <c r="F121" s="24" t="s">
        <v>288</v>
      </c>
      <c r="G121" s="24" t="s">
        <v>288</v>
      </c>
    </row>
    <row r="122" spans="1:7" x14ac:dyDescent="0.2">
      <c r="A122" t="s">
        <v>214</v>
      </c>
      <c r="B122" s="32" t="s">
        <v>215</v>
      </c>
      <c r="C122" s="95">
        <f>('DOE25'!L207)+('DOE25'!L225)+('DOE25'!L243)</f>
        <v>705315.33000000007</v>
      </c>
      <c r="D122" s="24" t="s">
        <v>288</v>
      </c>
      <c r="E122" s="95">
        <f>+('DOE25'!L286)+('DOE25'!L305)+('DOE25'!L324)</f>
        <v>0</v>
      </c>
      <c r="F122" s="24" t="s">
        <v>288</v>
      </c>
      <c r="G122" s="24" t="s">
        <v>288</v>
      </c>
    </row>
    <row r="123" spans="1:7" x14ac:dyDescent="0.2">
      <c r="A123" t="s">
        <v>216</v>
      </c>
      <c r="B123" s="32" t="s">
        <v>217</v>
      </c>
      <c r="C123" s="95">
        <f>('DOE25'!L208)+('DOE25'!L226)+('DOE25'!L244)</f>
        <v>3996129.21</v>
      </c>
      <c r="D123" s="24" t="s">
        <v>288</v>
      </c>
      <c r="E123" s="95">
        <f>+('DOE25'!L287)+('DOE25'!L306)+('DOE25'!L325)</f>
        <v>0</v>
      </c>
      <c r="F123" s="24" t="s">
        <v>288</v>
      </c>
      <c r="G123" s="24" t="s">
        <v>288</v>
      </c>
    </row>
    <row r="124" spans="1:7" x14ac:dyDescent="0.2">
      <c r="A124" t="s">
        <v>218</v>
      </c>
      <c r="B124" s="32" t="s">
        <v>219</v>
      </c>
      <c r="C124" s="95">
        <f>('DOE25'!L209)+('DOE25'!L227)+('DOE25'!L245+'DOE25'!L255)</f>
        <v>780899.33000000007</v>
      </c>
      <c r="D124" s="24" t="s">
        <v>288</v>
      </c>
      <c r="E124" s="95">
        <f>+('DOE25'!L288)+('DOE25'!L307)+('DOE25'!L326)</f>
        <v>7921.23</v>
      </c>
      <c r="F124" s="24" t="s">
        <v>288</v>
      </c>
      <c r="G124" s="24" t="s">
        <v>288</v>
      </c>
    </row>
    <row r="125" spans="1:7" x14ac:dyDescent="0.2">
      <c r="A125" t="s">
        <v>220</v>
      </c>
      <c r="B125" s="32" t="s">
        <v>221</v>
      </c>
      <c r="C125" s="95">
        <f>('DOE25'!L210)+('DOE25'!L228)+('DOE25'!L246)</f>
        <v>3016.83</v>
      </c>
      <c r="D125" s="24" t="s">
        <v>288</v>
      </c>
      <c r="E125" s="95">
        <f>+('DOE25'!L289)+('DOE25'!L308)+('DOE25'!L327)</f>
        <v>6451.9</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719814.69</v>
      </c>
      <c r="E127" s="24" t="s">
        <v>288</v>
      </c>
      <c r="F127" s="24" t="s">
        <v>288</v>
      </c>
      <c r="G127" s="24" t="s">
        <v>288</v>
      </c>
    </row>
    <row r="128" spans="1:7" ht="12.75" thickTop="1" thickBot="1" x14ac:dyDescent="0.25">
      <c r="A128" s="33" t="s">
        <v>226</v>
      </c>
      <c r="C128" s="86">
        <f>SUM(C118:C127)</f>
        <v>11818245.689999999</v>
      </c>
      <c r="D128" s="86">
        <f>SUM(D118:D127)</f>
        <v>719814.69</v>
      </c>
      <c r="E128" s="86">
        <f>SUM(E118:E127)</f>
        <v>723416.89999999991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2092900</v>
      </c>
      <c r="D131" s="24" t="s">
        <v>288</v>
      </c>
      <c r="E131" s="129">
        <f>'DOE25'!L342</f>
        <v>0</v>
      </c>
      <c r="F131" s="24" t="s">
        <v>288</v>
      </c>
      <c r="G131" s="24" t="s">
        <v>288</v>
      </c>
    </row>
    <row r="132" spans="1:7" x14ac:dyDescent="0.2">
      <c r="A132" t="s">
        <v>230</v>
      </c>
      <c r="B132" s="32">
        <v>5120</v>
      </c>
      <c r="C132" s="95">
        <f>'DOE25'!L262</f>
        <v>549800.21</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251471.38</v>
      </c>
      <c r="D138" s="24" t="s">
        <v>288</v>
      </c>
      <c r="E138" s="24" t="s">
        <v>288</v>
      </c>
      <c r="F138" s="24" t="s">
        <v>288</v>
      </c>
      <c r="G138" s="24" t="s">
        <v>288</v>
      </c>
    </row>
    <row r="139" spans="1:7" x14ac:dyDescent="0.2">
      <c r="A139" t="s">
        <v>239</v>
      </c>
      <c r="B139" s="32">
        <v>5252</v>
      </c>
      <c r="C139" s="95">
        <f>'DOE25'!L402</f>
        <v>100577.25</v>
      </c>
      <c r="D139" s="24" t="s">
        <v>288</v>
      </c>
      <c r="E139" s="24" t="s">
        <v>288</v>
      </c>
      <c r="F139" s="24" t="s">
        <v>288</v>
      </c>
      <c r="G139" s="24" t="s">
        <v>288</v>
      </c>
    </row>
    <row r="140" spans="1:7" x14ac:dyDescent="0.2">
      <c r="A140" t="s">
        <v>240</v>
      </c>
      <c r="B140" s="32">
        <v>5253</v>
      </c>
      <c r="C140" s="95">
        <f>'DOE25'!L408</f>
        <v>397.33</v>
      </c>
      <c r="D140" s="24" t="s">
        <v>288</v>
      </c>
      <c r="E140" s="24" t="s">
        <v>288</v>
      </c>
      <c r="F140" s="24" t="s">
        <v>288</v>
      </c>
      <c r="G140" s="24" t="s">
        <v>288</v>
      </c>
    </row>
    <row r="141" spans="1:7" x14ac:dyDescent="0.2">
      <c r="A141" t="s">
        <v>762</v>
      </c>
      <c r="B141" s="32">
        <v>5254</v>
      </c>
      <c r="C141" s="95">
        <f>('DOE25'!L267+'DOE25'!K348) - (C138+C139+C140)</f>
        <v>-21016.960000000021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2974129.21</v>
      </c>
      <c r="D144" s="141">
        <f>SUM(D130:D143)</f>
        <v>0</v>
      </c>
      <c r="E144" s="141">
        <f>SUM(E130:E143)</f>
        <v>0</v>
      </c>
      <c r="F144" s="141">
        <f>SUM(F130:F143)</f>
        <v>0</v>
      </c>
      <c r="G144" s="141">
        <f>SUM(G130:G143)</f>
        <v>0</v>
      </c>
    </row>
    <row r="145" spans="1:9" ht="12.75" thickTop="1" thickBot="1" x14ac:dyDescent="0.25">
      <c r="A145" s="33" t="s">
        <v>244</v>
      </c>
      <c r="C145" s="86">
        <f>(C115+C128+C144)</f>
        <v>34905338.670000002</v>
      </c>
      <c r="D145" s="86">
        <f>(D115+D128+D144)</f>
        <v>719814.69</v>
      </c>
      <c r="E145" s="86">
        <f>(E115+E128+E144)</f>
        <v>1876597.18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20</v>
      </c>
      <c r="E151" s="153">
        <f>'DOE25'!I491</f>
        <v>20</v>
      </c>
      <c r="F151" s="153">
        <f>'DOE25'!J491</f>
        <v>0</v>
      </c>
      <c r="G151" s="24" t="s">
        <v>288</v>
      </c>
    </row>
    <row r="152" spans="1:9" x14ac:dyDescent="0.2">
      <c r="A152" s="136" t="s">
        <v>28</v>
      </c>
      <c r="B152" s="152" t="str">
        <f>'DOE25'!F492</f>
        <v>12/03</v>
      </c>
      <c r="C152" s="152" t="str">
        <f>'DOE25'!G492</f>
        <v>7/16</v>
      </c>
      <c r="D152" s="152" t="str">
        <f>'DOE25'!H492</f>
        <v>7/17</v>
      </c>
      <c r="E152" s="152" t="str">
        <f>'DOE25'!I492</f>
        <v>6/18</v>
      </c>
      <c r="F152" s="152">
        <f>'DOE25'!J492</f>
        <v>0</v>
      </c>
      <c r="G152" s="24" t="s">
        <v>288</v>
      </c>
    </row>
    <row r="153" spans="1:9" x14ac:dyDescent="0.2">
      <c r="A153" s="136" t="s">
        <v>29</v>
      </c>
      <c r="B153" s="152" t="str">
        <f>'DOE25'!F493</f>
        <v>1/2024</v>
      </c>
      <c r="C153" s="152" t="str">
        <f>'DOE25'!G493</f>
        <v>8/2036</v>
      </c>
      <c r="D153" s="152" t="str">
        <f>'DOE25'!H493</f>
        <v>8/2037</v>
      </c>
      <c r="E153" s="152" t="str">
        <f>'DOE25'!I493</f>
        <v>8/2038</v>
      </c>
      <c r="F153" s="152">
        <f>'DOE25'!J493</f>
        <v>0</v>
      </c>
      <c r="G153" s="24" t="s">
        <v>288</v>
      </c>
    </row>
    <row r="154" spans="1:9" x14ac:dyDescent="0.2">
      <c r="A154" s="136" t="s">
        <v>30</v>
      </c>
      <c r="B154" s="137">
        <f>'DOE25'!F494</f>
        <v>42120000</v>
      </c>
      <c r="C154" s="137">
        <f>'DOE25'!G494</f>
        <v>1837000</v>
      </c>
      <c r="D154" s="137">
        <f>'DOE25'!H494</f>
        <v>1871000</v>
      </c>
      <c r="E154" s="137">
        <f>'DOE25'!I494</f>
        <v>1122900</v>
      </c>
      <c r="F154" s="137">
        <f>'DOE25'!J494</f>
        <v>0</v>
      </c>
      <c r="G154" s="24" t="s">
        <v>288</v>
      </c>
    </row>
    <row r="155" spans="1:9" x14ac:dyDescent="0.2">
      <c r="A155" s="136" t="s">
        <v>31</v>
      </c>
      <c r="B155" s="137">
        <f>'DOE25'!F495</f>
        <v>4</v>
      </c>
      <c r="C155" s="137">
        <f>'DOE25'!G495</f>
        <v>2.5</v>
      </c>
      <c r="D155" s="137">
        <f>'DOE25'!H495</f>
        <v>2.6640000000000001</v>
      </c>
      <c r="E155" s="137">
        <f>'DOE25'!I495</f>
        <v>3.24</v>
      </c>
      <c r="F155" s="137">
        <f>'DOE25'!J495</f>
        <v>0</v>
      </c>
      <c r="G155" s="24" t="s">
        <v>288</v>
      </c>
    </row>
    <row r="156" spans="1:9" x14ac:dyDescent="0.2">
      <c r="A156" s="22" t="s">
        <v>32</v>
      </c>
      <c r="B156" s="137">
        <f>'DOE25'!F496</f>
        <v>9210000</v>
      </c>
      <c r="C156" s="137">
        <f>'DOE25'!G496</f>
        <v>1654300</v>
      </c>
      <c r="D156" s="137">
        <f>'DOE25'!H496</f>
        <v>1780000</v>
      </c>
      <c r="E156" s="137">
        <f>'DOE25'!I496</f>
        <v>1122900</v>
      </c>
      <c r="F156" s="137">
        <f>'DOE25'!J496</f>
        <v>0</v>
      </c>
      <c r="G156" s="138">
        <f>SUM(B156:F156)</f>
        <v>13767200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1845000</v>
      </c>
      <c r="C158" s="137">
        <f>'DOE25'!G498</f>
        <v>95000</v>
      </c>
      <c r="D158" s="137">
        <f>'DOE25'!H498</f>
        <v>95000</v>
      </c>
      <c r="E158" s="137">
        <f>'DOE25'!I498</f>
        <v>57900</v>
      </c>
      <c r="F158" s="137">
        <f>'DOE25'!J498</f>
        <v>0</v>
      </c>
      <c r="G158" s="138">
        <f t="shared" si="0"/>
        <v>2092900</v>
      </c>
    </row>
    <row r="159" spans="1:9" x14ac:dyDescent="0.2">
      <c r="A159" s="22" t="s">
        <v>35</v>
      </c>
      <c r="B159" s="137">
        <f>'DOE25'!F499</f>
        <v>7365000</v>
      </c>
      <c r="C159" s="137">
        <f>'DOE25'!G499</f>
        <v>1559300</v>
      </c>
      <c r="D159" s="137">
        <f>'DOE25'!H499</f>
        <v>1685000</v>
      </c>
      <c r="E159" s="137">
        <f>'DOE25'!I499</f>
        <v>1065000</v>
      </c>
      <c r="F159" s="137">
        <f>'DOE25'!J499</f>
        <v>0</v>
      </c>
      <c r="G159" s="138">
        <f t="shared" si="0"/>
        <v>11674300</v>
      </c>
    </row>
    <row r="160" spans="1:9" x14ac:dyDescent="0.2">
      <c r="A160" s="22" t="s">
        <v>36</v>
      </c>
      <c r="B160" s="137">
        <f>'DOE25'!F500</f>
        <v>657179.76</v>
      </c>
      <c r="C160" s="137">
        <f>'DOE25'!G500</f>
        <v>431687.75</v>
      </c>
      <c r="D160" s="137">
        <f>'DOE25'!H500</f>
        <v>583827.5</v>
      </c>
      <c r="E160" s="137">
        <f>'DOE25'!I500</f>
        <v>392945.8</v>
      </c>
      <c r="F160" s="137">
        <f>'DOE25'!J500</f>
        <v>0</v>
      </c>
      <c r="G160" s="138">
        <f t="shared" si="0"/>
        <v>2065640.81</v>
      </c>
    </row>
    <row r="161" spans="1:7" x14ac:dyDescent="0.2">
      <c r="A161" s="22" t="s">
        <v>37</v>
      </c>
      <c r="B161" s="137">
        <f>'DOE25'!F501</f>
        <v>8022179.7599999998</v>
      </c>
      <c r="C161" s="137">
        <f>'DOE25'!G501</f>
        <v>1990987.75</v>
      </c>
      <c r="D161" s="137">
        <f>'DOE25'!H501</f>
        <v>2268827.5</v>
      </c>
      <c r="E161" s="137">
        <f>'DOE25'!I501</f>
        <v>1457945.8</v>
      </c>
      <c r="F161" s="137">
        <f>'DOE25'!J501</f>
        <v>0</v>
      </c>
      <c r="G161" s="138">
        <f t="shared" si="0"/>
        <v>13739940.810000001</v>
      </c>
    </row>
    <row r="162" spans="1:7" x14ac:dyDescent="0.2">
      <c r="A162" s="22" t="s">
        <v>38</v>
      </c>
      <c r="B162" s="137">
        <f>'DOE25'!F502</f>
        <v>1845000</v>
      </c>
      <c r="C162" s="137">
        <f>'DOE25'!G502</f>
        <v>95000</v>
      </c>
      <c r="D162" s="137">
        <f>'DOE25'!H502</f>
        <v>95000</v>
      </c>
      <c r="E162" s="137">
        <f>'DOE25'!I502</f>
        <v>60000</v>
      </c>
      <c r="F162" s="137">
        <f>'DOE25'!J502</f>
        <v>0</v>
      </c>
      <c r="G162" s="138">
        <f t="shared" si="0"/>
        <v>2095000</v>
      </c>
    </row>
    <row r="163" spans="1:7" x14ac:dyDescent="0.2">
      <c r="A163" s="22" t="s">
        <v>39</v>
      </c>
      <c r="B163" s="137">
        <f>'DOE25'!F503</f>
        <v>285905.76</v>
      </c>
      <c r="C163" s="137">
        <f>'DOE25'!G503</f>
        <v>55240</v>
      </c>
      <c r="D163" s="137">
        <f>'DOE25'!H503</f>
        <v>70712.5</v>
      </c>
      <c r="E163" s="137">
        <f>'DOE25'!I503</f>
        <v>44603.76</v>
      </c>
      <c r="F163" s="137">
        <f>'DOE25'!J503</f>
        <v>0</v>
      </c>
      <c r="G163" s="138">
        <f t="shared" si="0"/>
        <v>456462.02</v>
      </c>
    </row>
    <row r="164" spans="1:7" x14ac:dyDescent="0.2">
      <c r="A164" s="22" t="s">
        <v>246</v>
      </c>
      <c r="B164" s="137">
        <f>'DOE25'!F504</f>
        <v>2130905.7599999998</v>
      </c>
      <c r="C164" s="137">
        <f>'DOE25'!G504</f>
        <v>150240</v>
      </c>
      <c r="D164" s="137">
        <f>'DOE25'!H504</f>
        <v>165712.5</v>
      </c>
      <c r="E164" s="137">
        <f>'DOE25'!I504</f>
        <v>104603.76000000001</v>
      </c>
      <c r="F164" s="137">
        <f>'DOE25'!J504</f>
        <v>0</v>
      </c>
      <c r="G164" s="138">
        <f t="shared" si="0"/>
        <v>2551462.0199999996</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4" workbookViewId="0">
      <selection activeCell="C27" sqref="C2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Conway School District</v>
      </c>
    </row>
    <row r="3" spans="1:4" x14ac:dyDescent="0.2">
      <c r="B3" s="188" t="s">
        <v>1587</v>
      </c>
    </row>
    <row r="4" spans="1:4" x14ac:dyDescent="0.2">
      <c r="B4" t="s">
        <v>61</v>
      </c>
      <c r="C4" s="179">
        <f>IF('DOE25'!F666+'DOE25'!F671=0,0,ROUND('DOE25'!F673,0))</f>
        <v>21113</v>
      </c>
    </row>
    <row r="5" spans="1:4" x14ac:dyDescent="0.2">
      <c r="B5" t="s">
        <v>700</v>
      </c>
      <c r="C5" s="179">
        <f>IF('DOE25'!G666+'DOE25'!G671=0,0,ROUND('DOE25'!G673,0))</f>
        <v>19535</v>
      </c>
    </row>
    <row r="6" spans="1:4" x14ac:dyDescent="0.2">
      <c r="B6" t="s">
        <v>62</v>
      </c>
      <c r="C6" s="179">
        <f>IF('DOE25'!H666+'DOE25'!H671=0,0,ROUND('DOE25'!H673,0))</f>
        <v>18463</v>
      </c>
    </row>
    <row r="7" spans="1:4" x14ac:dyDescent="0.2">
      <c r="B7" t="s">
        <v>701</v>
      </c>
      <c r="C7" s="179">
        <f>IF('DOE25'!I666+'DOE25'!I671=0,0,ROUND('DOE25'!I673,0))</f>
        <v>19723</v>
      </c>
    </row>
    <row r="9" spans="1:4" x14ac:dyDescent="0.2">
      <c r="A9" s="187" t="s">
        <v>94</v>
      </c>
      <c r="B9" s="188" t="s">
        <v>1588</v>
      </c>
      <c r="C9" s="181" t="s">
        <v>720</v>
      </c>
      <c r="D9" s="181" t="s">
        <v>721</v>
      </c>
    </row>
    <row r="10" spans="1:4" x14ac:dyDescent="0.2">
      <c r="A10">
        <v>1100</v>
      </c>
      <c r="B10" t="s">
        <v>702</v>
      </c>
      <c r="C10" s="179">
        <f>ROUND('DOE25'!L198+'DOE25'!L216+'DOE25'!L234+'DOE25'!L277+'DOE25'!L296+'DOE25'!L315,0)</f>
        <v>14292590</v>
      </c>
      <c r="D10" s="182">
        <f>ROUND((C10/$C$28)*100,1)</f>
        <v>41</v>
      </c>
    </row>
    <row r="11" spans="1:4" x14ac:dyDescent="0.2">
      <c r="A11">
        <v>1200</v>
      </c>
      <c r="B11" t="s">
        <v>703</v>
      </c>
      <c r="C11" s="179">
        <f>ROUND('DOE25'!L199+'DOE25'!L217+'DOE25'!L235+'DOE25'!L278+'DOE25'!L297+'DOE25'!L316,0)</f>
        <v>5214291</v>
      </c>
      <c r="D11" s="182">
        <f>ROUND((C11/$C$28)*100,1)</f>
        <v>15</v>
      </c>
    </row>
    <row r="12" spans="1:4" x14ac:dyDescent="0.2">
      <c r="A12">
        <v>1300</v>
      </c>
      <c r="B12" t="s">
        <v>704</v>
      </c>
      <c r="C12" s="179">
        <f>ROUND('DOE25'!L200+'DOE25'!L218+'DOE25'!L236+'DOE25'!L279+'DOE25'!L298+'DOE25'!L317,0)</f>
        <v>1050860</v>
      </c>
      <c r="D12" s="182">
        <f>ROUND((C12/$C$28)*100,1)</f>
        <v>3</v>
      </c>
    </row>
    <row r="13" spans="1:4" x14ac:dyDescent="0.2">
      <c r="A13">
        <v>1400</v>
      </c>
      <c r="B13" t="s">
        <v>705</v>
      </c>
      <c r="C13" s="179">
        <f>ROUND('DOE25'!L201+'DOE25'!L219+'DOE25'!L237+'DOE25'!L280+'DOE25'!L299+'DOE25'!L318,0)</f>
        <v>708404</v>
      </c>
      <c r="D13" s="182">
        <f>ROUND((C13/$C$28)*100,1)</f>
        <v>2</v>
      </c>
    </row>
    <row r="14" spans="1:4" x14ac:dyDescent="0.2">
      <c r="D14" s="182"/>
    </row>
    <row r="15" spans="1:4" x14ac:dyDescent="0.2">
      <c r="A15">
        <v>2100</v>
      </c>
      <c r="B15" t="s">
        <v>706</v>
      </c>
      <c r="C15" s="179">
        <f>ROUND('DOE25'!L203+'DOE25'!L221+'DOE25'!L239+'DOE25'!L282+'DOE25'!L301+'DOE25'!L320,0)</f>
        <v>2867442</v>
      </c>
      <c r="D15" s="182">
        <f t="shared" ref="D15:D27" si="0">ROUND((C15/$C$28)*100,1)</f>
        <v>8.1999999999999993</v>
      </c>
    </row>
    <row r="16" spans="1:4" x14ac:dyDescent="0.2">
      <c r="A16">
        <v>2200</v>
      </c>
      <c r="B16" t="s">
        <v>707</v>
      </c>
      <c r="C16" s="179">
        <f>ROUND('DOE25'!L204+'DOE25'!L222+'DOE25'!L240+'DOE25'!L283+'DOE25'!L302+'DOE25'!L321,0)</f>
        <v>987847</v>
      </c>
      <c r="D16" s="182">
        <f t="shared" si="0"/>
        <v>2.8</v>
      </c>
    </row>
    <row r="17" spans="1:4" x14ac:dyDescent="0.2">
      <c r="A17" s="183" t="s">
        <v>723</v>
      </c>
      <c r="B17" t="s">
        <v>738</v>
      </c>
      <c r="C17" s="179">
        <f>ROUND('DOE25'!L205+'DOE25'!L210+'DOE25'!L223+'DOE25'!L228+'DOE25'!L241+'DOE25'!L246+'DOE25'!L284+'DOE25'!L289+'DOE25'!L303+'DOE25'!L308+'DOE25'!L322+'DOE25'!L327,0)</f>
        <v>1355617</v>
      </c>
      <c r="D17" s="182">
        <f t="shared" si="0"/>
        <v>3.9</v>
      </c>
    </row>
    <row r="18" spans="1:4" x14ac:dyDescent="0.2">
      <c r="A18">
        <v>2400</v>
      </c>
      <c r="B18" t="s">
        <v>711</v>
      </c>
      <c r="C18" s="179">
        <f>ROUND('DOE25'!L206+'DOE25'!L224+'DOE25'!L242+'DOE25'!L285+'DOE25'!L304+'DOE25'!L323,0)</f>
        <v>1840491</v>
      </c>
      <c r="D18" s="182">
        <f t="shared" si="0"/>
        <v>5.3</v>
      </c>
    </row>
    <row r="19" spans="1:4" x14ac:dyDescent="0.2">
      <c r="A19">
        <v>2500</v>
      </c>
      <c r="B19" t="s">
        <v>708</v>
      </c>
      <c r="C19" s="179">
        <f>ROUND('DOE25'!L207+'DOE25'!L225+'DOE25'!L243+'DOE25'!L286+'DOE25'!L305+'DOE25'!L324,0)</f>
        <v>705315</v>
      </c>
      <c r="D19" s="182">
        <f t="shared" si="0"/>
        <v>2</v>
      </c>
    </row>
    <row r="20" spans="1:4" x14ac:dyDescent="0.2">
      <c r="A20">
        <v>2600</v>
      </c>
      <c r="B20" t="s">
        <v>709</v>
      </c>
      <c r="C20" s="179">
        <f>ROUND('DOE25'!L208+'DOE25'!L226+'DOE25'!L244+'DOE25'!L287+'DOE25'!L306+'DOE25'!L325,0)</f>
        <v>3996129</v>
      </c>
      <c r="D20" s="182">
        <f t="shared" si="0"/>
        <v>11.5</v>
      </c>
    </row>
    <row r="21" spans="1:4" x14ac:dyDescent="0.2">
      <c r="A21">
        <v>2700</v>
      </c>
      <c r="B21" t="s">
        <v>710</v>
      </c>
      <c r="C21" s="179">
        <f>ROUND('DOE25'!L209+'DOE25'!L227+'DOE25'!L245+'DOE25'!L288+'DOE25'!L307+'DOE25'!L326,0)</f>
        <v>788821</v>
      </c>
      <c r="D21" s="182">
        <f t="shared" si="0"/>
        <v>2.2999999999999998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549800</v>
      </c>
      <c r="D25" s="182">
        <f t="shared" si="0"/>
        <v>1.6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516810.29000000004</v>
      </c>
      <c r="D27" s="182">
        <f t="shared" si="0"/>
        <v>1.5</v>
      </c>
    </row>
    <row r="28" spans="1:4" x14ac:dyDescent="0.2">
      <c r="B28" s="187" t="s">
        <v>719</v>
      </c>
      <c r="C28" s="180">
        <f>SUM(C10:C27)</f>
        <v>34874417.289999999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34874417.289999999</v>
      </c>
    </row>
    <row r="31" spans="1:4" x14ac:dyDescent="0.2">
      <c r="B31" s="33"/>
      <c r="C31" s="180"/>
    </row>
    <row r="32" spans="1:4" x14ac:dyDescent="0.2">
      <c r="A32">
        <v>5100</v>
      </c>
      <c r="B32" s="33" t="s">
        <v>726</v>
      </c>
      <c r="C32" s="180">
        <f>ROUND('DOE25'!L261+'DOE25'!L342,0)</f>
        <v>2092900</v>
      </c>
    </row>
    <row r="34" spans="1:4" x14ac:dyDescent="0.2">
      <c r="A34" s="187" t="s">
        <v>94</v>
      </c>
      <c r="B34" s="188" t="s">
        <v>1589</v>
      </c>
      <c r="C34" s="181" t="s">
        <v>720</v>
      </c>
      <c r="D34" s="181" t="s">
        <v>721</v>
      </c>
    </row>
    <row r="35" spans="1:4" x14ac:dyDescent="0.2">
      <c r="A35">
        <v>1100</v>
      </c>
      <c r="B35" s="185" t="s">
        <v>727</v>
      </c>
      <c r="C35" s="179">
        <f>ROUND('DOE25'!F60+'DOE25'!G60+'DOE25'!H60+'DOE25'!I60+'DOE25'!J60,0)</f>
        <v>15987267</v>
      </c>
      <c r="D35" s="182">
        <f t="shared" ref="D35:D40" si="1">ROUND((C35/$C$41)*100,1)</f>
        <v>43.8</v>
      </c>
    </row>
    <row r="36" spans="1:4" x14ac:dyDescent="0.2">
      <c r="B36" s="185" t="s">
        <v>739</v>
      </c>
      <c r="C36" s="179">
        <f>SUM('DOE25'!F112:J112)-SUM('DOE25'!G97:G110)+('DOE25'!F175+'DOE25'!F176+'DOE25'!I175+'DOE25'!I176)-C35</f>
        <v>10802089.420000002</v>
      </c>
      <c r="D36" s="182">
        <f t="shared" si="1"/>
        <v>29.6</v>
      </c>
    </row>
    <row r="37" spans="1:4" x14ac:dyDescent="0.2">
      <c r="A37" s="183" t="s">
        <v>835</v>
      </c>
      <c r="B37" s="185" t="s">
        <v>728</v>
      </c>
      <c r="C37" s="179">
        <f>ROUND('DOE25'!F117+'DOE25'!F118,0)</f>
        <v>6490320</v>
      </c>
      <c r="D37" s="182">
        <f t="shared" si="1"/>
        <v>17.8</v>
      </c>
    </row>
    <row r="38" spans="1:4" x14ac:dyDescent="0.2">
      <c r="A38" s="183" t="s">
        <v>734</v>
      </c>
      <c r="B38" s="185" t="s">
        <v>729</v>
      </c>
      <c r="C38" s="179">
        <f>ROUND(SUM('DOE25'!F140:J140)-SUM('DOE25'!F117:F119),0)</f>
        <v>1239348</v>
      </c>
      <c r="D38" s="182">
        <f t="shared" si="1"/>
        <v>3.4</v>
      </c>
    </row>
    <row r="39" spans="1:4" x14ac:dyDescent="0.2">
      <c r="A39">
        <v>4000</v>
      </c>
      <c r="B39" s="185" t="s">
        <v>730</v>
      </c>
      <c r="C39" s="179">
        <f>ROUND('DOE25'!F170+'DOE25'!G170+'DOE25'!H170+'DOE25'!I170,0)</f>
        <v>2011853</v>
      </c>
      <c r="D39" s="182">
        <f t="shared" si="1"/>
        <v>5.5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36530877.420000002</v>
      </c>
      <c r="D41" s="184">
        <f>SUM(D35:D40)</f>
        <v>100.10000000000001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Conway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A53" workbookViewId="0">
      <selection activeCell="G78" sqref="G7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8"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G78" s="336">
        <v>113</v>
      </c>
      <c r="H78" s="336" t="s">
        <v>993</v>
      </c>
      <c r="I78" s="336" t="s">
        <v>1652</v>
      </c>
      <c r="J78" s="336">
        <v>27010</v>
      </c>
      <c r="K78" s="319" t="s">
        <v>1546</v>
      </c>
      <c r="L78" s="291" t="b">
        <f t="shared" si="4"/>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J79" s="336"/>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2" priority="4" operator="containsText" text="TRUE">
      <formula>NOT(ISERROR(SEARCH("TRUE",F3)))</formula>
    </cfRule>
  </conditionalFormatting>
  <conditionalFormatting sqref="L3:L77">
    <cfRule type="containsText" dxfId="1" priority="3" operator="containsText" text="TRUE">
      <formula>NOT(ISERROR(SEARCH("TRUE",L3)))</formula>
    </cfRule>
  </conditionalFormatting>
  <conditionalFormatting sqref="L78">
    <cfRule type="containsText" dxfId="0" priority="1" operator="containsText" text="TRUE">
      <formula>NOT(ISERROR(SEARCH("TRUE",L78)))</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2020-12-01T16:13:34Z</cp:lastPrinted>
  <dcterms:created xsi:type="dcterms:W3CDTF">1997-12-04T19:04:30Z</dcterms:created>
  <dcterms:modified xsi:type="dcterms:W3CDTF">2020-12-09T17:55:47Z</dcterms:modified>
</cp:coreProperties>
</file>