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F469" i="1" l="1"/>
  <c r="F110" i="1"/>
  <c r="F12" i="1"/>
  <c r="H544" i="1"/>
  <c r="H542" i="1"/>
  <c r="H539" i="1"/>
  <c r="H538" i="1"/>
  <c r="H537" i="1"/>
  <c r="G533" i="1"/>
  <c r="G532" i="1"/>
  <c r="F533" i="1"/>
  <c r="F532" i="1"/>
  <c r="I528" i="1"/>
  <c r="I527" i="1"/>
  <c r="H527" i="1"/>
  <c r="H529" i="1"/>
  <c r="H528" i="1"/>
  <c r="F528" i="1"/>
  <c r="F527" i="1"/>
  <c r="H524" i="1"/>
  <c r="G523" i="1"/>
  <c r="H523" i="1"/>
  <c r="I523" i="1"/>
  <c r="J523" i="1"/>
  <c r="K523" i="1"/>
  <c r="F523" i="1"/>
  <c r="G522" i="1"/>
  <c r="H522" i="1"/>
  <c r="I522" i="1"/>
  <c r="J522" i="1"/>
  <c r="K522" i="1"/>
  <c r="F522" i="1"/>
  <c r="H155" i="1"/>
  <c r="H159" i="1"/>
  <c r="H469" i="1"/>
  <c r="H13" i="1"/>
  <c r="H493" i="1"/>
  <c r="H492"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F51" i="1"/>
  <c r="G623" i="1" s="1"/>
  <c r="J623" i="1" s="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G16" i="13"/>
  <c r="H16" i="13"/>
  <c r="L210" i="1"/>
  <c r="L228" i="1"/>
  <c r="L246" i="1"/>
  <c r="G5" i="13"/>
  <c r="H5" i="13"/>
  <c r="L198" i="1"/>
  <c r="L199" i="1"/>
  <c r="L200" i="1"/>
  <c r="C12" i="10"/>
  <c r="L201" i="1"/>
  <c r="L216" i="1"/>
  <c r="L217" i="1"/>
  <c r="L218" i="1"/>
  <c r="L219" i="1"/>
  <c r="C112" i="2"/>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c r="L245" i="1"/>
  <c r="G652" i="1"/>
  <c r="G17" i="13"/>
  <c r="H17" i="13"/>
  <c r="L252" i="1"/>
  <c r="G18" i="13"/>
  <c r="H18" i="13"/>
  <c r="L253" i="1"/>
  <c r="D18" i="13"/>
  <c r="C18" i="13"/>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c r="L335" i="1"/>
  <c r="L336" i="1"/>
  <c r="L261" i="1"/>
  <c r="L262" i="1"/>
  <c r="C132" i="2"/>
  <c r="L342" i="1"/>
  <c r="L343" i="1"/>
  <c r="L256" i="1"/>
  <c r="L337" i="1"/>
  <c r="E130" i="2"/>
  <c r="C11" i="13"/>
  <c r="C10" i="13"/>
  <c r="C9" i="13"/>
  <c r="L362" i="1"/>
  <c r="B4" i="12"/>
  <c r="B36" i="12"/>
  <c r="C36" i="12"/>
  <c r="B40" i="12"/>
  <c r="C40" i="12"/>
  <c r="B27" i="12"/>
  <c r="C27" i="12"/>
  <c r="B31" i="12"/>
  <c r="A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2" i="2"/>
  <c r="G61" i="2"/>
  <c r="F2" i="11"/>
  <c r="L614" i="1"/>
  <c r="H664" i="1"/>
  <c r="L613" i="1"/>
  <c r="G664" i="1"/>
  <c r="L612" i="1"/>
  <c r="F664" i="1"/>
  <c r="C40" i="10"/>
  <c r="F60" i="1"/>
  <c r="G60" i="1"/>
  <c r="H60" i="1"/>
  <c r="I60" i="1"/>
  <c r="F79" i="1"/>
  <c r="C57" i="2"/>
  <c r="F94" i="1"/>
  <c r="F111" i="1"/>
  <c r="G111" i="1"/>
  <c r="H79" i="1"/>
  <c r="H94" i="1"/>
  <c r="H111" i="1"/>
  <c r="I111" i="1"/>
  <c r="I112" i="1"/>
  <c r="J111" i="1"/>
  <c r="J112" i="1"/>
  <c r="F121" i="1"/>
  <c r="F136" i="1"/>
  <c r="G121" i="1"/>
  <c r="G136" i="1"/>
  <c r="H121" i="1"/>
  <c r="H136" i="1"/>
  <c r="I121" i="1"/>
  <c r="I136" i="1"/>
  <c r="J121" i="1"/>
  <c r="J140" i="1"/>
  <c r="J136" i="1"/>
  <c r="F147" i="1"/>
  <c r="F170" i="1"/>
  <c r="G147" i="1"/>
  <c r="H147" i="1"/>
  <c r="H170" i="1"/>
  <c r="I147" i="1"/>
  <c r="L251" i="1"/>
  <c r="C113" i="2"/>
  <c r="L333" i="1"/>
  <c r="E113" i="2"/>
  <c r="L255" i="1"/>
  <c r="L269" i="1"/>
  <c r="L270" i="1"/>
  <c r="L350" i="1"/>
  <c r="E142" i="2"/>
  <c r="L351" i="1"/>
  <c r="E143" i="2"/>
  <c r="I666" i="1"/>
  <c r="I671" i="1"/>
  <c r="I670" i="1"/>
  <c r="C42" i="10"/>
  <c r="C32" i="10"/>
  <c r="L375" i="1"/>
  <c r="L376" i="1"/>
  <c r="L377" i="1"/>
  <c r="L378" i="1"/>
  <c r="L379" i="1"/>
  <c r="L380" i="1"/>
  <c r="L381" i="1"/>
  <c r="B2" i="10"/>
  <c r="L345" i="1"/>
  <c r="E134" i="2"/>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50" i="2"/>
  <c r="E34" i="2"/>
  <c r="F34" i="2"/>
  <c r="C35" i="2"/>
  <c r="D35" i="2"/>
  <c r="E35" i="2"/>
  <c r="F35" i="2"/>
  <c r="I455" i="1"/>
  <c r="J49" i="1"/>
  <c r="G48" i="2"/>
  <c r="I457" i="1"/>
  <c r="J43" i="1"/>
  <c r="I458" i="1"/>
  <c r="J37" i="1"/>
  <c r="G36" i="2"/>
  <c r="I460" i="1"/>
  <c r="J48" i="1"/>
  <c r="G47" i="2"/>
  <c r="C49" i="2"/>
  <c r="D56" i="2"/>
  <c r="E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3" i="2"/>
  <c r="C125" i="2"/>
  <c r="E125" i="2"/>
  <c r="F128" i="2"/>
  <c r="G128" i="2"/>
  <c r="C130" i="2"/>
  <c r="D134" i="2"/>
  <c r="D14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G620" i="1"/>
  <c r="I19" i="1"/>
  <c r="G621" i="1"/>
  <c r="F32" i="1"/>
  <c r="F52" i="1"/>
  <c r="H618" i="1" s="1"/>
  <c r="J618" i="1" s="1"/>
  <c r="G32" i="1"/>
  <c r="G52" i="1"/>
  <c r="H619" i="1"/>
  <c r="H32" i="1"/>
  <c r="I32" i="1"/>
  <c r="H51" i="1"/>
  <c r="G625"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G339" i="1"/>
  <c r="G353" i="1"/>
  <c r="H310" i="1"/>
  <c r="I310" i="1"/>
  <c r="F329" i="1"/>
  <c r="G329" i="1"/>
  <c r="H329" i="1"/>
  <c r="I329" i="1"/>
  <c r="F338" i="1"/>
  <c r="G338" i="1"/>
  <c r="H338" i="1"/>
  <c r="I338" i="1"/>
  <c r="J338" i="1"/>
  <c r="K338" i="1"/>
  <c r="F363" i="1"/>
  <c r="G363" i="1"/>
  <c r="H363" i="1"/>
  <c r="I363" i="1"/>
  <c r="J363" i="1"/>
  <c r="K363" i="1"/>
  <c r="I369" i="1"/>
  <c r="F370" i="1"/>
  <c r="G370" i="1"/>
  <c r="H370" i="1"/>
  <c r="L382" i="1"/>
  <c r="F383" i="1"/>
  <c r="G383" i="1"/>
  <c r="H383" i="1"/>
  <c r="I383" i="1"/>
  <c r="J383" i="1"/>
  <c r="K383" i="1"/>
  <c r="F394" i="1"/>
  <c r="G394" i="1"/>
  <c r="H394" i="1"/>
  <c r="I394" i="1"/>
  <c r="F402" i="1"/>
  <c r="G402" i="1"/>
  <c r="H402" i="1"/>
  <c r="I402" i="1"/>
  <c r="F408" i="1"/>
  <c r="G408" i="1"/>
  <c r="G409" i="1"/>
  <c r="H646" i="1"/>
  <c r="H408" i="1"/>
  <c r="I408" i="1"/>
  <c r="F409" i="1"/>
  <c r="H644" i="1"/>
  <c r="H409" i="1"/>
  <c r="H645"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19" i="1"/>
  <c r="G624" i="1"/>
  <c r="H628" i="1"/>
  <c r="H629" i="1"/>
  <c r="H630" i="1"/>
  <c r="H631" i="1"/>
  <c r="H632" i="1"/>
  <c r="H633" i="1"/>
  <c r="H634" i="1"/>
  <c r="G635" i="1"/>
  <c r="H636" i="1"/>
  <c r="H637" i="1"/>
  <c r="H638" i="1"/>
  <c r="H639" i="1"/>
  <c r="G641" i="1"/>
  <c r="G644" i="1"/>
  <c r="G645" i="1"/>
  <c r="G646" i="1"/>
  <c r="G653" i="1"/>
  <c r="H653" i="1"/>
  <c r="G654" i="1"/>
  <c r="H654" i="1"/>
  <c r="G655" i="1"/>
  <c r="H655" i="1"/>
  <c r="H656" i="1"/>
  <c r="J656" i="1"/>
  <c r="A40" i="12"/>
  <c r="I170" i="1"/>
  <c r="H140" i="1"/>
  <c r="G663" i="1"/>
  <c r="J652" i="1"/>
  <c r="G477" i="1"/>
  <c r="I370" i="1"/>
  <c r="H635" i="1"/>
  <c r="J635" i="1"/>
  <c r="G662" i="1"/>
  <c r="E124" i="2"/>
  <c r="E119" i="2"/>
  <c r="E110" i="2"/>
  <c r="K339" i="1"/>
  <c r="K353" i="1"/>
  <c r="L257" i="1"/>
  <c r="H663" i="1"/>
  <c r="D15" i="13"/>
  <c r="C15" i="13"/>
  <c r="D6" i="13"/>
  <c r="C6" i="13"/>
  <c r="C119" i="2"/>
  <c r="J258" i="1"/>
  <c r="J272" i="1"/>
  <c r="C13" i="10"/>
  <c r="F258" i="1"/>
  <c r="F272" i="1"/>
  <c r="C11" i="10"/>
  <c r="E13" i="13"/>
  <c r="C13" i="13"/>
  <c r="C121" i="2"/>
  <c r="C120" i="2"/>
  <c r="C110" i="2"/>
  <c r="H112" i="1"/>
  <c r="H477" i="1"/>
  <c r="H625" i="1"/>
  <c r="J625" i="1"/>
  <c r="C91" i="2"/>
  <c r="H193" i="1"/>
  <c r="C20" i="10"/>
  <c r="L402" i="1"/>
  <c r="C139" i="2"/>
  <c r="H462" i="1"/>
  <c r="H642" i="1"/>
  <c r="G553" i="1"/>
  <c r="F339" i="1"/>
  <c r="F353" i="1"/>
  <c r="J642" i="1"/>
  <c r="L561" i="1"/>
  <c r="G462" i="1"/>
  <c r="H641" i="1"/>
  <c r="E103" i="2"/>
  <c r="D18" i="2"/>
  <c r="H553" i="1"/>
  <c r="L310" i="1"/>
  <c r="I546" i="1"/>
  <c r="F462" i="1"/>
  <c r="H640" i="1"/>
  <c r="J640" i="1"/>
  <c r="K606" i="1"/>
  <c r="G649" i="1"/>
  <c r="H258" i="1"/>
  <c r="H272" i="1"/>
  <c r="I52" i="1"/>
  <c r="H621" i="1"/>
  <c r="D31" i="2"/>
  <c r="D51" i="2"/>
  <c r="E31" i="2"/>
  <c r="C18" i="2"/>
  <c r="F18" i="2"/>
  <c r="L271" i="1"/>
  <c r="F662" i="1"/>
  <c r="F572" i="1"/>
  <c r="L420" i="1"/>
  <c r="D91" i="2"/>
  <c r="D81" i="2"/>
  <c r="E78" i="2"/>
  <c r="G546" i="1"/>
  <c r="J644" i="1"/>
  <c r="J646" i="1"/>
  <c r="F112" i="1"/>
  <c r="L394" i="1"/>
  <c r="C138" i="2"/>
  <c r="L363" i="1"/>
  <c r="B17" i="16"/>
  <c r="B19" i="16"/>
  <c r="B28" i="16"/>
  <c r="L329" i="1"/>
  <c r="E122" i="2"/>
  <c r="L291" i="1"/>
  <c r="H624" i="1"/>
  <c r="J624" i="1"/>
  <c r="B33" i="16"/>
  <c r="L615" i="1"/>
  <c r="K599" i="1"/>
  <c r="G648" i="1"/>
  <c r="K572" i="1"/>
  <c r="L571" i="1"/>
  <c r="H572" i="1"/>
  <c r="L566" i="1"/>
  <c r="I572" i="1"/>
  <c r="K546" i="1"/>
  <c r="H52" i="1"/>
  <c r="H620" i="1"/>
  <c r="J620" i="1"/>
  <c r="C114" i="2"/>
  <c r="G112" i="1"/>
  <c r="B10" i="16"/>
  <c r="E118" i="2"/>
  <c r="L248" i="1"/>
  <c r="L212" i="1"/>
  <c r="H648" i="1"/>
  <c r="J645" i="1"/>
  <c r="G626" i="1"/>
  <c r="L530" i="1"/>
  <c r="H546" i="1"/>
  <c r="G164" i="2"/>
  <c r="G161" i="2"/>
  <c r="G157" i="2"/>
  <c r="G156" i="2"/>
  <c r="G81" i="2"/>
  <c r="C78" i="2"/>
  <c r="F78" i="2"/>
  <c r="F81" i="2"/>
  <c r="C70" i="2"/>
  <c r="D62" i="2"/>
  <c r="D63" i="2"/>
  <c r="E57" i="2"/>
  <c r="E62" i="2"/>
  <c r="E63" i="2"/>
  <c r="C26" i="10"/>
  <c r="C18" i="10"/>
  <c r="J641" i="1"/>
  <c r="J546" i="1"/>
  <c r="I477" i="1"/>
  <c r="H626" i="1"/>
  <c r="J477" i="1"/>
  <c r="H627" i="1"/>
  <c r="F477" i="1"/>
  <c r="H623" i="1"/>
  <c r="L434" i="1"/>
  <c r="L428" i="1"/>
  <c r="I258" i="1"/>
  <c r="I272" i="1"/>
  <c r="K258" i="1"/>
  <c r="K272" i="1"/>
  <c r="G193" i="1"/>
  <c r="B13" i="16"/>
  <c r="F193" i="1"/>
  <c r="J553" i="1"/>
  <c r="I553" i="1"/>
  <c r="K550" i="1"/>
  <c r="F553" i="1"/>
  <c r="L352" i="1"/>
  <c r="F130" i="2"/>
  <c r="F144" i="2" s="1"/>
  <c r="F145" i="2" s="1"/>
  <c r="G170" i="1"/>
  <c r="B12" i="16"/>
  <c r="K552" i="1"/>
  <c r="I25" i="13"/>
  <c r="K551" i="1"/>
  <c r="L535" i="1"/>
  <c r="K501" i="1"/>
  <c r="I461" i="1"/>
  <c r="I453" i="1"/>
  <c r="I447" i="1"/>
  <c r="G643" i="1"/>
  <c r="H339" i="1"/>
  <c r="H353" i="1"/>
  <c r="C123" i="2"/>
  <c r="E109"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E81" i="2"/>
  <c r="G650" i="1"/>
  <c r="J650" i="1"/>
  <c r="L545" i="1"/>
  <c r="L525" i="1"/>
  <c r="J339" i="1"/>
  <c r="J353" i="1"/>
  <c r="D127" i="2"/>
  <c r="D128" i="2"/>
  <c r="D145" i="2"/>
  <c r="C124" i="2"/>
  <c r="C122" i="2"/>
  <c r="C118" i="2"/>
  <c r="C19" i="10"/>
  <c r="C16" i="10"/>
  <c r="D17" i="13"/>
  <c r="C17" i="13"/>
  <c r="D7" i="13"/>
  <c r="C7" i="13"/>
  <c r="E16" i="13"/>
  <c r="C16" i="13"/>
  <c r="C10" i="10"/>
  <c r="C109" i="2"/>
  <c r="L230" i="1"/>
  <c r="L338" i="1"/>
  <c r="F62" i="2"/>
  <c r="F63" i="2"/>
  <c r="C23" i="10"/>
  <c r="G163" i="2"/>
  <c r="G162" i="2"/>
  <c r="G160" i="2"/>
  <c r="G159" i="2"/>
  <c r="G158" i="2"/>
  <c r="G103" i="2"/>
  <c r="F103" i="2"/>
  <c r="C103" i="2"/>
  <c r="F91" i="2"/>
  <c r="E50" i="2"/>
  <c r="F31" i="2"/>
  <c r="C31" i="2"/>
  <c r="E18" i="2"/>
  <c r="E144" i="2"/>
  <c r="F50" i="2"/>
  <c r="F51" i="2"/>
  <c r="C24" i="10"/>
  <c r="H31" i="13"/>
  <c r="H33" i="13"/>
  <c r="I339" i="1"/>
  <c r="I353" i="1"/>
  <c r="J651" i="1"/>
  <c r="L408" i="1"/>
  <c r="C140" i="2"/>
  <c r="I193" i="1"/>
  <c r="E91" i="2"/>
  <c r="J655" i="1"/>
  <c r="J654" i="1"/>
  <c r="G21" i="2"/>
  <c r="G31" i="2"/>
  <c r="J32" i="1"/>
  <c r="J435" i="1"/>
  <c r="F435" i="1"/>
  <c r="K435" i="1"/>
  <c r="G134" i="2"/>
  <c r="G144" i="2"/>
  <c r="G145" i="2"/>
  <c r="G31" i="13"/>
  <c r="J194" i="1"/>
  <c r="G647" i="1"/>
  <c r="H194" i="1"/>
  <c r="G630" i="1"/>
  <c r="J630" i="1"/>
  <c r="G140" i="1"/>
  <c r="B11" i="16"/>
  <c r="F140" i="1"/>
  <c r="G63" i="2"/>
  <c r="J619" i="1"/>
  <c r="G42" i="2"/>
  <c r="J51" i="1"/>
  <c r="G16" i="2"/>
  <c r="G18" i="2"/>
  <c r="J19" i="1"/>
  <c r="G622" i="1"/>
  <c r="F546" i="1"/>
  <c r="H435" i="1"/>
  <c r="J621" i="1"/>
  <c r="D103" i="2"/>
  <c r="I140" i="1"/>
  <c r="A22" i="12"/>
  <c r="G50" i="2"/>
  <c r="J653" i="1"/>
  <c r="G572" i="1"/>
  <c r="I435" i="1"/>
  <c r="G435" i="1"/>
  <c r="I664" i="1"/>
  <c r="L572" i="1"/>
  <c r="C141" i="2"/>
  <c r="C144" i="2"/>
  <c r="H661" i="1"/>
  <c r="E128" i="2"/>
  <c r="E115" i="2"/>
  <c r="G24" i="14"/>
  <c r="H24" i="14"/>
  <c r="I24" i="14"/>
  <c r="F661" i="1"/>
  <c r="F665" i="1"/>
  <c r="F668" i="1"/>
  <c r="G36" i="14"/>
  <c r="H36" i="14"/>
  <c r="I36" i="14"/>
  <c r="H649" i="1"/>
  <c r="J649" i="1"/>
  <c r="C81" i="2"/>
  <c r="F194" i="1"/>
  <c r="G628" i="1"/>
  <c r="J628" i="1"/>
  <c r="H665" i="1"/>
  <c r="H668" i="1"/>
  <c r="E51" i="2"/>
  <c r="E104" i="2"/>
  <c r="C36" i="10"/>
  <c r="L435" i="1"/>
  <c r="G639" i="1"/>
  <c r="J639" i="1"/>
  <c r="I662" i="1"/>
  <c r="G104" i="2"/>
  <c r="L339" i="1"/>
  <c r="L353" i="1"/>
  <c r="G634" i="1"/>
  <c r="J634" i="1"/>
  <c r="I194" i="1"/>
  <c r="G631" i="1"/>
  <c r="J631" i="1"/>
  <c r="G636" i="1"/>
  <c r="J636" i="1"/>
  <c r="G51" i="2"/>
  <c r="D104" i="2"/>
  <c r="L409" i="1"/>
  <c r="C27" i="10"/>
  <c r="C28" i="10"/>
  <c r="D23" i="10"/>
  <c r="G4" i="14"/>
  <c r="H4" i="14"/>
  <c r="I4" i="14"/>
  <c r="L546" i="1"/>
  <c r="J626" i="1"/>
  <c r="F104" i="2"/>
  <c r="B14" i="16"/>
  <c r="B22" i="16"/>
  <c r="E33" i="13"/>
  <c r="D35" i="13"/>
  <c r="J648" i="1"/>
  <c r="L258" i="1"/>
  <c r="L272" i="1"/>
  <c r="G633" i="1"/>
  <c r="J633" i="1"/>
  <c r="C115" i="2"/>
  <c r="C63" i="2"/>
  <c r="C39" i="10"/>
  <c r="G33" i="13"/>
  <c r="C128" i="2"/>
  <c r="D31" i="13"/>
  <c r="C31" i="13"/>
  <c r="I462" i="1"/>
  <c r="H643" i="1"/>
  <c r="J643" i="1"/>
  <c r="G661" i="1"/>
  <c r="G665" i="1"/>
  <c r="G673" i="1"/>
  <c r="C5" i="10" s="1"/>
  <c r="C25" i="13"/>
  <c r="I33" i="13"/>
  <c r="K553" i="1"/>
  <c r="G632" i="1"/>
  <c r="J632" i="1"/>
  <c r="G194" i="1"/>
  <c r="G629" i="1"/>
  <c r="J629" i="1"/>
  <c r="G627" i="1"/>
  <c r="J627" i="1"/>
  <c r="J52" i="1"/>
  <c r="H622" i="1"/>
  <c r="J622" i="1"/>
  <c r="C38" i="10"/>
  <c r="E145" i="2"/>
  <c r="H673" i="1"/>
  <c r="C6" i="10"/>
  <c r="F673" i="1"/>
  <c r="C4" i="10"/>
  <c r="C104" i="2"/>
  <c r="I661" i="1"/>
  <c r="I665" i="1"/>
  <c r="I673" i="1"/>
  <c r="C7" i="10" s="1"/>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I668" i="1"/>
  <c r="D28" i="10"/>
  <c r="D37" i="10"/>
  <c r="D36" i="10"/>
  <c r="D35" i="10"/>
  <c r="D40" i="10"/>
  <c r="D39" i="10"/>
  <c r="D41" i="10"/>
  <c r="C50" i="2" l="1"/>
  <c r="C51" i="2" s="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<sst xmlns="http://schemas.openxmlformats.org/spreadsheetml/2006/main" count="5556" uniqueCount="1647">
  <si>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</si>
  <si>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</si>
  <si>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</si>
  <si>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</si>
  <si>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</si>
  <si>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</si>
  <si>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</si>
  <si>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</si>
  <si>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</si>
  <si>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</si>
  <si>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</si>
  <si>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</si>
  <si>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</si>
  <si>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</si>
  <si>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</si>
  <si>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</si>
  <si>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</si>
  <si>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</si>
  <si>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</si>
  <si>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</si>
  <si>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</si>
  <si>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</si>
  <si>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</si>
  <si>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</si>
  <si>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</si>
  <si>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</si>
  <si>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</si>
  <si>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</si>
  <si>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</si>
  <si>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</si>
  <si>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</si>
  <si>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</si>
  <si>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</si>
  <si>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</si>
  <si>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</si>
  <si>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</si>
  <si>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</si>
  <si>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</si>
  <si>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</si>
  <si>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</si>
  <si>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</si>
  <si>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</si>
  <si>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</si>
  <si>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</si>
  <si>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</si>
  <si>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</si>
  <si>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</si>
  <si>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</si>
  <si>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</si>
  <si>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</si>
  <si>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</si>
  <si>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</si>
  <si>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</si>
  <si>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</si>
  <si>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</si>
  <si>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</si>
  <si>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</si>
  <si>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</si>
  <si>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</si>
  <si>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</si>
  <si>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</si>
  <si>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</si>
  <si>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</si>
  <si>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</si>
  <si>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</si>
  <si>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</si>
  <si>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</si>
  <si>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</si>
  <si>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</si>
  <si>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</si>
  <si>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</si>
  <si>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</si>
  <si>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</si>
  <si>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</si>
  <si>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</si>
  <si>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</si>
  <si>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</si>
  <si>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</si>
  <si>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</si>
  <si>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</si>
  <si>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</si>
  <si>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</si>
  <si>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</si>
  <si>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</si>
  <si>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</si>
  <si>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</si>
  <si>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</si>
  <si>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</si>
  <si>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</si>
  <si>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</si>
  <si>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</si>
  <si>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</si>
  <si>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</si>
  <si>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</si>
  <si>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</si>
  <si>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</si>
  <si>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</si>
  <si>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</si>
  <si>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</si>
  <si>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</si>
  <si>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</si>
  <si>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</si>
  <si>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</si>
  <si>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</si>
  <si>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</si>
  <si>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</si>
  <si>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</si>
  <si>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</si>
  <si>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</si>
  <si>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</si>
  <si>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</si>
  <si>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</si>
  <si>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</si>
  <si>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</si>
  <si>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</si>
  <si>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</si>
  <si>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</si>
  <si>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</si>
  <si>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</si>
  <si>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</si>
  <si>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</si>
  <si>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</si>
  <si>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</si>
  <si>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</si>
  <si>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</si>
  <si>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</si>
  <si>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</si>
  <si>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</si>
  <si>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</si>
  <si>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</si>
  <si>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</si>
  <si>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</si>
  <si>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</si>
  <si>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</si>
  <si>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</si>
  <si>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</si>
  <si>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</si>
  <si>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</si>
  <si>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</si>
  <si>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</si>
  <si>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</si>
  <si>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</si>
  <si>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</si>
  <si>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</si>
  <si>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</si>
  <si>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</si>
  <si>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</si>
  <si>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</si>
  <si>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</si>
  <si>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</si>
  <si>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</si>
  <si>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</si>
  <si>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</si>
  <si>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</si>
  <si>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</si>
  <si>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</si>
  <si>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</si>
  <si>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</si>
  <si>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</si>
  <si>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</si>
  <si>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</si>
  <si>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</si>
  <si>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</si>
  <si>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</si>
  <si>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</si>
  <si>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</si>
  <si>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</si>
  <si>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</si>
  <si>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</si>
  <si>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</si>
  <si>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</si>
  <si>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</si>
  <si>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</si>
  <si>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</si>
  <si>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</si>
  <si>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</si>
  <si>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</si>
  <si>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</si>
  <si>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</si>
  <si>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</si>
  <si>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</si>
  <si>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</si>
  <si>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</si>
  <si>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</si>
  <si>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</si>
  <si>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</si>
  <si>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</si>
  <si>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</si>
  <si>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</si>
  <si>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</si>
  <si>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</si>
  <si>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</si>
  <si>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</si>
  <si>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</si>
  <si>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</si>
  <si>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</si>
  <si>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</si>
  <si>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</si>
  <si>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</si>
  <si>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</si>
  <si>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</si>
  <si>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</si>
  <si>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</si>
  <si>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</si>
  <si>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</si>
  <si>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</si>
  <si>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</si>
  <si>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</si>
  <si>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</si>
  <si>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</si>
  <si>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</si>
  <si>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</si>
  <si>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</si>
  <si>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</si>
  <si>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</si>
  <si>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</si>
  <si>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</si>
  <si>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</si>
  <si>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</si>
  <si>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</si>
  <si>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</si>
  <si>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</si>
  <si>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</si>
  <si>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</si>
  <si>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</si>
  <si>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</si>
  <si>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</si>
  <si>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</si>
  <si>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</si>
  <si>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</si>
  <si>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</si>
  <si>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</si>
  <si>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</si>
  <si>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</si>
  <si>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</si>
  <si>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</si>
  <si>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</si>
  <si>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</si>
  <si>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</si>
  <si>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</si>
  <si>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</si>
  <si>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</si>
  <si>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</si>
  <si>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</si>
  <si>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</si>
  <si>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</si>
  <si>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</si>
  <si>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</si>
  <si>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</si>
  <si>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</si>
  <si>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</si>
  <si>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</si>
  <si>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</si>
  <si>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</si>
  <si>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</si>
  <si>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</si>
  <si>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</si>
  <si>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</si>
  <si>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</si>
  <si>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</si>
  <si>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</si>
  <si>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</si>
  <si>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</si>
  <si>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</si>
  <si>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</si>
  <si>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</si>
  <si>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</si>
  <si>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</si>
  <si>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</si>
  <si>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</si>
  <si>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</si>
  <si>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</si>
  <si>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</si>
  <si>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</si>
  <si>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</si>
  <si>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</si>
  <si>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</si>
  <si>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</si>
  <si>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</si>
  <si>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</si>
  <si>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</si>
  <si>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</si>
  <si>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</si>
  <si>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</si>
  <si>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</si>
  <si>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</si>
  <si>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</si>
  <si>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</si>
  <si>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</si>
  <si>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</si>
  <si>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</si>
  <si>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</si>
  <si>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</si>
  <si>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</si>
  <si>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</si>
  <si>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</si>
  <si>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</si>
  <si>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</si>
  <si>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</si>
  <si>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</si>
  <si>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</si>
  <si>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</si>
  <si>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</si>
  <si>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</si>
  <si>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</si>
  <si>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</si>
  <si>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</si>
  <si>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</si>
  <si>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</si>
  <si>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</si>
  <si>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</si>
  <si>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</si>
  <si>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</si>
  <si>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</si>
  <si>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</si>
  <si>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</si>
  <si>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</si>
  <si>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</si>
  <si>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</si>
  <si>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</si>
  <si>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</si>
  <si>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</si>
  <si>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</si>
  <si>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</si>
  <si>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</si>
  <si>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</si>
  <si>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</si>
  <si>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</si>
  <si>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</si>
  <si>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</si>
  <si>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</si>
  <si>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</si>
  <si>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</si>
  <si>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</si>
  <si>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</si>
  <si>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</si>
  <si>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</si>
  <si>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</si>
  <si>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</si>
  <si>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</si>
  <si>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</si>
  <si>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</si>
  <si>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</si>
  <si>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</si>
  <si>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</si>
  <si>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</si>
  <si>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</si>
  <si>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</si>
  <si>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</si>
  <si>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</si>
  <si>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</si>
  <si>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</si>
  <si>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</si>
  <si>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</si>
  <si>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</si>
  <si>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</si>
  <si>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</si>
  <si>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</si>
  <si>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</si>
  <si>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</si>
  <si>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</si>
  <si>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</si>
  <si>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</si>
  <si>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</si>
  <si>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</si>
  <si>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</si>
  <si>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</si>
  <si>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</si>
  <si>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</si>
  <si>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</si>
  <si>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</si>
  <si>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</si>
  <si>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</si>
  <si>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</si>
  <si>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</si>
  <si>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</si>
  <si>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</si>
  <si>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</si>
  <si>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</si>
  <si>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</si>
  <si>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</si>
  <si>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</si>
  <si>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</si>
  <si>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</si>
  <si>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</si>
  <si>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</si>
  <si>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</si>
  <si>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</si>
  <si>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</si>
  <si>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</si>
  <si>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</si>
  <si>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</si>
  <si>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</si>
  <si>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</si>
  <si>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</si>
  <si>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</si>
  <si>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</si>
  <si>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</si>
  <si>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</si>
  <si>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</si>
  <si>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</si>
  <si>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</si>
  <si>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</si>
  <si>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</si>
  <si>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</si>
  <si>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</si>
  <si>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</si>
  <si>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</si>
  <si>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</si>
  <si>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</si>
  <si>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</si>
  <si>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</si>
  <si>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</si>
  <si>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</si>
  <si>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</si>
  <si>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</si>
  <si>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</si>
  <si>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</si>
  <si>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</si>
  <si>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</si>
  <si>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</si>
  <si>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</si>
  <si>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</si>
  <si>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</si>
  <si>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</si>
  <si>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</si>
  <si>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</si>
  <si>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</si>
  <si>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</si>
  <si>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</si>
  <si>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</si>
  <si>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</si>
  <si>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</si>
  <si>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</si>
  <si>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</si>
  <si>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</si>
  <si>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</si>
  <si>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</si>
  <si>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</si>
  <si>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</si>
  <si>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</si>
  <si>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</si>
  <si>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</si>
  <si>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</si>
  <si>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</si>
  <si>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</si>
  <si>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</si>
  <si>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</si>
  <si>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</si>
  <si>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</si>
  <si>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</si>
  <si>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</si>
  <si>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</si>
  <si>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</si>
  <si>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</si>
  <si>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</si>
  <si>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</si>
  <si>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</si>
  <si>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</si>
  <si>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</si>
  <si>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</si>
  <si>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</si>
  <si>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</si>
  <si>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</si>
  <si>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</si>
  <si>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</si>
  <si>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</si>
  <si>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</si>
  <si>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</si>
  <si>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</si>
  <si>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</si>
  <si>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</si>
  <si>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</si>
  <si>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</si>
  <si>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</si>
  <si>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</si>
  <si>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</si>
  <si>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</si>
  <si>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</si>
  <si>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</si>
  <si>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</si>
  <si>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</si>
  <si>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</si>
  <si>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</si>
  <si>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</si>
  <si>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</si>
  <si>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</si>
  <si>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</si>
  <si>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</si>
  <si>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</si>
  <si>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</si>
  <si>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</si>
  <si>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</si>
  <si>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</si>
  <si>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</si>
  <si>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</si>
  <si>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</si>
  <si>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</si>
  <si>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</si>
  <si>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</si>
  <si>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</si>
  <si>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</si>
  <si>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</si>
  <si>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</si>
  <si>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</si>
  <si>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</si>
  <si>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</si>
  <si>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</si>
  <si>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</si>
  <si>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</si>
  <si>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</si>
  <si>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</si>
  <si>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</si>
  <si>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</si>
  <si>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</si>
  <si>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</si>
  <si>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</si>
  <si>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</si>
  <si>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</si>
  <si>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</si>
  <si>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</si>
  <si>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</si>
  <si>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</si>
  <si>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</si>
  <si>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</si>
  <si>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</si>
  <si>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</si>
  <si>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</si>
  <si>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</si>
  <si>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</si>
  <si>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</si>
  <si>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</si>
  <si>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</si>
  <si>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</si>
  <si>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</si>
  <si>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</si>
  <si>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</si>
  <si>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</si>
  <si>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</si>
  <si>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</si>
  <si>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</si>
  <si>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</si>
  <si>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</si>
  <si>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</si>
  <si>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</si>
  <si>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</si>
  <si>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</si>
  <si>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</si>
  <si>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</si>
  <si>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</si>
  <si>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</si>
  <si>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</si>
  <si>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</si>
  <si>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</si>
  <si>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</si>
  <si>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</si>
  <si>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</si>
  <si>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</si>
  <si>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</si>
  <si>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</si>
  <si>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</si>
  <si>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</si>
  <si>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</si>
  <si>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</si>
  <si>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</si>
  <si>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</si>
  <si>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</si>
  <si>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</si>
  <si>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</si>
  <si>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</si>
  <si>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</si>
  <si>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</si>
  <si>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</si>
  <si>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</si>
  <si>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</si>
  <si>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</si>
  <si>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</si>
  <si>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</si>
  <si>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</si>
  <si>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</si>
  <si>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</si>
  <si>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</si>
  <si>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</si>
  <si>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</si>
  <si>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</si>
  <si>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</si>
  <si>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</si>
  <si>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</si>
  <si>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</si>
  <si>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</si>
  <si>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</si>
  <si>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</si>
  <si>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</si>
  <si>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</si>
  <si>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</si>
  <si>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</si>
  <si>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</si>
  <si>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</si>
  <si>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</si>
  <si>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</si>
  <si>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</si>
  <si>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</si>
  <si>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</si>
  <si>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</si>
  <si>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</si>
  <si>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</si>
  <si>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</si>
  <si>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</si>
  <si>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</si>
  <si>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</si>
  <si>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</si>
  <si>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</si>
  <si>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</si>
  <si>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</si>
  <si>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</si>
  <si>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</si>
  <si>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</si>
  <si>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</si>
  <si>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</si>
  <si>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</si>
  <si>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</si>
  <si>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</si>
  <si>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</si>
  <si>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</si>
  <si>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</si>
  <si>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</si>
  <si>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</si>
  <si>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</si>
  <si>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</si>
  <si>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</si>
  <si>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</si>
  <si>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</si>
  <si>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</si>
  <si>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</si>
  <si>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</si>
  <si>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</si>
  <si>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</si>
  <si>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</si>
  <si>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</si>
  <si>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</si>
  <si>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</si>
  <si>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</si>
  <si>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</si>
  <si>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</si>
  <si>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</si>
  <si>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</si>
  <si>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</si>
  <si>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</si>
  <si>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</si>
  <si>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</si>
  <si>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</si>
  <si>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</si>
  <si>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</si>
  <si>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</si>
  <si>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</si>
  <si>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</si>
  <si>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</si>
  <si>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</si>
  <si>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</si>
  <si>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</si>
  <si>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</si>
  <si>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</si>
  <si>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</si>
  <si>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</si>
  <si>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</si>
  <si>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</si>
  <si>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</si>
  <si>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</si>
  <si>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</si>
  <si>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</si>
  <si>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</si>
  <si>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</si>
  <si>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</si>
  <si>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</si>
  <si>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</si>
  <si>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</si>
  <si>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</si>
  <si>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</si>
  <si>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</si>
  <si>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</si>
  <si>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</si>
  <si>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</si>
  <si>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</si>
  <si>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</si>
  <si>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</si>
  <si>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</si>
  <si>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</si>
  <si>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</si>
  <si>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</si>
  <si>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</si>
  <si>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</si>
  <si>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</si>
  <si>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</si>
  <si>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</si>
  <si>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</si>
  <si>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</si>
  <si>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</si>
  <si>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</si>
  <si>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</si>
  <si>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</si>
  <si>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</si>
  <si>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</si>
  <si>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</si>
  <si>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</si>
  <si>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</si>
  <si>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</si>
  <si>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</si>
  <si>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</si>
  <si>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</si>
  <si>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</si>
  <si>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</si>
  <si>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</si>
  <si>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</si>
  <si>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</si>
  <si>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</si>
  <si>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</si>
  <si>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</si>
  <si>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</si>
  <si>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</si>
  <si>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</si>
  <si>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</si>
  <si>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</si>
  <si>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</si>
  <si>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</si>
  <si>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</si>
  <si>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</si>
  <si>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</si>
  <si>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</si>
  <si>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</si>
  <si>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</si>
  <si>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</si>
  <si>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</si>
  <si>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</si>
  <si>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</si>
  <si>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</si>
  <si>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</si>
  <si>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</si>
  <si>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</si>
  <si>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</si>
  <si>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</si>
  <si>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</si>
  <si>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</si>
  <si>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</si>
  <si>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</si>
  <si>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</si>
  <si>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</si>
  <si>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</si>
  <si>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</si>
  <si>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</si>
  <si>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</si>
  <si>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</si>
  <si>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</si>
  <si>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</si>
  <si>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</si>
  <si>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</si>
  <si>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</si>
  <si>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</si>
  <si>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</si>
  <si>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</si>
  <si>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</si>
  <si>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</si>
  <si>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</si>
  <si>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</si>
  <si>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</si>
  <si>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</si>
  <si>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</si>
  <si>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</si>
  <si>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</si>
  <si>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</si>
  <si>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</si>
  <si>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</si>
  <si>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</si>
  <si>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</si>
  <si>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</si>
  <si>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</si>
  <si>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</si>
  <si>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</si>
  <si>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</si>
  <si>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</si>
  <si>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</si>
  <si>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</si>
  <si>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</si>
  <si>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</si>
  <si>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</si>
  <si>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</si>
  <si>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</si>
  <si>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</si>
  <si>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</si>
  <si>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</si>
  <si>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</si>
  <si>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</si>
  <si>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</si>
  <si>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</si>
  <si>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</si>
  <si>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</si>
  <si>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</si>
  <si>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</si>
  <si>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</si>
  <si>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</si>
  <si>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</si>
  <si>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</si>
  <si>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</si>
  <si>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</si>
  <si>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</si>
  <si>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</si>
  <si>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</si>
  <si>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</si>
  <si>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</si>
  <si>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</si>
  <si>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</si>
  <si>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</si>
  <si>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</si>
  <si>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</si>
  <si>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</si>
  <si>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</si>
  <si>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</si>
  <si>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</si>
  <si>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</si>
  <si>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</si>
  <si>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</si>
  <si>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</si>
  <si>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</si>
  <si>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</si>
  <si>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</si>
  <si>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</si>
  <si>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</si>
  <si>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</si>
  <si>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</si>
  <si>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</si>
  <si>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</si>
  <si>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</si>
  <si>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</si>
  <si>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</si>
  <si>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</si>
  <si>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</si>
  <si>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</si>
  <si>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</si>
  <si>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</si>
  <si>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</si>
  <si>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</si>
  <si>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</si>
  <si>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</si>
  <si>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</si>
  <si>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</si>
  <si>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</si>
  <si>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</si>
  <si>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</si>
  <si>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</si>
  <si>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</si>
  <si>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</si>
  <si>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</si>
  <si>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</si>
  <si>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</si>
  <si>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</si>
  <si>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</si>
  <si>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</si>
  <si>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</si>
  <si>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</si>
  <si>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</si>
  <si>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</si>
  <si>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</si>
  <si>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</si>
  <si>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</si>
  <si>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</si>
  <si>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</si>
  <si>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</si>
  <si>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</si>
  <si>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</si>
  <si>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</si>
  <si>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</si>
  <si>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</si>
  <si>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</si>
  <si>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</si>
  <si>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</si>
  <si>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</si>
  <si>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</si>
  <si>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</si>
  <si>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</si>
  <si>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</si>
  <si>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</si>
  <si>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</si>
  <si>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</si>
  <si>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</si>
  <si>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</si>
  <si>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</si>
  <si>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</si>
  <si>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</si>
  <si>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</si>
  <si>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</si>
  <si>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</si>
  <si>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</si>
  <si>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</si>
  <si>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</si>
  <si>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</si>
  <si>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</si>
  <si>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</si>
  <si>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</si>
  <si>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</si>
  <si>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</si>
  <si>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</si>
  <si>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</si>
  <si>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</si>
  <si>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</si>
  <si>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</si>
  <si>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</si>
  <si>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</si>
  <si>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</si>
  <si>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</si>
  <si>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</si>
  <si>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</si>
  <si>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</si>
  <si>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</si>
  <si>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</si>
  <si>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</si>
  <si>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</si>
  <si>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</si>
  <si>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</si>
  <si>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</si>
  <si>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</si>
  <si>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</si>
  <si>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</si>
  <si>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</si>
  <si>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</si>
  <si>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</si>
  <si>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</si>
  <si>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</si>
  <si>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</si>
  <si>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</si>
  <si>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</si>
  <si>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</si>
  <si>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</si>
  <si>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</si>
  <si>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</si>
  <si>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</si>
  <si>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</si>
  <si>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</si>
  <si>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</si>
  <si>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</si>
  <si>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</si>
  <si>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</si>
  <si>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</si>
  <si>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</si>
  <si>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</si>
  <si>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</si>
  <si>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</si>
  <si>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</si>
  <si>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</si>
  <si>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</si>
  <si>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</si>
  <si>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</si>
  <si>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</si>
  <si>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</si>
  <si>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</si>
  <si>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</si>
  <si>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</si>
  <si>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</si>
  <si>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</si>
  <si>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</si>
  <si>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</si>
  <si>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</si>
  <si>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</si>
  <si>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</si>
  <si>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</si>
  <si>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</si>
  <si>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</si>
  <si>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</si>
  <si>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</si>
  <si>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</si>
  <si>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</si>
  <si>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</si>
  <si>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</si>
  <si>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</si>
  <si>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</si>
  <si>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</si>
  <si>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</si>
  <si>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</si>
  <si>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</si>
  <si>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</si>
  <si>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</si>
  <si>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</si>
  <si>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</si>
  <si>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</si>
  <si>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</si>
  <si>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</si>
  <si>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</si>
  <si>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</si>
  <si>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</si>
  <si>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</si>
  <si>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</si>
  <si>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</si>
  <si>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</si>
  <si>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</si>
  <si>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</si>
  <si>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</si>
  <si>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</si>
  <si>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</si>
  <si>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</si>
  <si>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</si>
  <si>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</si>
  <si>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</si>
  <si>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</si>
  <si>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</si>
  <si>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</si>
  <si>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</si>
  <si>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</si>
  <si>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</si>
  <si>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</si>
  <si>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</si>
  <si>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</si>
  <si>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</si>
  <si>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</si>
  <si>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</si>
  <si>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</si>
  <si>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</si>
  <si>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</si>
  <si>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</si>
  <si>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</si>
  <si>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</si>
  <si>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</si>
  <si>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</si>
  <si>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</si>
  <si>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</si>
  <si>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</si>
  <si>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</si>
  <si>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</si>
  <si>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</si>
  <si>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</si>
  <si>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</si>
  <si>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</si>
  <si>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</si>
  <si>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</si>
  <si>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</si>
  <si>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</si>
  <si>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</si>
  <si>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</si>
  <si>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</si>
  <si>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</si>
  <si>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</si>
  <si>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</si>
  <si>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</si>
  <si>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</si>
  <si>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</si>
  <si>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</si>
  <si>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</si>
  <si>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</si>
  <si>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</si>
  <si>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</si>
  <si>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</si>
  <si>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</si>
  <si>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</si>
  <si>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</si>
  <si>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</si>
  <si>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</si>
  <si>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</si>
  <si>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</si>
  <si>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</si>
  <si>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</si>
  <si>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</si>
  <si>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</si>
  <si>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</si>
  <si>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</si>
  <si>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</si>
  <si>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</si>
  <si>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</si>
  <si>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</si>
  <si>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</si>
  <si>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</si>
  <si>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</si>
  <si>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</si>
  <si>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</si>
  <si>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</si>
  <si>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</si>
  <si>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</si>
  <si>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</si>
  <si>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</si>
  <si>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</si>
  <si>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</si>
  <si>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</si>
  <si>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</si>
  <si>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</si>
  <si>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</si>
  <si>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</si>
  <si>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</si>
  <si>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</si>
  <si>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</si>
  <si>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</si>
  <si>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</si>
  <si>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</si>
  <si>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</si>
  <si>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</si>
  <si>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</si>
  <si>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</si>
  <si>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</si>
  <si>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</si>
  <si>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</si>
  <si>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</si>
  <si>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</si>
  <si>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</si>
  <si>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</si>
  <si>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</si>
  <si>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</si>
  <si>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</si>
  <si>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</si>
  <si>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</si>
  <si>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</si>
  <si>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</si>
  <si>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</si>
  <si>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</si>
  <si>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</si>
  <si>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</si>
  <si>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</si>
  <si>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</si>
  <si>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</si>
  <si>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</si>
  <si>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</si>
  <si>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</si>
  <si>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</si>
  <si>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</si>
  <si>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</si>
  <si>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</si>
  <si>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</si>
  <si>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</si>
  <si>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</si>
  <si>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</si>
  <si>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</si>
  <si>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</si>
  <si>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</si>
  <si>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</si>
  <si>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</si>
  <si>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</si>
  <si>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</si>
  <si>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</si>
  <si>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</si>
  <si>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</si>
  <si>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</si>
  <si>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</si>
  <si>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</si>
  <si>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</si>
  <si>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</si>
  <si>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</si>
  <si>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</si>
  <si>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</si>
  <si>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</si>
  <si>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</si>
  <si>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</si>
  <si>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</si>
  <si>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</si>
  <si>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</si>
  <si>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</si>
  <si>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</si>
  <si>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</si>
  <si>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</si>
  <si>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</si>
  <si>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</si>
  <si>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</si>
  <si>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</si>
  <si>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</si>
  <si>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</si>
  <si>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</si>
  <si>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</si>
  <si>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</si>
  <si>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</si>
  <si>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</si>
  <si>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</si>
  <si>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</si>
  <si>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</si>
  <si>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</si>
  <si>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</si>
  <si>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</si>
  <si>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</si>
  <si>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</si>
  <si>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</si>
  <si>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</si>
  <si>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</si>
  <si>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</si>
  <si>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</si>
  <si>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</si>
  <si>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</si>
  <si>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</si>
  <si>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</si>
  <si>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</si>
  <si>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</si>
  <si>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</si>
  <si>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</si>
  <si>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</si>
  <si>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</si>
  <si>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</si>
  <si>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</si>
  <si>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</si>
  <si>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</si>
  <si>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</si>
  <si>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</si>
  <si>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</si>
  <si>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</si>
  <si>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</si>
  <si>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</si>
  <si>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</si>
  <si>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</si>
  <si>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</si>
  <si>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</si>
  <si>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</si>
  <si>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</si>
  <si>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</si>
  <si>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</si>
  <si>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</si>
  <si>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</si>
  <si>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</si>
  <si>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</si>
  <si>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</si>
  <si>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</si>
  <si>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</si>
  <si>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</si>
  <si>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</si>
  <si>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</si>
  <si>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</si>
  <si>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</si>
  <si>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</si>
  <si>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</si>
  <si>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</si>
  <si>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</si>
  <si>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</si>
  <si>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</si>
  <si>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</si>
  <si>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</si>
  <si>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</si>
  <si>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</si>
  <si>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</si>
  <si>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</si>
  <si>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</si>
  <si>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</si>
  <si>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</si>
  <si>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</si>
  <si>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</si>
  <si>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</si>
  <si>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</si>
  <si>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</si>
  <si>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</si>
  <si>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</si>
  <si>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</si>
  <si>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</si>
  <si>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</si>
  <si>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</si>
  <si>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</si>
  <si>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</si>
  <si>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</si>
  <si>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</si>
  <si>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</si>
  <si>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</si>
  <si>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</si>
  <si>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</si>
  <si>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</si>
  <si>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</si>
  <si>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</si>
  <si>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</si>
  <si>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</si>
  <si>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</si>
  <si>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</si>
  <si>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</si>
  <si>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</si>
  <si>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</si>
  <si>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</si>
  <si>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</si>
  <si>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</si>
  <si>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</si>
  <si>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</si>
  <si>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</si>
  <si>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</si>
  <si>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</si>
  <si>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</si>
  <si>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</si>
  <si>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</si>
  <si>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</si>
  <si>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</si>
  <si>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</si>
  <si>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</si>
  <si>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</si>
  <si>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</si>
  <si>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</si>
  <si>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</si>
  <si>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</si>
  <si>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</si>
  <si>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</si>
  <si>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</si>
  <si>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</si>
  <si>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</si>
  <si>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</si>
  <si>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</si>
  <si>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</si>
  <si>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</si>
  <si>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</si>
  <si>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</si>
  <si>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</si>
  <si>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</si>
  <si>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</si>
  <si>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</si>
  <si>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</si>
  <si>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</si>
  <si>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</si>
  <si>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</si>
  <si>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</si>
  <si>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</si>
  <si>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</si>
  <si>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</si>
  <si>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</si>
  <si>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</si>
  <si>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</si>
  <si>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</si>
  <si>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</si>
  <si>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</si>
  <si>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</si>
  <si>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</si>
  <si>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</si>
  <si>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</si>
  <si>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</si>
  <si>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</si>
  <si>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</si>
  <si>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</si>
  <si>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</si>
  <si>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</si>
  <si>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</si>
  <si>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</si>
  <si>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</si>
  <si>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</si>
  <si>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</si>
  <si>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</si>
  <si>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</si>
  <si>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</si>
  <si>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</si>
  <si>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</si>
  <si>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</si>
  <si>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</si>
  <si>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</si>
  <si>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</si>
  <si>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</si>
  <si>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</si>
  <si>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</si>
  <si>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</si>
  <si>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</si>
  <si>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</si>
  <si>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</si>
  <si>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</si>
  <si>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</si>
  <si>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</si>
  <si>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</si>
  <si>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</si>
  <si>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</si>
  <si>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</si>
  <si>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</si>
  <si>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</si>
  <si>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</si>
  <si>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</si>
  <si>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</si>
  <si>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</si>
  <si>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</si>
  <si>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</si>
  <si>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</si>
  <si>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</si>
  <si>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</si>
  <si>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</si>
  <si>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</si>
  <si>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</si>
  <si>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</si>
  <si>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</si>
  <si>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</si>
  <si>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</si>
  <si>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</si>
  <si>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</si>
  <si>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</si>
  <si>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</si>
  <si>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</si>
  <si>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</si>
  <si>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</si>
  <si>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</si>
  <si>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</si>
  <si>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</si>
  <si>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</si>
  <si>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</si>
  <si>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</si>
  <si>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</si>
  <si>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</si>
  <si>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</si>
  <si>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</si>
  <si>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</si>
  <si>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</si>
  <si>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</si>
  <si>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</si>
  <si>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</si>
  <si>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</si>
  <si>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</si>
  <si>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</si>
  <si>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</si>
  <si>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</si>
  <si>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</si>
  <si>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</si>
  <si>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</si>
  <si>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</si>
  <si>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</si>
  <si>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</si>
  <si>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</si>
  <si>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</si>
  <si>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</si>
  <si>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</si>
  <si>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</si>
  <si>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</si>
  <si>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</si>
  <si>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</si>
  <si>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</si>
  <si>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</si>
  <si>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</si>
  <si>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</si>
  <si>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</si>
  <si>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</si>
  <si>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</si>
  <si>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</si>
  <si>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</si>
  <si>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</si>
  <si>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</si>
  <si>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</si>
  <si>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</si>
  <si>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</si>
  <si>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</si>
  <si>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</si>
  <si>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</si>
  <si>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</si>
  <si>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</si>
  <si>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</si>
  <si>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</si>
  <si>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</si>
  <si>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</si>
  <si>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</si>
  <si>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</si>
  <si>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</si>
  <si>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</si>
  <si>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</si>
  <si>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</si>
  <si>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</si>
  <si>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</si>
  <si>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</si>
  <si>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</si>
  <si>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</si>
  <si>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</si>
  <si>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</si>
  <si>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</si>
  <si>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</si>
  <si>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</si>
  <si>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</si>
  <si>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</si>
  <si>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</si>
  <si>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</si>
  <si>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</si>
  <si>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</si>
  <si>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</si>
  <si>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</si>
  <si>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</si>
  <si>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</si>
  <si>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</si>
  <si>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</si>
  <si>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</si>
  <si>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</si>
  <si>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</si>
  <si>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</si>
  <si>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</si>
  <si>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</si>
  <si>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</si>
  <si>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</si>
  <si>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</si>
  <si>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</si>
  <si>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</si>
  <si>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</si>
  <si>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</si>
  <si>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</si>
  <si>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</si>
  <si>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</si>
  <si>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</si>
  <si>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</si>
  <si>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</si>
  <si>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</si>
  <si>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</si>
  <si>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</si>
  <si>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</si>
  <si>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</si>
  <si>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</si>
  <si>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</si>
  <si>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</si>
  <si>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</si>
  <si>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</si>
  <si>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</si>
  <si>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</si>
  <si>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</si>
  <si>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</si>
  <si>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</si>
  <si>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</si>
  <si>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</si>
  <si>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</si>
  <si>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</si>
  <si>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</si>
  <si>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</si>
  <si>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</si>
  <si>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</si>
  <si>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</si>
  <si>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</si>
  <si>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</si>
  <si>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</si>
  <si>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</si>
  <si>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</si>
  <si>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</si>
  <si>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</si>
  <si>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</si>
  <si>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</si>
  <si>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</si>
  <si>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</si>
  <si>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</si>
  <si>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</si>
  <si>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</si>
  <si>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</si>
  <si>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</si>
  <si>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</si>
  <si>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</si>
  <si>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</si>
  <si>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</si>
  <si>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</si>
  <si>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</si>
  <si>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</si>
  <si>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</si>
  <si>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</si>
  <si>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</si>
  <si>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</si>
  <si>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</si>
  <si>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</si>
  <si>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</si>
  <si>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</si>
  <si>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</si>
  <si>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</si>
  <si>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</si>
  <si>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</si>
  <si>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</si>
  <si>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</si>
  <si>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</si>
  <si>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</si>
  <si>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</si>
  <si>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</si>
  <si>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</si>
  <si>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</si>
  <si>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</si>
  <si>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</si>
  <si>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</si>
  <si>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</si>
  <si>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</si>
  <si>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</si>
  <si>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</si>
  <si>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</si>
  <si>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</si>
  <si>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</si>
  <si>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</si>
  <si>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</si>
  <si>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</si>
  <si>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</si>
  <si>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</si>
  <si>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</si>
  <si>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</si>
  <si>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</si>
  <si>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</si>
  <si>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</si>
  <si>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</si>
  <si>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</si>
  <si>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</si>
  <si>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</si>
  <si>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</si>
  <si>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</si>
  <si>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</si>
  <si>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</si>
  <si>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</si>
  <si>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</si>
  <si>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</si>
  <si>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</si>
  <si>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</si>
  <si>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</si>
  <si>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</si>
  <si>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</si>
  <si>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</si>
  <si>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</si>
  <si>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</si>
  <si>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</si>
  <si>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</si>
  <si>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</si>
  <si>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</si>
  <si>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</si>
  <si>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</si>
  <si>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</si>
  <si>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</si>
  <si>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</si>
  <si>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</si>
  <si>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</si>
  <si>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</si>
  <si>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</si>
  <si>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</si>
  <si>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</si>
  <si>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</si>
  <si>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</si>
  <si>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</si>
  <si>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</si>
  <si>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</si>
  <si>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</si>
  <si>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</si>
  <si>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</si>
  <si>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</si>
  <si>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</si>
  <si>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</si>
  <si>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</si>
  <si>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</si>
  <si>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</si>
  <si>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</si>
  <si>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</si>
  <si>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</si>
  <si>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</si>
  <si>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</si>
  <si>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</si>
  <si>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</si>
  <si>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</si>
  <si>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</si>
  <si>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</si>
  <si>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</si>
  <si>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</si>
  <si>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</si>
  <si>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</si>
  <si>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</si>
  <si>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</si>
  <si>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</si>
  <si>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</si>
  <si>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</si>
  <si>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</si>
  <si>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</si>
  <si>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</si>
  <si>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</si>
  <si>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</si>
  <si>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</si>
  <si>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</si>
  <si>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</si>
  <si>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</si>
  <si>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</si>
  <si>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</si>
  <si>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</si>
  <si>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07/11</t>
  </si>
  <si>
    <t>07/04</t>
  </si>
  <si>
    <t>07/19</t>
  </si>
  <si>
    <t>07/23</t>
  </si>
  <si>
    <t>Derry Coop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</si>
</sst>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3" fontId="0" fillId="41" borderId="0" xfId="0" applyNumberForma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3" activePane="bottomRight" state="frozen"/>
      <selection pane="topRight" activeCell="F1" sqref="F1"/>
      <selection pane="bottomLeft" activeCell="A4" sqref="A4"/>
      <selection pane="bottomRight" activeCell="G667" sqref="G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1646</v>
      </c>
      <c r="B2" s="21">
        <v>131</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3376780.77</v>
      </c>
      <c r="G9" s="18">
        <v>925</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1696178.9-42687</f>
        <v>1653491.9</v>
      </c>
      <c r="G12" s="18">
        <v>-32173.53</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103283.6</v>
      </c>
      <c r="G13" s="18">
        <v>23919.85</v>
      </c>
      <c r="H13" s="18">
        <f>1885500.39-1810457.72+1551108.34</f>
        <v>1626151.01</v>
      </c>
      <c r="I13" s="18"/>
      <c r="J13" s="67">
        <f>SUM(I443)</f>
        <v>194336.78</v>
      </c>
      <c r="K13" s="24" t="s">
        <v>288</v>
      </c>
      <c r="L13" s="24" t="s">
        <v>288</v>
      </c>
      <c r="M13" s="8"/>
      <c r="N13" s="266"/>
    </row>
    <row r="14" spans="1:14" s="3" customFormat="1" ht="12.2" customHeight="1" x14ac:dyDescent="0.15">
      <c r="A14" s="1" t="s">
        <v>565</v>
      </c>
      <c r="B14" s="2" t="s">
        <v>289</v>
      </c>
      <c r="C14" s="6">
        <v>6</v>
      </c>
      <c r="D14" s="2" t="s">
        <v>428</v>
      </c>
      <c r="E14" s="6">
        <v>150</v>
      </c>
      <c r="F14" s="18">
        <v>53620.81</v>
      </c>
      <c r="G14" s="18"/>
      <c r="H14" s="18">
        <v>16819.27</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63533.46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5187177.0799999991</v>
      </c>
      <c r="G19" s="41">
        <f>SUM(G9:G18)</f>
        <v>56204.78</v>
      </c>
      <c r="H19" s="41">
        <f>SUM(H9:H18)</f>
        <v>1642970.28</v>
      </c>
      <c r="I19" s="41">
        <f>SUM(I9:I18)</f>
        <v>0</v>
      </c>
      <c r="J19" s="41">
        <f>SUM(J9:J18)</f>
        <v>194336.78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1621318.01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124511.67</v>
      </c>
      <c r="G24" s="18">
        <v>387</v>
      </c>
      <c r="H24" s="18">
        <v>1703.06</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5419.41</v>
      </c>
      <c r="G28" s="18">
        <v>297.04000000000002</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53566.55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129931.08</v>
      </c>
      <c r="G32" s="41">
        <f>SUM(G22:G31)</f>
        <v>54250.590000000004</v>
      </c>
      <c r="H32" s="41">
        <f>SUM(H22:H31)</f>
        <v>1623021.07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63534.64</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-61580.45</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1204488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19949.21</v>
      </c>
      <c r="I48" s="18"/>
      <c r="J48" s="13">
        <f>SUM(I460)</f>
        <v>194336.78</v>
      </c>
      <c r="K48" s="24" t="s">
        <v>288</v>
      </c>
      <c r="L48" s="24" t="s">
        <v>288</v>
      </c>
      <c r="M48" s="8"/>
      <c r="N48" s="266"/>
    </row>
    <row r="49" spans="1:14" s="3" customFormat="1" ht="12.2" customHeight="1" x14ac:dyDescent="0.15">
      <c r="A49" s="1" t="s">
        <v>859</v>
      </c>
      <c r="B49" s="2" t="s">
        <v>289</v>
      </c>
      <c r="C49" s="6">
        <v>34</v>
      </c>
      <c r="D49" s="2"/>
      <c r="E49" s="6">
        <v>753</v>
      </c>
      <c r="F49" s="18">
        <v>899240</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2953518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5057246</v>
      </c>
      <c r="G51" s="41">
        <f>SUM(G35:G50)</f>
        <v>1954.1900000000023</v>
      </c>
      <c r="H51" s="41">
        <f>SUM(H35:H50)</f>
        <v>19949.21</v>
      </c>
      <c r="I51" s="41">
        <f>SUM(I35:I50)</f>
        <v>0</v>
      </c>
      <c r="J51" s="41">
        <f>SUM(J35:J50)</f>
        <v>194336.78</v>
      </c>
      <c r="K51" s="45" t="s">
        <v>288</v>
      </c>
      <c r="L51" s="45" t="s">
        <v>288</v>
      </c>
      <c r="N51" s="264"/>
    </row>
    <row r="52" spans="1:14" s="3" customFormat="1" ht="12.2" customHeight="1" thickTop="1" x14ac:dyDescent="0.15">
      <c r="A52" s="38" t="s">
        <v>455</v>
      </c>
      <c r="B52" s="39" t="s">
        <v>289</v>
      </c>
      <c r="C52" s="6">
        <v>37</v>
      </c>
      <c r="D52" s="39" t="s">
        <v>653</v>
      </c>
      <c r="E52" s="39"/>
      <c r="F52" s="41">
        <f>F51+F32</f>
        <v>5187177.08</v>
      </c>
      <c r="G52" s="41">
        <f>G51+G32</f>
        <v>56204.780000000006</v>
      </c>
      <c r="H52" s="41">
        <f>H51+H32</f>
        <v>1642970.28</v>
      </c>
      <c r="I52" s="41">
        <f>I51+I32</f>
        <v>0</v>
      </c>
      <c r="J52" s="41">
        <f>J51+J32</f>
        <v>194336.78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49297406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49297406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409536.01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60279.07</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469815.08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12274.57</v>
      </c>
      <c r="G96" s="18"/>
      <c r="H96" s="18"/>
      <c r="I96" s="18"/>
      <c r="J96" s="18">
        <v>3792.16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534067.28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40813.339999999997</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v>2462.33</v>
      </c>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285918.97-42687</f>
        <v>243231.96999999997</v>
      </c>
      <c r="G110" s="18"/>
      <c r="H110" s="18">
        <v>79658.92</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296319.87999999995</v>
      </c>
      <c r="G111" s="41">
        <f>SUM(G96:G110)</f>
        <v>536529.61</v>
      </c>
      <c r="H111" s="41">
        <f>SUM(H96:H110)</f>
        <v>79658.92</v>
      </c>
      <c r="I111" s="41">
        <f>SUM(I96:I110)</f>
        <v>0</v>
      </c>
      <c r="J111" s="41">
        <f>SUM(J96:J110)</f>
        <v>3792.16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50063540.960000001</v>
      </c>
      <c r="G112" s="41">
        <f>G60+G111</f>
        <v>536529.61</v>
      </c>
      <c r="H112" s="41">
        <f>H60+H79+H94+H111</f>
        <v>79658.92</v>
      </c>
      <c r="I112" s="41">
        <f>I60+I111</f>
        <v>0</v>
      </c>
      <c r="J112" s="41">
        <f>J60+J111</f>
        <v>3792.16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24006103.109999999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6517602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59645.49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30583350.599999998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564659.07999999996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979075.82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12757.67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1543734.9</v>
      </c>
      <c r="G136" s="41">
        <f>SUM(G123:G135)</f>
        <v>12757.67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32127085.499999996</v>
      </c>
      <c r="G140" s="41">
        <f>G121+SUM(G136:G137)</f>
        <v>12757.67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735148.73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314404.25+4484.21</f>
        <v>318888.46000000002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93687.9</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598911.65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2027446.77-263833.38</f>
        <v>1763613.3900000001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62246.97</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62246.97</v>
      </c>
      <c r="G163" s="41">
        <f>SUM(G150:G162)</f>
        <v>598911.65</v>
      </c>
      <c r="H163" s="41">
        <f>SUM(H150:H162)</f>
        <v>2911338.48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62246.97</v>
      </c>
      <c r="G170" s="41">
        <f>G147+G163+SUM(G164:G169)</f>
        <v>598911.65</v>
      </c>
      <c r="H170" s="41">
        <f>H147+H163+SUM(H164:H169)</f>
        <v>2911338.48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82252873.429999992</v>
      </c>
      <c r="G194" s="47">
        <f>G112+G140+G170+G193</f>
        <v>1148198.9300000002</v>
      </c>
      <c r="H194" s="47">
        <f>H112+H140+H170+H193</f>
        <v>2990997.4</v>
      </c>
      <c r="I194" s="47">
        <f>I112+I140+I170+I193</f>
        <v>0</v>
      </c>
      <c r="J194" s="47">
        <f>J112+J140+J193</f>
        <v>3792.16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7547058.5300000003</v>
      </c>
      <c r="G198" s="18">
        <v>4486282.83</v>
      </c>
      <c r="H198" s="18">
        <v>11986.08</v>
      </c>
      <c r="I198" s="18">
        <v>96363.92</v>
      </c>
      <c r="J198" s="18">
        <v>7004.79</v>
      </c>
      <c r="K198" s="18"/>
      <c r="L198" s="19">
        <f>SUM(F198:K198)</f>
        <v>12148696.149999999</v>
      </c>
      <c r="M198" s="8"/>
      <c r="N198" s="266"/>
    </row>
    <row r="199" spans="1:14" s="3" customFormat="1" ht="12.2" customHeight="1" x14ac:dyDescent="0.15">
      <c r="A199" s="1" t="s">
        <v>439</v>
      </c>
      <c r="B199" s="2" t="s">
        <v>341</v>
      </c>
      <c r="C199" s="2" t="s">
        <v>291</v>
      </c>
      <c r="D199" s="2" t="s">
        <v>431</v>
      </c>
      <c r="E199" s="6">
        <v>1200</v>
      </c>
      <c r="F199" s="18">
        <v>4039259.22</v>
      </c>
      <c r="G199" s="18">
        <v>1866373.25</v>
      </c>
      <c r="H199" s="18">
        <v>1427085.8</v>
      </c>
      <c r="I199" s="18">
        <v>3839.67</v>
      </c>
      <c r="J199" s="18">
        <v>16440.830000000002</v>
      </c>
      <c r="K199" s="18">
        <v>3760.99</v>
      </c>
      <c r="L199" s="19">
        <f>SUM(F199:K199)</f>
        <v>7356759.7600000007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71595.37</v>
      </c>
      <c r="G201" s="18">
        <v>15614.04</v>
      </c>
      <c r="H201" s="18"/>
      <c r="I201" s="18"/>
      <c r="J201" s="18"/>
      <c r="K201" s="18"/>
      <c r="L201" s="19">
        <f>SUM(F201:K201)</f>
        <v>87209.41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2161289.67</v>
      </c>
      <c r="G203" s="18">
        <v>1362693.28</v>
      </c>
      <c r="H203" s="18">
        <v>542110.28</v>
      </c>
      <c r="I203" s="18">
        <v>17779.07</v>
      </c>
      <c r="J203" s="18"/>
      <c r="K203" s="18"/>
      <c r="L203" s="19">
        <f t="shared" ref="L203:L209" si="0">SUM(F203:K203)</f>
        <v>4083872.3000000003</v>
      </c>
      <c r="M203" s="8"/>
      <c r="N203" s="266"/>
    </row>
    <row r="204" spans="1:14" s="3" customFormat="1" ht="12.2" customHeight="1" x14ac:dyDescent="0.15">
      <c r="A204" s="1" t="s">
        <v>443</v>
      </c>
      <c r="B204" s="2" t="s">
        <v>341</v>
      </c>
      <c r="C204" s="2" t="s">
        <v>295</v>
      </c>
      <c r="D204" s="2" t="s">
        <v>431</v>
      </c>
      <c r="E204" s="6">
        <v>2200</v>
      </c>
      <c r="F204" s="18">
        <v>513592.12</v>
      </c>
      <c r="G204" s="18">
        <v>244393.45</v>
      </c>
      <c r="H204" s="18">
        <v>88337.18</v>
      </c>
      <c r="I204" s="18">
        <v>181112.6</v>
      </c>
      <c r="J204" s="18">
        <v>170426.85</v>
      </c>
      <c r="K204" s="18">
        <v>214.76</v>
      </c>
      <c r="L204" s="19">
        <f t="shared" si="0"/>
        <v>1198076.96</v>
      </c>
      <c r="M204" s="8"/>
      <c r="N204" s="266"/>
    </row>
    <row r="205" spans="1:14" s="3" customFormat="1" ht="12.2" customHeight="1" x14ac:dyDescent="0.15">
      <c r="A205" s="1" t="s">
        <v>444</v>
      </c>
      <c r="B205" s="2" t="s">
        <v>341</v>
      </c>
      <c r="C205" s="2" t="s">
        <v>296</v>
      </c>
      <c r="D205" s="2" t="s">
        <v>431</v>
      </c>
      <c r="E205" s="6">
        <v>2300</v>
      </c>
      <c r="F205" s="18">
        <v>386003.39</v>
      </c>
      <c r="G205" s="18">
        <v>185697.3</v>
      </c>
      <c r="H205" s="18">
        <v>133666.69</v>
      </c>
      <c r="I205" s="18">
        <v>12804.11</v>
      </c>
      <c r="J205" s="18"/>
      <c r="K205" s="18">
        <v>8235.74</v>
      </c>
      <c r="L205" s="19">
        <f t="shared" si="0"/>
        <v>726407.22999999986</v>
      </c>
      <c r="M205" s="8"/>
      <c r="N205" s="266"/>
    </row>
    <row r="206" spans="1:14" s="3" customFormat="1" ht="12.2" customHeight="1" x14ac:dyDescent="0.15">
      <c r="A206" s="1" t="s">
        <v>445</v>
      </c>
      <c r="B206" s="2" t="s">
        <v>341</v>
      </c>
      <c r="C206" s="2" t="s">
        <v>297</v>
      </c>
      <c r="D206" s="2" t="s">
        <v>431</v>
      </c>
      <c r="E206" s="6">
        <v>2400</v>
      </c>
      <c r="F206" s="18">
        <v>1282830.53</v>
      </c>
      <c r="G206" s="18">
        <v>885265.03</v>
      </c>
      <c r="H206" s="18">
        <v>110932.46</v>
      </c>
      <c r="I206" s="18">
        <v>11363.86</v>
      </c>
      <c r="J206" s="18">
        <v>7739.6</v>
      </c>
      <c r="K206" s="18">
        <v>7750.62</v>
      </c>
      <c r="L206" s="19">
        <f t="shared" si="0"/>
        <v>2305882.1</v>
      </c>
      <c r="M206" s="8"/>
      <c r="N206" s="266"/>
    </row>
    <row r="207" spans="1:14" s="3" customFormat="1" ht="12.2" customHeight="1" x14ac:dyDescent="0.15">
      <c r="A207" s="1" t="s">
        <v>446</v>
      </c>
      <c r="B207" s="2" t="s">
        <v>341</v>
      </c>
      <c r="C207" s="2" t="s">
        <v>298</v>
      </c>
      <c r="D207" s="2" t="s">
        <v>431</v>
      </c>
      <c r="E207" s="6">
        <v>2500</v>
      </c>
      <c r="F207" s="18">
        <v>239671.82</v>
      </c>
      <c r="G207" s="18">
        <v>104286.31</v>
      </c>
      <c r="H207" s="18">
        <v>1463.15</v>
      </c>
      <c r="I207" s="18">
        <v>47.25</v>
      </c>
      <c r="J207" s="18"/>
      <c r="K207" s="18">
        <v>1171.5</v>
      </c>
      <c r="L207" s="19">
        <f t="shared" si="0"/>
        <v>346640.03</v>
      </c>
      <c r="M207" s="8"/>
      <c r="N207" s="266"/>
    </row>
    <row r="208" spans="1:14" s="3" customFormat="1" ht="12.2" customHeight="1" x14ac:dyDescent="0.15">
      <c r="A208" s="1" t="s">
        <v>447</v>
      </c>
      <c r="B208" s="2" t="s">
        <v>341</v>
      </c>
      <c r="C208" s="2" t="s">
        <v>299</v>
      </c>
      <c r="D208" s="2" t="s">
        <v>431</v>
      </c>
      <c r="E208" s="6">
        <v>2600</v>
      </c>
      <c r="F208" s="18">
        <v>933379.61</v>
      </c>
      <c r="G208" s="18">
        <v>515257.32</v>
      </c>
      <c r="H208" s="18">
        <v>859409.82</v>
      </c>
      <c r="I208" s="18">
        <v>577321.99</v>
      </c>
      <c r="J208" s="18"/>
      <c r="K208" s="18"/>
      <c r="L208" s="19">
        <f t="shared" si="0"/>
        <v>2885368.74</v>
      </c>
      <c r="M208" s="8"/>
      <c r="N208" s="266"/>
    </row>
    <row r="209" spans="1:14" s="3" customFormat="1" ht="12.2" customHeight="1" x14ac:dyDescent="0.15">
      <c r="A209" s="1" t="s">
        <v>448</v>
      </c>
      <c r="B209" s="2" t="s">
        <v>341</v>
      </c>
      <c r="C209" s="2" t="s">
        <v>300</v>
      </c>
      <c r="D209" s="2" t="s">
        <v>431</v>
      </c>
      <c r="E209" s="6">
        <v>2700</v>
      </c>
      <c r="F209" s="18"/>
      <c r="G209" s="18"/>
      <c r="H209" s="18">
        <v>1101129.48</v>
      </c>
      <c r="I209" s="18"/>
      <c r="J209" s="18"/>
      <c r="K209" s="18"/>
      <c r="L209" s="19">
        <f t="shared" si="0"/>
        <v>1101129.48</v>
      </c>
      <c r="M209" s="8"/>
      <c r="N209" s="266"/>
    </row>
    <row r="210" spans="1:14" s="3" customFormat="1" ht="12.2" customHeight="1" x14ac:dyDescent="0.15">
      <c r="A210" s="1" t="s">
        <v>449</v>
      </c>
      <c r="B210" s="2" t="s">
        <v>341</v>
      </c>
      <c r="C210" s="2" t="s">
        <v>343</v>
      </c>
      <c r="D210" s="2" t="s">
        <v>431</v>
      </c>
      <c r="E210" s="6">
        <v>2800</v>
      </c>
      <c r="F210" s="18"/>
      <c r="G210" s="18"/>
      <c r="H210" s="18"/>
      <c r="I210" s="18">
        <v>71286.48</v>
      </c>
      <c r="J210" s="18"/>
      <c r="K210" s="18"/>
      <c r="L210" s="19">
        <f>SUM(F210:K210)</f>
        <v>71286.48</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17174680.259999998</v>
      </c>
      <c r="G212" s="41">
        <f t="shared" si="1"/>
        <v>9665862.8100000005</v>
      </c>
      <c r="H212" s="41">
        <f t="shared" si="1"/>
        <v>4276120.9399999995</v>
      </c>
      <c r="I212" s="41">
        <f t="shared" si="1"/>
        <v>971918.95</v>
      </c>
      <c r="J212" s="41">
        <f t="shared" si="1"/>
        <v>201612.07</v>
      </c>
      <c r="K212" s="41">
        <f t="shared" si="1"/>
        <v>21133.61</v>
      </c>
      <c r="L212" s="41">
        <f t="shared" si="1"/>
        <v>32311328.640000008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4669301.57</v>
      </c>
      <c r="G216" s="18">
        <v>2783832.57</v>
      </c>
      <c r="H216" s="18">
        <v>27389.51</v>
      </c>
      <c r="I216" s="18">
        <v>39509.75</v>
      </c>
      <c r="J216" s="18">
        <v>4651.7299999999996</v>
      </c>
      <c r="K216" s="18"/>
      <c r="L216" s="19">
        <f>SUM(F216:K216)</f>
        <v>7524685.1300000008</v>
      </c>
      <c r="M216" s="8"/>
      <c r="N216" s="266"/>
    </row>
    <row r="217" spans="1:14" s="3" customFormat="1" ht="12.2" customHeight="1" x14ac:dyDescent="0.15">
      <c r="A217" s="1" t="s">
        <v>439</v>
      </c>
      <c r="B217" s="2" t="s">
        <v>346</v>
      </c>
      <c r="C217" s="2" t="s">
        <v>291</v>
      </c>
      <c r="D217" s="2" t="s">
        <v>431</v>
      </c>
      <c r="E217" s="6">
        <v>1200</v>
      </c>
      <c r="F217" s="18">
        <v>2060378.62</v>
      </c>
      <c r="G217" s="18">
        <v>1004151.69</v>
      </c>
      <c r="H217" s="18">
        <v>650676.43000000005</v>
      </c>
      <c r="I217" s="18">
        <v>1412.44</v>
      </c>
      <c r="J217" s="18">
        <v>7556.54</v>
      </c>
      <c r="K217" s="18">
        <v>1895.48</v>
      </c>
      <c r="L217" s="19">
        <f>SUM(F217:K217)</f>
        <v>3726071.2</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130146.66</v>
      </c>
      <c r="G219" s="18">
        <v>27619.03</v>
      </c>
      <c r="H219" s="18">
        <v>13667.2</v>
      </c>
      <c r="I219" s="18">
        <v>12969.84</v>
      </c>
      <c r="J219" s="18">
        <v>6006.53</v>
      </c>
      <c r="K219" s="18">
        <v>2820</v>
      </c>
      <c r="L219" s="19">
        <f>SUM(F219:K219)</f>
        <v>193229.26</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1162816.27</v>
      </c>
      <c r="G221" s="18">
        <v>630291.43999999994</v>
      </c>
      <c r="H221" s="18">
        <v>226505.44</v>
      </c>
      <c r="I221" s="18">
        <v>10424.33</v>
      </c>
      <c r="J221" s="18"/>
      <c r="K221" s="18"/>
      <c r="L221" s="19">
        <f t="shared" ref="L221:L227" si="2">SUM(F221:K221)</f>
        <v>2030037.48</v>
      </c>
      <c r="M221" s="8"/>
      <c r="N221" s="266"/>
    </row>
    <row r="222" spans="1:14" s="3" customFormat="1" ht="12.2" customHeight="1" x14ac:dyDescent="0.15">
      <c r="A222" s="1" t="s">
        <v>443</v>
      </c>
      <c r="B222" s="2" t="s">
        <v>346</v>
      </c>
      <c r="C222" s="2" t="s">
        <v>295</v>
      </c>
      <c r="D222" s="2" t="s">
        <v>431</v>
      </c>
      <c r="E222" s="6">
        <v>2200</v>
      </c>
      <c r="F222" s="18">
        <v>262025.94</v>
      </c>
      <c r="G222" s="18">
        <v>125614.99</v>
      </c>
      <c r="H222" s="18">
        <v>49984.87</v>
      </c>
      <c r="I222" s="18">
        <v>89209.53</v>
      </c>
      <c r="J222" s="18">
        <v>86268.7</v>
      </c>
      <c r="K222" s="18">
        <v>108.24</v>
      </c>
      <c r="L222" s="19">
        <f t="shared" si="2"/>
        <v>613212.2699999999</v>
      </c>
      <c r="M222" s="8"/>
      <c r="N222" s="266"/>
    </row>
    <row r="223" spans="1:14" s="3" customFormat="1" ht="12.2" customHeight="1" x14ac:dyDescent="0.15">
      <c r="A223" s="1" t="s">
        <v>444</v>
      </c>
      <c r="B223" s="2" t="s">
        <v>346</v>
      </c>
      <c r="C223" s="2" t="s">
        <v>296</v>
      </c>
      <c r="D223" s="2" t="s">
        <v>431</v>
      </c>
      <c r="E223" s="6">
        <v>2300</v>
      </c>
      <c r="F223" s="18">
        <v>194540.14</v>
      </c>
      <c r="G223" s="18">
        <v>93588.76</v>
      </c>
      <c r="H223" s="18">
        <v>67366.17</v>
      </c>
      <c r="I223" s="18">
        <v>6453.14</v>
      </c>
      <c r="J223" s="18"/>
      <c r="K223" s="18">
        <v>4150.6899999999996</v>
      </c>
      <c r="L223" s="19">
        <f t="shared" si="2"/>
        <v>366098.9</v>
      </c>
      <c r="M223" s="8"/>
      <c r="N223" s="266"/>
    </row>
    <row r="224" spans="1:14" s="3" customFormat="1" ht="12.2" customHeight="1" x14ac:dyDescent="0.15">
      <c r="A224" s="1" t="s">
        <v>445</v>
      </c>
      <c r="B224" s="2" t="s">
        <v>346</v>
      </c>
      <c r="C224" s="2" t="s">
        <v>297</v>
      </c>
      <c r="D224" s="2" t="s">
        <v>431</v>
      </c>
      <c r="E224" s="6">
        <v>2400</v>
      </c>
      <c r="F224" s="18">
        <v>655084.68000000005</v>
      </c>
      <c r="G224" s="18">
        <v>441370.42</v>
      </c>
      <c r="H224" s="18">
        <v>58532.78</v>
      </c>
      <c r="I224" s="18">
        <v>10959.1</v>
      </c>
      <c r="J224" s="18">
        <v>4338.63</v>
      </c>
      <c r="K224" s="18">
        <v>4352.5</v>
      </c>
      <c r="L224" s="19">
        <f t="shared" si="2"/>
        <v>1174638.1100000001</v>
      </c>
      <c r="M224" s="8"/>
      <c r="N224" s="266"/>
    </row>
    <row r="225" spans="1:14" s="3" customFormat="1" ht="12.2" customHeight="1" x14ac:dyDescent="0.15">
      <c r="A225" s="1" t="s">
        <v>446</v>
      </c>
      <c r="B225" s="2" t="s">
        <v>346</v>
      </c>
      <c r="C225" s="2" t="s">
        <v>298</v>
      </c>
      <c r="D225" s="2" t="s">
        <v>431</v>
      </c>
      <c r="E225" s="6">
        <v>2500</v>
      </c>
      <c r="F225" s="18">
        <v>120791.14</v>
      </c>
      <c r="G225" s="18">
        <v>52558.8</v>
      </c>
      <c r="H225" s="18">
        <v>737.4</v>
      </c>
      <c r="I225" s="18">
        <v>23.82</v>
      </c>
      <c r="J225" s="18"/>
      <c r="K225" s="18">
        <v>590.41999999999996</v>
      </c>
      <c r="L225" s="19">
        <f t="shared" si="2"/>
        <v>174701.58000000002</v>
      </c>
      <c r="M225" s="8"/>
      <c r="N225" s="266"/>
    </row>
    <row r="226" spans="1:14" s="3" customFormat="1" ht="12.2" customHeight="1" x14ac:dyDescent="0.15">
      <c r="A226" s="1" t="s">
        <v>447</v>
      </c>
      <c r="B226" s="2" t="s">
        <v>346</v>
      </c>
      <c r="C226" s="2" t="s">
        <v>299</v>
      </c>
      <c r="D226" s="2" t="s">
        <v>431</v>
      </c>
      <c r="E226" s="6">
        <v>2600</v>
      </c>
      <c r="F226" s="18">
        <v>523562.75</v>
      </c>
      <c r="G226" s="18">
        <v>297348.28999999998</v>
      </c>
      <c r="H226" s="18">
        <v>423720.73</v>
      </c>
      <c r="I226" s="18">
        <v>309276.3</v>
      </c>
      <c r="J226" s="18"/>
      <c r="K226" s="18"/>
      <c r="L226" s="19">
        <f t="shared" si="2"/>
        <v>1553908.07</v>
      </c>
      <c r="M226" s="8"/>
      <c r="N226" s="266"/>
    </row>
    <row r="227" spans="1:14" s="3" customFormat="1" ht="12.2" customHeight="1" x14ac:dyDescent="0.15">
      <c r="A227" s="1" t="s">
        <v>448</v>
      </c>
      <c r="B227" s="2" t="s">
        <v>346</v>
      </c>
      <c r="C227" s="2" t="s">
        <v>300</v>
      </c>
      <c r="D227" s="2" t="s">
        <v>431</v>
      </c>
      <c r="E227" s="6">
        <v>2700</v>
      </c>
      <c r="F227" s="18"/>
      <c r="G227" s="18"/>
      <c r="H227" s="18">
        <v>733260.43</v>
      </c>
      <c r="I227" s="18"/>
      <c r="J227" s="18"/>
      <c r="K227" s="18"/>
      <c r="L227" s="19">
        <f t="shared" si="2"/>
        <v>733260.43</v>
      </c>
      <c r="M227" s="8"/>
      <c r="N227" s="266"/>
    </row>
    <row r="228" spans="1:14" s="3" customFormat="1" ht="12.2" customHeight="1" x14ac:dyDescent="0.15">
      <c r="A228" s="1" t="s">
        <v>449</v>
      </c>
      <c r="B228" s="2" t="s">
        <v>346</v>
      </c>
      <c r="C228" s="2" t="s">
        <v>343</v>
      </c>
      <c r="D228" s="2" t="s">
        <v>431</v>
      </c>
      <c r="E228" s="6">
        <v>2800</v>
      </c>
      <c r="F228" s="18"/>
      <c r="G228" s="18"/>
      <c r="H228" s="18"/>
      <c r="I228" s="18">
        <v>43428.3</v>
      </c>
      <c r="J228" s="18"/>
      <c r="K228" s="18"/>
      <c r="L228" s="19">
        <f>SUM(F228:K228)</f>
        <v>43428.3</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9778647.7700000014</v>
      </c>
      <c r="G230" s="41">
        <f>SUM(G216:G229)</f>
        <v>5456375.9899999993</v>
      </c>
      <c r="H230" s="41">
        <f>SUM(H216:H229)</f>
        <v>2251840.96</v>
      </c>
      <c r="I230" s="41">
        <f>SUM(I216:I229)</f>
        <v>523666.55</v>
      </c>
      <c r="J230" s="41">
        <f>SUM(J216:J229)</f>
        <v>108822.13</v>
      </c>
      <c r="K230" s="41">
        <f t="shared" si="3"/>
        <v>13917.33</v>
      </c>
      <c r="L230" s="41">
        <f t="shared" si="3"/>
        <v>18133270.73</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21123648.98</v>
      </c>
      <c r="I234" s="18"/>
      <c r="J234" s="18"/>
      <c r="K234" s="18"/>
      <c r="L234" s="19">
        <f>SUM(F234:K234)</f>
        <v>21123648.98</v>
      </c>
      <c r="M234" s="8"/>
      <c r="N234" s="266"/>
    </row>
    <row r="235" spans="1:14" s="3" customFormat="1" ht="12.2" customHeight="1" x14ac:dyDescent="0.15">
      <c r="A235" s="1" t="s">
        <v>439</v>
      </c>
      <c r="B235" s="2" t="s">
        <v>350</v>
      </c>
      <c r="C235" s="2" t="s">
        <v>291</v>
      </c>
      <c r="D235" s="2" t="s">
        <v>431</v>
      </c>
      <c r="E235" s="6">
        <v>1200</v>
      </c>
      <c r="F235" s="18"/>
      <c r="G235" s="18"/>
      <c r="H235" s="18">
        <v>6367463.8799999999</v>
      </c>
      <c r="I235" s="18"/>
      <c r="J235" s="18"/>
      <c r="K235" s="18"/>
      <c r="L235" s="19">
        <f>SUM(F235:K235)</f>
        <v>6367463.8799999999</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220080.53</v>
      </c>
      <c r="I239" s="18"/>
      <c r="J239" s="18"/>
      <c r="K239" s="18"/>
      <c r="L239" s="19">
        <f t="shared" ref="L239:L245" si="4">SUM(F239:K239)</f>
        <v>220080.53</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749404.9</v>
      </c>
      <c r="I245" s="18"/>
      <c r="J245" s="18"/>
      <c r="K245" s="18"/>
      <c r="L245" s="19">
        <f t="shared" si="4"/>
        <v>749404.9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28460598.289999999</v>
      </c>
      <c r="I248" s="41">
        <f t="shared" si="5"/>
        <v>0</v>
      </c>
      <c r="J248" s="41">
        <f t="shared" si="5"/>
        <v>0</v>
      </c>
      <c r="K248" s="41">
        <f t="shared" si="5"/>
        <v>0</v>
      </c>
      <c r="L248" s="41">
        <f t="shared" si="5"/>
        <v>28460598.289999999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v>50726.53</v>
      </c>
      <c r="G252" s="18">
        <v>4077.18</v>
      </c>
      <c r="H252" s="18">
        <v>15585.82</v>
      </c>
      <c r="I252" s="18">
        <v>3969.67</v>
      </c>
      <c r="J252" s="18"/>
      <c r="K252" s="18"/>
      <c r="L252" s="19">
        <f t="shared" si="6"/>
        <v>74359.199999999997</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50726.53</v>
      </c>
      <c r="G257" s="41">
        <f t="shared" si="7"/>
        <v>4077.18</v>
      </c>
      <c r="H257" s="41">
        <f t="shared" si="7"/>
        <v>15585.82</v>
      </c>
      <c r="I257" s="41">
        <f t="shared" si="7"/>
        <v>3969.67</v>
      </c>
      <c r="J257" s="41">
        <f t="shared" si="7"/>
        <v>0</v>
      </c>
      <c r="K257" s="41">
        <f t="shared" si="7"/>
        <v>0</v>
      </c>
      <c r="L257" s="41">
        <f>SUM(F257:K257)</f>
        <v>74359.199999999997</v>
      </c>
      <c r="M257" s="8"/>
      <c r="N257" s="266"/>
    </row>
    <row r="258" spans="1:14" s="3" customFormat="1" ht="12.2" customHeight="1" thickTop="1" x14ac:dyDescent="0.15">
      <c r="A258" s="38" t="s">
        <v>462</v>
      </c>
      <c r="B258" s="40">
        <v>10</v>
      </c>
      <c r="C258" s="40">
        <v>8</v>
      </c>
      <c r="D258" s="39" t="s">
        <v>431</v>
      </c>
      <c r="E258" s="40"/>
      <c r="F258" s="41">
        <f t="shared" ref="F258:L258" si="8">F212+F230+F248+F257</f>
        <v>27004054.560000002</v>
      </c>
      <c r="G258" s="41">
        <f t="shared" si="8"/>
        <v>15126315.98</v>
      </c>
      <c r="H258" s="41">
        <f t="shared" si="8"/>
        <v>35004146.009999998</v>
      </c>
      <c r="I258" s="41">
        <f t="shared" si="8"/>
        <v>1499555.17</v>
      </c>
      <c r="J258" s="41">
        <f t="shared" si="8"/>
        <v>310434.2</v>
      </c>
      <c r="K258" s="41">
        <f t="shared" si="8"/>
        <v>35050.94</v>
      </c>
      <c r="L258" s="41">
        <f t="shared" si="8"/>
        <v>78979556.859999999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1705147.06</v>
      </c>
      <c r="L261" s="19">
        <f>SUM(F261:K261)</f>
        <v>1705147.06</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462482.51</v>
      </c>
      <c r="L262" s="19">
        <f>SUM(F262:K262)</f>
        <v>462482.51</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2167629.5700000003</v>
      </c>
      <c r="L271" s="41">
        <f t="shared" si="9"/>
        <v>2167629.5700000003</v>
      </c>
      <c r="M271" s="8"/>
      <c r="N271" s="266"/>
    </row>
    <row r="272" spans="1:14" s="34" customFormat="1" ht="12.2" customHeight="1" thickTop="1" x14ac:dyDescent="0.2">
      <c r="A272" s="43" t="s">
        <v>464</v>
      </c>
      <c r="B272" s="40">
        <v>10</v>
      </c>
      <c r="C272" s="40">
        <v>18</v>
      </c>
      <c r="D272" s="39" t="s">
        <v>431</v>
      </c>
      <c r="E272" s="40"/>
      <c r="F272" s="42">
        <f t="shared" ref="F272:L272" si="11">F258+F271</f>
        <v>27004054.560000002</v>
      </c>
      <c r="G272" s="42">
        <f t="shared" si="11"/>
        <v>15126315.98</v>
      </c>
      <c r="H272" s="42">
        <f t="shared" si="11"/>
        <v>35004146.009999998</v>
      </c>
      <c r="I272" s="42">
        <f t="shared" si="11"/>
        <v>1499555.17</v>
      </c>
      <c r="J272" s="42">
        <f t="shared" si="11"/>
        <v>310434.2</v>
      </c>
      <c r="K272" s="42">
        <f t="shared" si="11"/>
        <v>2202680.5100000002</v>
      </c>
      <c r="L272" s="42">
        <f t="shared" si="11"/>
        <v>81147186.430000007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19236.62</v>
      </c>
      <c r="G277" s="18">
        <v>4330.83</v>
      </c>
      <c r="H277" s="18"/>
      <c r="I277" s="18">
        <v>6256.21</v>
      </c>
      <c r="J277" s="18"/>
      <c r="K277" s="18"/>
      <c r="L277" s="19">
        <f>SUM(F277:K277)</f>
        <v>29823.659999999996</v>
      </c>
      <c r="M277" s="8"/>
      <c r="N277" s="266"/>
    </row>
    <row r="278" spans="1:14" s="3" customFormat="1" ht="12.2" customHeight="1" x14ac:dyDescent="0.15">
      <c r="A278" s="1" t="s">
        <v>439</v>
      </c>
      <c r="B278" s="2" t="s">
        <v>357</v>
      </c>
      <c r="C278" s="2" t="s">
        <v>291</v>
      </c>
      <c r="D278" s="2" t="s">
        <v>431</v>
      </c>
      <c r="E278" s="6">
        <v>1200</v>
      </c>
      <c r="F278" s="18">
        <v>465345.72</v>
      </c>
      <c r="G278" s="18">
        <v>113106.9</v>
      </c>
      <c r="H278" s="18">
        <v>575727.22</v>
      </c>
      <c r="I278" s="18">
        <v>19412.97</v>
      </c>
      <c r="J278" s="18"/>
      <c r="K278" s="18"/>
      <c r="L278" s="19">
        <f>SUM(F278:K278)</f>
        <v>1173592.8099999998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268419.93</v>
      </c>
      <c r="G282" s="18">
        <v>103971.63</v>
      </c>
      <c r="H282" s="18">
        <v>22797.17</v>
      </c>
      <c r="I282" s="18">
        <v>4039.61</v>
      </c>
      <c r="J282" s="18"/>
      <c r="K282" s="18"/>
      <c r="L282" s="19">
        <f t="shared" ref="L282:L288" si="12">SUM(F282:K282)</f>
        <v>399228.33999999997</v>
      </c>
      <c r="M282" s="8"/>
      <c r="N282" s="266"/>
    </row>
    <row r="283" spans="1:14" s="3" customFormat="1" ht="12.2" customHeight="1" x14ac:dyDescent="0.15">
      <c r="A283" s="1" t="s">
        <v>443</v>
      </c>
      <c r="B283" s="2" t="s">
        <v>357</v>
      </c>
      <c r="C283" s="2" t="s">
        <v>295</v>
      </c>
      <c r="D283" s="2" t="s">
        <v>431</v>
      </c>
      <c r="E283" s="6">
        <v>2200</v>
      </c>
      <c r="F283" s="18">
        <v>78613.06</v>
      </c>
      <c r="G283" s="18">
        <v>16477.919999999998</v>
      </c>
      <c r="H283" s="18">
        <v>119895.42</v>
      </c>
      <c r="I283" s="18">
        <v>69305.509999999995</v>
      </c>
      <c r="J283" s="18">
        <v>8939.0300000000007</v>
      </c>
      <c r="K283" s="18">
        <v>647.47</v>
      </c>
      <c r="L283" s="19">
        <f t="shared" si="12"/>
        <v>293878.40999999997</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18863.900000000001</v>
      </c>
      <c r="I287" s="18"/>
      <c r="J287" s="18"/>
      <c r="K287" s="18"/>
      <c r="L287" s="19">
        <f t="shared" si="12"/>
        <v>18863.900000000001</v>
      </c>
      <c r="M287" s="8"/>
      <c r="N287" s="266"/>
    </row>
    <row r="288" spans="1:14" s="3" customFormat="1" ht="12.2" customHeight="1" x14ac:dyDescent="0.15">
      <c r="A288" s="1" t="s">
        <v>448</v>
      </c>
      <c r="B288" s="2" t="s">
        <v>357</v>
      </c>
      <c r="C288" s="2" t="s">
        <v>300</v>
      </c>
      <c r="D288" s="2" t="s">
        <v>431</v>
      </c>
      <c r="E288" s="6">
        <v>2700</v>
      </c>
      <c r="F288" s="18"/>
      <c r="G288" s="18"/>
      <c r="H288" s="18">
        <v>2770.64</v>
      </c>
      <c r="I288" s="18"/>
      <c r="J288" s="18"/>
      <c r="K288" s="18"/>
      <c r="L288" s="19">
        <f t="shared" si="12"/>
        <v>2770.64</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831615.33000000007</v>
      </c>
      <c r="G291" s="42">
        <f t="shared" si="13"/>
        <v>237887.27999999997</v>
      </c>
      <c r="H291" s="42">
        <f t="shared" si="13"/>
        <v>740054.35000000009</v>
      </c>
      <c r="I291" s="42">
        <f t="shared" si="13"/>
        <v>99014.299999999988</v>
      </c>
      <c r="J291" s="42">
        <f t="shared" si="13"/>
        <v>8939.0300000000007</v>
      </c>
      <c r="K291" s="42">
        <f t="shared" si="13"/>
        <v>647.47</v>
      </c>
      <c r="L291" s="41">
        <f t="shared" si="13"/>
        <v>1918157.7599999993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9694.98</v>
      </c>
      <c r="G296" s="18">
        <v>2182.67</v>
      </c>
      <c r="H296" s="18"/>
      <c r="I296" s="18">
        <v>3341.22</v>
      </c>
      <c r="J296" s="18"/>
      <c r="K296" s="18"/>
      <c r="L296" s="19">
        <f>SUM(F296:K296)</f>
        <v>15218.869999999999</v>
      </c>
      <c r="M296" s="8"/>
      <c r="N296" s="266"/>
    </row>
    <row r="297" spans="1:14" s="3" customFormat="1" ht="12.2" customHeight="1" x14ac:dyDescent="0.15">
      <c r="A297" s="1" t="s">
        <v>439</v>
      </c>
      <c r="B297" s="2" t="s">
        <v>358</v>
      </c>
      <c r="C297" s="2" t="s">
        <v>291</v>
      </c>
      <c r="D297" s="2" t="s">
        <v>431</v>
      </c>
      <c r="E297" s="6">
        <v>1200</v>
      </c>
      <c r="F297" s="18">
        <v>234073.94</v>
      </c>
      <c r="G297" s="18">
        <v>57004.24</v>
      </c>
      <c r="H297" s="18">
        <v>290158.2</v>
      </c>
      <c r="I297" s="18">
        <v>9783.85</v>
      </c>
      <c r="J297" s="18"/>
      <c r="K297" s="18"/>
      <c r="L297" s="19">
        <f>SUM(F297:K297)</f>
        <v>591020.23</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135427.60999999999</v>
      </c>
      <c r="G301" s="18">
        <v>52400.2</v>
      </c>
      <c r="H301" s="18">
        <v>11489.44</v>
      </c>
      <c r="I301" s="18">
        <v>2035.9</v>
      </c>
      <c r="J301" s="18"/>
      <c r="K301" s="18"/>
      <c r="L301" s="19">
        <f t="shared" ref="L301:L307" si="14">SUM(F301:K301)</f>
        <v>201353.15</v>
      </c>
      <c r="M301" s="8"/>
      <c r="N301" s="266"/>
    </row>
    <row r="302" spans="1:14" s="3" customFormat="1" ht="12.2" customHeight="1" x14ac:dyDescent="0.15">
      <c r="A302" s="1" t="s">
        <v>443</v>
      </c>
      <c r="B302" s="2" t="s">
        <v>358</v>
      </c>
      <c r="C302" s="2" t="s">
        <v>295</v>
      </c>
      <c r="D302" s="2" t="s">
        <v>431</v>
      </c>
      <c r="E302" s="6">
        <v>2200</v>
      </c>
      <c r="F302" s="18">
        <v>39619.85</v>
      </c>
      <c r="G302" s="18">
        <v>8304.64</v>
      </c>
      <c r="H302" s="18">
        <v>45680.56</v>
      </c>
      <c r="I302" s="18">
        <v>32305.82</v>
      </c>
      <c r="J302" s="18">
        <v>13457.21</v>
      </c>
      <c r="K302" s="18">
        <v>326.31</v>
      </c>
      <c r="L302" s="19">
        <f t="shared" si="14"/>
        <v>139694.38999999998</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v>17251.099999999999</v>
      </c>
      <c r="I306" s="18"/>
      <c r="J306" s="18"/>
      <c r="K306" s="18"/>
      <c r="L306" s="19">
        <f t="shared" si="14"/>
        <v>17251.099999999999</v>
      </c>
      <c r="M306" s="8"/>
      <c r="N306" s="266"/>
    </row>
    <row r="307" spans="1:14" s="3" customFormat="1" ht="12.2" customHeight="1" x14ac:dyDescent="0.15">
      <c r="A307" s="1" t="s">
        <v>448</v>
      </c>
      <c r="B307" s="2" t="s">
        <v>358</v>
      </c>
      <c r="C307" s="2" t="s">
        <v>300</v>
      </c>
      <c r="D307" s="2" t="s">
        <v>431</v>
      </c>
      <c r="E307" s="6">
        <v>2700</v>
      </c>
      <c r="F307" s="18"/>
      <c r="G307" s="18"/>
      <c r="H307" s="18">
        <v>1396.36</v>
      </c>
      <c r="I307" s="18"/>
      <c r="J307" s="18"/>
      <c r="K307" s="18"/>
      <c r="L307" s="19">
        <f t="shared" si="14"/>
        <v>1396.36</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418816.38</v>
      </c>
      <c r="G310" s="42">
        <f t="shared" si="15"/>
        <v>119891.74999999999</v>
      </c>
      <c r="H310" s="42">
        <f t="shared" si="15"/>
        <v>365975.66</v>
      </c>
      <c r="I310" s="42">
        <f t="shared" si="15"/>
        <v>47466.79</v>
      </c>
      <c r="J310" s="42">
        <f t="shared" si="15"/>
        <v>13457.21</v>
      </c>
      <c r="K310" s="42">
        <f t="shared" si="15"/>
        <v>326.31</v>
      </c>
      <c r="L310" s="41">
        <f t="shared" si="15"/>
        <v>965934.1</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v>14745</v>
      </c>
      <c r="I321" s="18"/>
      <c r="J321" s="18"/>
      <c r="K321" s="18"/>
      <c r="L321" s="19">
        <f t="shared" si="16"/>
        <v>14745</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14745</v>
      </c>
      <c r="I329" s="42">
        <f t="shared" si="17"/>
        <v>0</v>
      </c>
      <c r="J329" s="42">
        <f t="shared" si="17"/>
        <v>0</v>
      </c>
      <c r="K329" s="42">
        <f t="shared" si="17"/>
        <v>0</v>
      </c>
      <c r="L329" s="41">
        <f t="shared" si="17"/>
        <v>14745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v>72889.53</v>
      </c>
      <c r="G334" s="18">
        <v>5572.08</v>
      </c>
      <c r="H334" s="18">
        <v>9332.9699999999993</v>
      </c>
      <c r="I334" s="18">
        <v>4166.75</v>
      </c>
      <c r="J334" s="18"/>
      <c r="K334" s="18">
        <v>199</v>
      </c>
      <c r="L334" s="19">
        <f t="shared" si="18"/>
        <v>92160.33</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72889.53</v>
      </c>
      <c r="G338" s="41">
        <f t="shared" si="19"/>
        <v>5572.08</v>
      </c>
      <c r="H338" s="41">
        <f t="shared" si="19"/>
        <v>9332.9699999999993</v>
      </c>
      <c r="I338" s="41">
        <f t="shared" si="19"/>
        <v>4166.75</v>
      </c>
      <c r="J338" s="41">
        <f t="shared" si="19"/>
        <v>0</v>
      </c>
      <c r="K338" s="41">
        <f t="shared" si="19"/>
        <v>199</v>
      </c>
      <c r="L338" s="41">
        <f t="shared" si="18"/>
        <v>92160.33</v>
      </c>
      <c r="M338" s="8"/>
      <c r="N338" s="266"/>
    </row>
    <row r="339" spans="1:43" s="3" customFormat="1" ht="12.2" customHeight="1" thickTop="1" x14ac:dyDescent="0.15">
      <c r="A339" s="38" t="s">
        <v>468</v>
      </c>
      <c r="B339" s="40">
        <v>14</v>
      </c>
      <c r="C339" s="40">
        <v>7</v>
      </c>
      <c r="D339" s="39" t="s">
        <v>431</v>
      </c>
      <c r="E339" s="40"/>
      <c r="F339" s="41">
        <f t="shared" ref="F339:L339" si="20">F291+F310+F329+F338</f>
        <v>1323321.24</v>
      </c>
      <c r="G339" s="41">
        <f t="shared" si="20"/>
        <v>363351.11</v>
      </c>
      <c r="H339" s="41">
        <f t="shared" si="20"/>
        <v>1130107.98</v>
      </c>
      <c r="I339" s="41">
        <f t="shared" si="20"/>
        <v>150647.84</v>
      </c>
      <c r="J339" s="41">
        <f t="shared" si="20"/>
        <v>22396.239999999998</v>
      </c>
      <c r="K339" s="41">
        <f t="shared" si="20"/>
        <v>1172.78</v>
      </c>
      <c r="L339" s="41">
        <f t="shared" si="20"/>
        <v>2990997.1899999995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1323321.24</v>
      </c>
      <c r="G353" s="41">
        <f>G339</f>
        <v>363351.11</v>
      </c>
      <c r="H353" s="41">
        <f>H339</f>
        <v>1130107.98</v>
      </c>
      <c r="I353" s="41">
        <f>I339</f>
        <v>150647.84</v>
      </c>
      <c r="J353" s="41">
        <f>J339</f>
        <v>22396.239999999998</v>
      </c>
      <c r="K353" s="47">
        <f>K339+K352</f>
        <v>1172.78</v>
      </c>
      <c r="L353" s="41">
        <f>L339+L352</f>
        <v>2990997.1899999995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321820.24</v>
      </c>
      <c r="G359" s="18">
        <v>155832.89000000001</v>
      </c>
      <c r="H359" s="18">
        <v>122510.52</v>
      </c>
      <c r="I359" s="18">
        <v>303455.55</v>
      </c>
      <c r="J359" s="18">
        <v>4894.6499999999996</v>
      </c>
      <c r="K359" s="18">
        <v>598.11</v>
      </c>
      <c r="L359" s="13">
        <f>SUM(F359:K359)</f>
        <v>909111.96</v>
      </c>
      <c r="M359" s="8"/>
      <c r="N359" s="266"/>
    </row>
    <row r="360" spans="1:22" s="3" customFormat="1" ht="12.2" customHeight="1" x14ac:dyDescent="0.15">
      <c r="A360" s="1" t="s">
        <v>542</v>
      </c>
      <c r="B360" s="2" t="s">
        <v>366</v>
      </c>
      <c r="C360" s="6">
        <v>2</v>
      </c>
      <c r="D360" s="2" t="s">
        <v>431</v>
      </c>
      <c r="E360" s="6"/>
      <c r="F360" s="18">
        <v>162192.76</v>
      </c>
      <c r="G360" s="18">
        <v>78537.83</v>
      </c>
      <c r="H360" s="18">
        <v>61743.54</v>
      </c>
      <c r="I360" s="18">
        <v>152937.22</v>
      </c>
      <c r="J360" s="18">
        <v>2466.84</v>
      </c>
      <c r="K360" s="18">
        <v>301.58999999999997</v>
      </c>
      <c r="L360" s="19">
        <f>SUM(F360:K360)</f>
        <v>458179.78</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484013</v>
      </c>
      <c r="G363" s="47">
        <f t="shared" si="22"/>
        <v>234370.72000000003</v>
      </c>
      <c r="H363" s="47">
        <f t="shared" si="22"/>
        <v>184254.06</v>
      </c>
      <c r="I363" s="47">
        <f t="shared" si="22"/>
        <v>456392.77</v>
      </c>
      <c r="J363" s="47">
        <f t="shared" si="22"/>
        <v>7361.49</v>
      </c>
      <c r="K363" s="47">
        <f t="shared" si="22"/>
        <v>899.7</v>
      </c>
      <c r="L363" s="47">
        <f t="shared" si="22"/>
        <v>1367291.74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204039.01</v>
      </c>
      <c r="G368" s="18">
        <v>195934.56</v>
      </c>
      <c r="H368" s="18"/>
      <c r="I368" s="56">
        <f>SUM(F368:H368)</f>
        <v>399973.57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26620.55</v>
      </c>
      <c r="G369" s="63">
        <v>29798.65</v>
      </c>
      <c r="H369" s="63"/>
      <c r="I369" s="56">
        <f>SUM(F369:H369)</f>
        <v>56419.199999999997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230659.56</v>
      </c>
      <c r="G370" s="47">
        <f>SUM(G368:G369)</f>
        <v>225733.21</v>
      </c>
      <c r="H370" s="47">
        <f>SUM(H368:H369)</f>
        <v>0</v>
      </c>
      <c r="I370" s="47">
        <f>SUM(I368:I369)</f>
        <v>456392.77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v>3792.16</v>
      </c>
      <c r="I393" s="18"/>
      <c r="J393" s="24" t="s">
        <v>288</v>
      </c>
      <c r="K393" s="24" t="s">
        <v>288</v>
      </c>
      <c r="L393" s="56">
        <f t="shared" si="25"/>
        <v>3792.16</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3792.16</v>
      </c>
      <c r="I394" s="65">
        <f>SUM(I388:I393)</f>
        <v>0</v>
      </c>
      <c r="J394" s="45" t="s">
        <v>288</v>
      </c>
      <c r="K394" s="45" t="s">
        <v>288</v>
      </c>
      <c r="L394" s="47">
        <f>SUM(L388:L393)</f>
        <v>3792.16</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3792.16</v>
      </c>
      <c r="I409" s="47">
        <f>I394+I402+I408</f>
        <v>0</v>
      </c>
      <c r="J409" s="24" t="s">
        <v>288</v>
      </c>
      <c r="K409" s="24" t="s">
        <v>288</v>
      </c>
      <c r="L409" s="47">
        <f>L394+L402+L408</f>
        <v>3792.16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194336.78</v>
      </c>
      <c r="G443" s="18"/>
      <c r="H443" s="18"/>
      <c r="I443" s="56">
        <f t="shared" si="33"/>
        <v>194336.78</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194336.78</v>
      </c>
      <c r="G447" s="13">
        <f>SUM(G440:G446)</f>
        <v>0</v>
      </c>
      <c r="H447" s="13">
        <f>SUM(H440:H446)</f>
        <v>0</v>
      </c>
      <c r="I447" s="13">
        <f>SUM(I440:I446)</f>
        <v>194336.78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194336.78</v>
      </c>
      <c r="G460" s="18"/>
      <c r="H460" s="18"/>
      <c r="I460" s="56">
        <f t="shared" si="34"/>
        <v>194336.78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194336.78</v>
      </c>
      <c r="G461" s="83">
        <f>SUM(G455:G460)</f>
        <v>0</v>
      </c>
      <c r="H461" s="83">
        <f>SUM(H455:H460)</f>
        <v>0</v>
      </c>
      <c r="I461" s="83">
        <f>SUM(I455:I460)</f>
        <v>194336.78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194336.78</v>
      </c>
      <c r="G462" s="42">
        <f>G453+G461</f>
        <v>0</v>
      </c>
      <c r="H462" s="42">
        <f>H453+H461</f>
        <v>0</v>
      </c>
      <c r="I462" s="42">
        <f>I453+I461</f>
        <v>194336.78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3951559</v>
      </c>
      <c r="G466" s="18">
        <v>221047</v>
      </c>
      <c r="H466" s="18">
        <v>19949</v>
      </c>
      <c r="I466" s="18"/>
      <c r="J466" s="18">
        <v>190544.62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82295560.43-42687</f>
        <v>82252873.430000007</v>
      </c>
      <c r="G469" s="18">
        <v>1148198.93</v>
      </c>
      <c r="H469" s="18">
        <f>3250346.57-259349.38+0.21</f>
        <v>2990997.4</v>
      </c>
      <c r="I469" s="18"/>
      <c r="J469" s="18">
        <v>3792.16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82252873.430000007</v>
      </c>
      <c r="G471" s="53">
        <f>SUM(G469:G470)</f>
        <v>1148198.93</v>
      </c>
      <c r="H471" s="53">
        <f>SUM(H469:H470)</f>
        <v>2990997.4</v>
      </c>
      <c r="I471" s="53">
        <f>SUM(I469:I470)</f>
        <v>0</v>
      </c>
      <c r="J471" s="53">
        <f>SUM(J469:J470)</f>
        <v>3792.16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81147186.430000007</v>
      </c>
      <c r="G473" s="18">
        <v>1367291.74</v>
      </c>
      <c r="H473" s="18">
        <v>2990997.19</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81147186.430000007</v>
      </c>
      <c r="G475" s="53">
        <f>SUM(G473:G474)</f>
        <v>1367291.74</v>
      </c>
      <c r="H475" s="53">
        <f>SUM(H473:H474)</f>
        <v>2990997.19</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5057246</v>
      </c>
      <c r="G477" s="53">
        <f>(G466+G471)- G475</f>
        <v>1954.1899999999441</v>
      </c>
      <c r="H477" s="53">
        <f>(H466+H471)- H475</f>
        <v>19949.209999999963</v>
      </c>
      <c r="I477" s="53">
        <f>(I466+I471)- I475</f>
        <v>0</v>
      </c>
      <c r="J477" s="53">
        <f>(J466+J471)- J475</f>
        <v>194336.78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9</v>
      </c>
      <c r="G491" s="154">
        <v>20</v>
      </c>
      <c r="H491" s="154">
        <v>16</v>
      </c>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t="s">
        <v>1643</v>
      </c>
      <c r="H492" s="154">
        <f>7/17</f>
        <v>0.41176470588235292</v>
      </c>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t="s">
        <v>1645</v>
      </c>
      <c r="H493" s="154">
        <f>7/32</f>
        <v>0.21875</v>
      </c>
      <c r="I493" s="154"/>
      <c r="J493" s="154"/>
      <c r="K493" s="24" t="s">
        <v>288</v>
      </c>
      <c r="L493" s="24" t="s">
        <v>288</v>
      </c>
      <c r="N493" s="265"/>
    </row>
    <row r="494" spans="1:14" s="52" customFormat="1" ht="12.2" customHeight="1" x14ac:dyDescent="0.2">
      <c r="A494" s="22" t="s">
        <v>617</v>
      </c>
      <c r="B494" s="75">
        <v>20</v>
      </c>
      <c r="C494" s="115">
        <v>4</v>
      </c>
      <c r="D494" s="2" t="s">
        <v>432</v>
      </c>
      <c r="E494" s="115"/>
      <c r="F494" s="18">
        <v>23550000</v>
      </c>
      <c r="G494" s="18">
        <v>23959000</v>
      </c>
      <c r="H494" s="18">
        <v>10035480</v>
      </c>
      <c r="I494" s="18"/>
      <c r="J494" s="18"/>
      <c r="K494" s="24" t="s">
        <v>288</v>
      </c>
      <c r="L494" s="24" t="s">
        <v>288</v>
      </c>
      <c r="N494" s="265"/>
    </row>
    <row r="495" spans="1:14" s="52" customFormat="1" ht="12.2" customHeight="1" x14ac:dyDescent="0.2">
      <c r="A495" s="22" t="s">
        <v>618</v>
      </c>
      <c r="B495" s="75">
        <v>20</v>
      </c>
      <c r="C495" s="115">
        <v>5</v>
      </c>
      <c r="D495" s="2" t="s">
        <v>432</v>
      </c>
      <c r="E495" s="115"/>
      <c r="F495" s="18">
        <v>2.23</v>
      </c>
      <c r="G495" s="18">
        <v>3.97</v>
      </c>
      <c r="H495" s="18">
        <v>2.42</v>
      </c>
      <c r="I495" s="18"/>
      <c r="J495" s="18"/>
      <c r="K495" s="24" t="s">
        <v>288</v>
      </c>
      <c r="L495" s="24" t="s">
        <v>288</v>
      </c>
      <c r="N495" s="265"/>
    </row>
    <row r="496" spans="1:14" s="52" customFormat="1" ht="12.2" customHeight="1" x14ac:dyDescent="0.2">
      <c r="A496" s="22" t="s">
        <v>619</v>
      </c>
      <c r="B496" s="75">
        <v>20</v>
      </c>
      <c r="C496" s="115">
        <v>6</v>
      </c>
      <c r="D496" s="2" t="s">
        <v>432</v>
      </c>
      <c r="E496" s="115"/>
      <c r="F496" s="18">
        <v>255000</v>
      </c>
      <c r="G496" s="18">
        <v>5206500</v>
      </c>
      <c r="H496" s="18">
        <v>11067082</v>
      </c>
      <c r="I496" s="18"/>
      <c r="J496" s="18"/>
      <c r="K496" s="53">
        <f>SUM(F496:J496)</f>
        <v>16528582</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v>0</v>
      </c>
      <c r="G499" s="204">
        <v>4800000</v>
      </c>
      <c r="H499" s="204">
        <v>9343138.0500000007</v>
      </c>
      <c r="I499" s="204"/>
      <c r="J499" s="204"/>
      <c r="K499" s="205">
        <f t="shared" si="35"/>
        <v>14143138.050000001</v>
      </c>
      <c r="L499" s="206" t="s">
        <v>288</v>
      </c>
      <c r="N499" s="265"/>
    </row>
    <row r="500" spans="1:14" s="52" customFormat="1" ht="12.2" customHeight="1" thickBot="1" x14ac:dyDescent="0.25">
      <c r="A500" s="22" t="s">
        <v>623</v>
      </c>
      <c r="B500" s="75">
        <v>20</v>
      </c>
      <c r="C500" s="115">
        <v>10</v>
      </c>
      <c r="D500" s="2" t="s">
        <v>432</v>
      </c>
      <c r="E500" s="115"/>
      <c r="F500" s="18">
        <v>0</v>
      </c>
      <c r="G500" s="18">
        <v>406500</v>
      </c>
      <c r="H500" s="18">
        <v>1723974.59</v>
      </c>
      <c r="I500" s="18"/>
      <c r="J500" s="18"/>
      <c r="K500" s="53">
        <f t="shared" si="35"/>
        <v>2130474.59</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5206500</v>
      </c>
      <c r="H501" s="42">
        <f>SUM(H499:H500)</f>
        <v>11067112.640000001</v>
      </c>
      <c r="I501" s="42">
        <f>SUM(I499:I500)</f>
        <v>0</v>
      </c>
      <c r="J501" s="42">
        <f>SUM(J499:J500)</f>
        <v>0</v>
      </c>
      <c r="K501" s="42">
        <f t="shared" si="35"/>
        <v>16273612.640000001</v>
      </c>
      <c r="L501" s="45" t="s">
        <v>288</v>
      </c>
      <c r="N501" s="265"/>
    </row>
    <row r="502" spans="1:14" s="52" customFormat="1" ht="12.2" customHeight="1" x14ac:dyDescent="0.2">
      <c r="A502" s="200" t="s">
        <v>651</v>
      </c>
      <c r="B502" s="201">
        <v>20</v>
      </c>
      <c r="C502" s="202">
        <v>12</v>
      </c>
      <c r="D502" s="203" t="s">
        <v>432</v>
      </c>
      <c r="E502" s="202"/>
      <c r="F502" s="204">
        <v>0</v>
      </c>
      <c r="G502" s="204">
        <v>1200000</v>
      </c>
      <c r="H502" s="204">
        <v>531024.86</v>
      </c>
      <c r="I502" s="204"/>
      <c r="J502" s="204"/>
      <c r="K502" s="205">
        <f t="shared" si="35"/>
        <v>1731024.8599999999</v>
      </c>
      <c r="L502" s="206" t="s">
        <v>288</v>
      </c>
      <c r="N502" s="265"/>
    </row>
    <row r="503" spans="1:14" s="52" customFormat="1" ht="12.2" customHeight="1" thickBot="1" x14ac:dyDescent="0.25">
      <c r="A503" s="22" t="s">
        <v>625</v>
      </c>
      <c r="B503" s="75">
        <v>20</v>
      </c>
      <c r="C503" s="115">
        <v>13</v>
      </c>
      <c r="D503" s="2" t="s">
        <v>432</v>
      </c>
      <c r="E503" s="115"/>
      <c r="F503" s="18">
        <v>0</v>
      </c>
      <c r="G503" s="18">
        <v>177000</v>
      </c>
      <c r="H503" s="18">
        <v>226103.94</v>
      </c>
      <c r="I503" s="18"/>
      <c r="J503" s="18"/>
      <c r="K503" s="53">
        <f t="shared" si="35"/>
        <v>403103.94</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1377000</v>
      </c>
      <c r="H504" s="42">
        <f>SUM(H502:H503)</f>
        <v>757128.8</v>
      </c>
      <c r="I504" s="42">
        <f>SUM(I502:I503)</f>
        <v>0</v>
      </c>
      <c r="J504" s="42">
        <f>SUM(J502:J503)</f>
        <v>0</v>
      </c>
      <c r="K504" s="42">
        <f t="shared" si="35"/>
        <v>2134128.7999999998</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F199+F278</f>
        <v>4504604.9400000004</v>
      </c>
      <c r="G522" s="18">
        <f t="shared" ref="G522:K522" si="36">G199+G278</f>
        <v>1979480.15</v>
      </c>
      <c r="H522" s="18">
        <f t="shared" si="36"/>
        <v>2002813.02</v>
      </c>
      <c r="I522" s="18">
        <f t="shared" si="36"/>
        <v>23252.639999999999</v>
      </c>
      <c r="J522" s="18">
        <f t="shared" si="36"/>
        <v>16440.830000000002</v>
      </c>
      <c r="K522" s="18">
        <f t="shared" si="36"/>
        <v>3760.99</v>
      </c>
      <c r="L522" s="88">
        <f>SUM(F522:K522)</f>
        <v>8530352.5700000003</v>
      </c>
      <c r="N522" s="265"/>
    </row>
    <row r="523" spans="1:14" s="52" customFormat="1" ht="12.2" customHeight="1" x14ac:dyDescent="0.2">
      <c r="A523" s="22" t="s">
        <v>634</v>
      </c>
      <c r="B523" s="105">
        <v>21</v>
      </c>
      <c r="C523" s="115">
        <v>2</v>
      </c>
      <c r="D523" s="2" t="s">
        <v>432</v>
      </c>
      <c r="E523" s="115"/>
      <c r="F523" s="18">
        <f>F217+F278</f>
        <v>2525724.34</v>
      </c>
      <c r="G523" s="18">
        <f t="shared" ref="G523:K523" si="37">G217+G278</f>
        <v>1117258.5899999999</v>
      </c>
      <c r="H523" s="18">
        <f t="shared" si="37"/>
        <v>1226403.6499999999</v>
      </c>
      <c r="I523" s="18">
        <f t="shared" si="37"/>
        <v>20825.41</v>
      </c>
      <c r="J523" s="18">
        <f t="shared" si="37"/>
        <v>7556.54</v>
      </c>
      <c r="K523" s="18">
        <f t="shared" si="37"/>
        <v>1895.48</v>
      </c>
      <c r="L523" s="88">
        <f>SUM(F523:K523)</f>
        <v>4899664.0100000007</v>
      </c>
      <c r="N523" s="265"/>
    </row>
    <row r="524" spans="1:14" s="52" customFormat="1" ht="12.2" customHeight="1" thickBot="1" x14ac:dyDescent="0.25">
      <c r="A524" s="22" t="s">
        <v>635</v>
      </c>
      <c r="B524" s="105">
        <v>21</v>
      </c>
      <c r="C524" s="115">
        <v>3</v>
      </c>
      <c r="D524" s="2" t="s">
        <v>432</v>
      </c>
      <c r="E524" s="115"/>
      <c r="F524" s="18"/>
      <c r="G524" s="18"/>
      <c r="H524" s="18">
        <f>H235+H316</f>
        <v>6367463.8799999999</v>
      </c>
      <c r="I524" s="18"/>
      <c r="J524" s="18"/>
      <c r="K524" s="18"/>
      <c r="L524" s="88">
        <f>SUM(F524:K524)</f>
        <v>6367463.8799999999</v>
      </c>
      <c r="N524" s="265"/>
    </row>
    <row r="525" spans="1:14" s="52" customFormat="1" ht="12.2" customHeight="1" thickTop="1" x14ac:dyDescent="0.2">
      <c r="A525" s="139" t="s">
        <v>63</v>
      </c>
      <c r="B525" s="107">
        <v>21</v>
      </c>
      <c r="C525" s="195">
        <v>4</v>
      </c>
      <c r="D525" s="196" t="s">
        <v>432</v>
      </c>
      <c r="E525" s="195"/>
      <c r="F525" s="108">
        <f>SUM(F522:F524)</f>
        <v>7030329.2800000003</v>
      </c>
      <c r="G525" s="108">
        <f t="shared" ref="G525:L525" si="38">SUM(G522:G524)</f>
        <v>3096738.7399999998</v>
      </c>
      <c r="H525" s="108">
        <f t="shared" si="38"/>
        <v>9596680.5500000007</v>
      </c>
      <c r="I525" s="108">
        <f t="shared" si="38"/>
        <v>44078.05</v>
      </c>
      <c r="J525" s="108">
        <f t="shared" si="38"/>
        <v>23997.370000000003</v>
      </c>
      <c r="K525" s="108">
        <f t="shared" si="38"/>
        <v>5656.4699999999993</v>
      </c>
      <c r="L525" s="89">
        <f t="shared" si="38"/>
        <v>19797480.460000001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95126*0.6649</f>
        <v>63249.277400000006</v>
      </c>
      <c r="G527" s="18">
        <v>59846.731200000002</v>
      </c>
      <c r="H527" s="18">
        <f>962110.33*0.4201</f>
        <v>404182.54963299993</v>
      </c>
      <c r="I527" s="18">
        <f>27455.04*0.6649</f>
        <v>18254.856096000003</v>
      </c>
      <c r="J527" s="18"/>
      <c r="K527" s="18"/>
      <c r="L527" s="88">
        <f>SUM(F527:K527)</f>
        <v>545533.41432899982</v>
      </c>
      <c r="M527" s="8"/>
      <c r="N527" s="266"/>
    </row>
    <row r="528" spans="1:14" s="3" customFormat="1" ht="12.2" customHeight="1" x14ac:dyDescent="0.15">
      <c r="A528" s="22" t="s">
        <v>634</v>
      </c>
      <c r="B528" s="105">
        <v>21</v>
      </c>
      <c r="C528" s="115">
        <v>6</v>
      </c>
      <c r="D528" s="2" t="s">
        <v>432</v>
      </c>
      <c r="E528" s="115"/>
      <c r="F528" s="18">
        <f>95126*0.3351</f>
        <v>31876.722600000001</v>
      </c>
      <c r="G528" s="18">
        <v>35148.081600000005</v>
      </c>
      <c r="H528" s="18">
        <f>962110.33*0.2374</f>
        <v>228404.99234199998</v>
      </c>
      <c r="I528" s="18">
        <f>27455.04*0.3351</f>
        <v>9200.1839040000013</v>
      </c>
      <c r="J528" s="18"/>
      <c r="K528" s="18"/>
      <c r="L528" s="88">
        <f>SUM(F528:K528)</f>
        <v>304629.980446</v>
      </c>
      <c r="M528" s="8"/>
      <c r="N528" s="266"/>
    </row>
    <row r="529" spans="1:14" s="3" customFormat="1" ht="12.2" customHeight="1" thickBot="1" x14ac:dyDescent="0.2">
      <c r="A529" s="22" t="s">
        <v>635</v>
      </c>
      <c r="B529" s="118">
        <v>21</v>
      </c>
      <c r="C529" s="118">
        <v>7</v>
      </c>
      <c r="D529" s="2" t="s">
        <v>432</v>
      </c>
      <c r="E529" s="118"/>
      <c r="F529" s="18"/>
      <c r="G529" s="18"/>
      <c r="H529" s="18">
        <f>962110.33*0.3425</f>
        <v>329522.78802500002</v>
      </c>
      <c r="I529" s="18"/>
      <c r="J529" s="18"/>
      <c r="K529" s="18"/>
      <c r="L529" s="88">
        <f>SUM(F529:K529)</f>
        <v>329522.78802500002</v>
      </c>
      <c r="M529" s="8"/>
      <c r="N529" s="266"/>
    </row>
    <row r="530" spans="1:14" s="3" customFormat="1" ht="12.2" customHeight="1" thickTop="1" x14ac:dyDescent="0.15">
      <c r="A530" s="139" t="s">
        <v>65</v>
      </c>
      <c r="B530" s="107">
        <v>21</v>
      </c>
      <c r="C530" s="107">
        <v>8</v>
      </c>
      <c r="D530" s="158" t="s">
        <v>432</v>
      </c>
      <c r="E530" s="107"/>
      <c r="F530" s="89">
        <f>SUM(F527:F529)</f>
        <v>95126</v>
      </c>
      <c r="G530" s="89">
        <f t="shared" ref="G530:L530" si="39">SUM(G527:G529)</f>
        <v>94994.812800000014</v>
      </c>
      <c r="H530" s="89">
        <f t="shared" si="39"/>
        <v>962110.33</v>
      </c>
      <c r="I530" s="89">
        <f t="shared" si="39"/>
        <v>27455.040000000005</v>
      </c>
      <c r="J530" s="89">
        <f t="shared" si="39"/>
        <v>0</v>
      </c>
      <c r="K530" s="89">
        <f t="shared" si="39"/>
        <v>0</v>
      </c>
      <c r="L530" s="89">
        <f t="shared" si="39"/>
        <v>1179686.1827999998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149923.58*1.03</f>
        <v>154421.2874</v>
      </c>
      <c r="G532" s="18">
        <f>88050.36*1.08</f>
        <v>95094.388800000001</v>
      </c>
      <c r="H532" s="18"/>
      <c r="I532" s="18"/>
      <c r="J532" s="18"/>
      <c r="K532" s="18"/>
      <c r="L532" s="88">
        <f>SUM(F532:K532)</f>
        <v>249515.67619999999</v>
      </c>
      <c r="M532" s="8"/>
      <c r="N532" s="266"/>
    </row>
    <row r="533" spans="1:14" s="3" customFormat="1" ht="12.2" customHeight="1" x14ac:dyDescent="0.15">
      <c r="A533" s="22" t="s">
        <v>634</v>
      </c>
      <c r="B533" s="105">
        <v>21</v>
      </c>
      <c r="C533" s="105">
        <v>10</v>
      </c>
      <c r="D533" s="2" t="s">
        <v>432</v>
      </c>
      <c r="E533" s="105"/>
      <c r="F533" s="18">
        <f>202917.59*1.03</f>
        <v>209005.1177</v>
      </c>
      <c r="G533" s="18">
        <f>224538.96*1.08</f>
        <v>242502.07680000001</v>
      </c>
      <c r="H533" s="18"/>
      <c r="I533" s="18"/>
      <c r="J533" s="18"/>
      <c r="K533" s="18"/>
      <c r="L533" s="88">
        <f>SUM(F533:K533)</f>
        <v>451507.19449999998</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363426.40509999997</v>
      </c>
      <c r="G535" s="89">
        <f t="shared" ref="G535:L535" si="40">SUM(G532:G534)</f>
        <v>337596.4656</v>
      </c>
      <c r="H535" s="89">
        <f t="shared" si="40"/>
        <v>0</v>
      </c>
      <c r="I535" s="89">
        <f t="shared" si="40"/>
        <v>0</v>
      </c>
      <c r="J535" s="89">
        <f t="shared" si="40"/>
        <v>0</v>
      </c>
      <c r="K535" s="89">
        <f t="shared" si="40"/>
        <v>0</v>
      </c>
      <c r="L535" s="89">
        <f t="shared" si="40"/>
        <v>701022.87069999997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f>101818.84*0.4201</f>
        <v>42774.094683999996</v>
      </c>
      <c r="I537" s="18"/>
      <c r="J537" s="18"/>
      <c r="K537" s="18"/>
      <c r="L537" s="88">
        <f>SUM(F537:K537)</f>
        <v>42774.094683999996</v>
      </c>
      <c r="M537" s="8"/>
      <c r="N537" s="266"/>
    </row>
    <row r="538" spans="1:14" s="3" customFormat="1" ht="12.2" customHeight="1" x14ac:dyDescent="0.15">
      <c r="A538" s="22" t="s">
        <v>634</v>
      </c>
      <c r="B538" s="105">
        <v>21</v>
      </c>
      <c r="C538" s="105">
        <v>14</v>
      </c>
      <c r="D538" s="2" t="s">
        <v>432</v>
      </c>
      <c r="E538" s="105"/>
      <c r="F538" s="18"/>
      <c r="G538" s="18"/>
      <c r="H538" s="18">
        <f>101818.84*0.2374</f>
        <v>24171.792615999999</v>
      </c>
      <c r="I538" s="18"/>
      <c r="J538" s="18"/>
      <c r="K538" s="18"/>
      <c r="L538" s="88">
        <f>SUM(F538:K538)</f>
        <v>24171.792615999999</v>
      </c>
      <c r="M538" s="8"/>
      <c r="N538" s="266"/>
    </row>
    <row r="539" spans="1:14" s="3" customFormat="1" ht="12.2" customHeight="1" thickBot="1" x14ac:dyDescent="0.2">
      <c r="A539" s="22" t="s">
        <v>635</v>
      </c>
      <c r="B539" s="105">
        <v>21</v>
      </c>
      <c r="C539" s="105">
        <v>15</v>
      </c>
      <c r="D539" s="2" t="s">
        <v>432</v>
      </c>
      <c r="E539" s="105"/>
      <c r="F539" s="18"/>
      <c r="G539" s="18"/>
      <c r="H539" s="18">
        <f>101818.84*0.3425</f>
        <v>34872.952700000002</v>
      </c>
      <c r="I539" s="18"/>
      <c r="J539" s="18"/>
      <c r="K539" s="18"/>
      <c r="L539" s="88">
        <f>SUM(F539:K539)</f>
        <v>34872.952700000002</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101818.84</v>
      </c>
      <c r="I540" s="89">
        <f t="shared" si="41"/>
        <v>0</v>
      </c>
      <c r="J540" s="89">
        <f t="shared" si="41"/>
        <v>0</v>
      </c>
      <c r="K540" s="89">
        <f t="shared" si="41"/>
        <v>0</v>
      </c>
      <c r="L540" s="89">
        <f t="shared" si="41"/>
        <v>101818.84</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150149.42+48811.14+92194.8+472731.6</f>
        <v>763886.96</v>
      </c>
      <c r="I542" s="18"/>
      <c r="J542" s="18"/>
      <c r="K542" s="18"/>
      <c r="L542" s="88">
        <f>SUM(F542:K542)</f>
        <v>763886.96</v>
      </c>
      <c r="M542" s="8"/>
      <c r="N542" s="266"/>
    </row>
    <row r="543" spans="1:14" s="3" customFormat="1" ht="12.2" customHeight="1" x14ac:dyDescent="0.15">
      <c r="A543" s="22" t="s">
        <v>634</v>
      </c>
      <c r="B543" s="105">
        <v>21</v>
      </c>
      <c r="C543" s="105">
        <v>18</v>
      </c>
      <c r="D543" s="2" t="s">
        <v>432</v>
      </c>
      <c r="E543" s="105"/>
      <c r="F543" s="18"/>
      <c r="G543" s="18"/>
      <c r="H543" s="18">
        <v>118448.1</v>
      </c>
      <c r="I543" s="18"/>
      <c r="J543" s="18"/>
      <c r="K543" s="18"/>
      <c r="L543" s="88">
        <f>SUM(F543:K543)</f>
        <v>118448.1</v>
      </c>
      <c r="M543" s="8"/>
      <c r="N543" s="266"/>
    </row>
    <row r="544" spans="1:14" s="3" customFormat="1" ht="12.2" customHeight="1" thickBot="1" x14ac:dyDescent="0.2">
      <c r="A544" s="22" t="s">
        <v>635</v>
      </c>
      <c r="B544" s="105">
        <v>21</v>
      </c>
      <c r="C544" s="105">
        <v>19</v>
      </c>
      <c r="D544" s="2" t="s">
        <v>432</v>
      </c>
      <c r="E544" s="105"/>
      <c r="F544" s="18"/>
      <c r="G544" s="18"/>
      <c r="H544" s="18">
        <f>124458.6+23208.44</f>
        <v>147667.04</v>
      </c>
      <c r="I544" s="18"/>
      <c r="J544" s="18"/>
      <c r="K544" s="18"/>
      <c r="L544" s="88">
        <f>SUM(F544:K544)</f>
        <v>147667.04</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2">SUM(G542:G544)</f>
        <v>0</v>
      </c>
      <c r="H545" s="193">
        <f t="shared" si="42"/>
        <v>1030002.1</v>
      </c>
      <c r="I545" s="193">
        <f t="shared" si="42"/>
        <v>0</v>
      </c>
      <c r="J545" s="193">
        <f t="shared" si="42"/>
        <v>0</v>
      </c>
      <c r="K545" s="193">
        <f t="shared" si="42"/>
        <v>0</v>
      </c>
      <c r="L545" s="193">
        <f t="shared" si="42"/>
        <v>1030002.1</v>
      </c>
      <c r="M545" s="8"/>
      <c r="N545" s="266"/>
    </row>
    <row r="546" spans="1:14" s="3" customFormat="1" ht="12.2" customHeight="1" thickTop="1" x14ac:dyDescent="0.15">
      <c r="A546" s="98" t="s">
        <v>72</v>
      </c>
      <c r="B546" s="107">
        <v>21</v>
      </c>
      <c r="C546" s="107">
        <v>21</v>
      </c>
      <c r="D546" s="158" t="s">
        <v>432</v>
      </c>
      <c r="E546" s="107"/>
      <c r="F546" s="89">
        <f>F525+F530+F535+F540+F545</f>
        <v>7488881.6851000004</v>
      </c>
      <c r="G546" s="89">
        <f t="shared" ref="G546:L546" si="43">G525+G530+G535+G540+G545</f>
        <v>3529330.0183999995</v>
      </c>
      <c r="H546" s="89">
        <f t="shared" si="43"/>
        <v>11690611.82</v>
      </c>
      <c r="I546" s="89">
        <f t="shared" si="43"/>
        <v>71533.090000000011</v>
      </c>
      <c r="J546" s="89">
        <f t="shared" si="43"/>
        <v>23997.370000000003</v>
      </c>
      <c r="K546" s="89">
        <f t="shared" si="43"/>
        <v>5656.4699999999993</v>
      </c>
      <c r="L546" s="89">
        <f t="shared" si="43"/>
        <v>22810010.453500003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8530352.5700000003</v>
      </c>
      <c r="G550" s="87">
        <f>L527</f>
        <v>545533.41432899982</v>
      </c>
      <c r="H550" s="87">
        <f>L532</f>
        <v>249515.67619999999</v>
      </c>
      <c r="I550" s="87">
        <f>L537</f>
        <v>42774.094683999996</v>
      </c>
      <c r="J550" s="87">
        <f>L542</f>
        <v>763886.96</v>
      </c>
      <c r="K550" s="87">
        <f>SUM(F550:J550)</f>
        <v>10132062.715213001</v>
      </c>
      <c r="L550" s="24" t="s">
        <v>288</v>
      </c>
      <c r="M550" s="8"/>
      <c r="N550" s="266"/>
    </row>
    <row r="551" spans="1:14" s="3" customFormat="1" ht="12.2" customHeight="1" x14ac:dyDescent="0.15">
      <c r="A551" s="22" t="s">
        <v>634</v>
      </c>
      <c r="B551" s="75">
        <v>21</v>
      </c>
      <c r="C551" s="75">
        <v>23</v>
      </c>
      <c r="D551" s="2" t="s">
        <v>432</v>
      </c>
      <c r="E551" s="75"/>
      <c r="F551" s="87">
        <f>L523</f>
        <v>4899664.0100000007</v>
      </c>
      <c r="G551" s="87">
        <f>L528</f>
        <v>304629.980446</v>
      </c>
      <c r="H551" s="87">
        <f>L533</f>
        <v>451507.19449999998</v>
      </c>
      <c r="I551" s="87">
        <f>L538</f>
        <v>24171.792615999999</v>
      </c>
      <c r="J551" s="87">
        <f>L543</f>
        <v>118448.1</v>
      </c>
      <c r="K551" s="87">
        <f>SUM(F551:J551)</f>
        <v>5798421.0775620006</v>
      </c>
      <c r="L551" s="24" t="s">
        <v>288</v>
      </c>
      <c r="M551" s="8"/>
      <c r="N551" s="266"/>
    </row>
    <row r="552" spans="1:14" s="3" customFormat="1" ht="12.2" customHeight="1" thickBot="1" x14ac:dyDescent="0.2">
      <c r="A552" s="22" t="s">
        <v>635</v>
      </c>
      <c r="B552" s="75">
        <v>21</v>
      </c>
      <c r="C552" s="75">
        <v>24</v>
      </c>
      <c r="D552" s="2" t="s">
        <v>432</v>
      </c>
      <c r="E552" s="75"/>
      <c r="F552" s="87">
        <f>L524</f>
        <v>6367463.8799999999</v>
      </c>
      <c r="G552" s="87">
        <f>L529</f>
        <v>329522.78802500002</v>
      </c>
      <c r="H552" s="87">
        <f>L534</f>
        <v>0</v>
      </c>
      <c r="I552" s="87">
        <f>L539</f>
        <v>34872.952700000002</v>
      </c>
      <c r="J552" s="87">
        <f>L544</f>
        <v>147667.04</v>
      </c>
      <c r="K552" s="87">
        <f>SUM(F552:J552)</f>
        <v>6879526.6607250003</v>
      </c>
      <c r="L552" s="24" t="s">
        <v>288</v>
      </c>
      <c r="M552" s="8"/>
      <c r="N552" s="266"/>
    </row>
    <row r="553" spans="1:14" s="3" customFormat="1" ht="12.2" customHeight="1" thickTop="1" x14ac:dyDescent="0.15">
      <c r="A553" s="172" t="s">
        <v>340</v>
      </c>
      <c r="B553" s="44">
        <v>21</v>
      </c>
      <c r="C553" s="44">
        <v>25</v>
      </c>
      <c r="D553" s="39" t="s">
        <v>432</v>
      </c>
      <c r="E553" s="44"/>
      <c r="F553" s="89">
        <f t="shared" ref="F553:K553" si="44">SUM(F550:F552)</f>
        <v>19797480.460000001</v>
      </c>
      <c r="G553" s="89">
        <f t="shared" si="44"/>
        <v>1179686.1827999998</v>
      </c>
      <c r="H553" s="89">
        <f t="shared" si="44"/>
        <v>701022.87069999997</v>
      </c>
      <c r="I553" s="89">
        <f t="shared" si="44"/>
        <v>101818.84</v>
      </c>
      <c r="J553" s="89">
        <f t="shared" si="44"/>
        <v>1030002.1</v>
      </c>
      <c r="K553" s="89">
        <f t="shared" si="44"/>
        <v>22810010.453500003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164973.39000000001</v>
      </c>
      <c r="G563" s="18">
        <v>52765.23</v>
      </c>
      <c r="H563" s="18">
        <v>476.73</v>
      </c>
      <c r="I563" s="18">
        <v>555.44000000000005</v>
      </c>
      <c r="J563" s="18"/>
      <c r="K563" s="18"/>
      <c r="L563" s="88">
        <f>SUM(F563:K563)</f>
        <v>218770.79000000004</v>
      </c>
      <c r="M563" s="8"/>
      <c r="N563" s="266"/>
    </row>
    <row r="564" spans="1:14" s="3" customFormat="1" ht="12.2" customHeight="1" x14ac:dyDescent="0.15">
      <c r="A564" s="22" t="s">
        <v>634</v>
      </c>
      <c r="B564" s="105">
        <v>22</v>
      </c>
      <c r="C564" s="115">
        <v>6</v>
      </c>
      <c r="D564" s="2" t="s">
        <v>432</v>
      </c>
      <c r="E564" s="115"/>
      <c r="F564" s="18">
        <v>83144.210000000006</v>
      </c>
      <c r="G564" s="18">
        <v>26592.91</v>
      </c>
      <c r="H564" s="18">
        <v>240.27</v>
      </c>
      <c r="I564" s="18">
        <v>279.94</v>
      </c>
      <c r="J564" s="18"/>
      <c r="K564" s="18"/>
      <c r="L564" s="88">
        <f>SUM(F564:K564)</f>
        <v>110257.33000000002</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6">SUM(F563:F565)</f>
        <v>248117.60000000003</v>
      </c>
      <c r="G566" s="89">
        <f t="shared" si="46"/>
        <v>79358.14</v>
      </c>
      <c r="H566" s="89">
        <f t="shared" si="46"/>
        <v>717</v>
      </c>
      <c r="I566" s="89">
        <f t="shared" si="46"/>
        <v>835.38000000000011</v>
      </c>
      <c r="J566" s="89">
        <f t="shared" si="46"/>
        <v>0</v>
      </c>
      <c r="K566" s="89">
        <f t="shared" si="46"/>
        <v>0</v>
      </c>
      <c r="L566" s="89">
        <f t="shared" si="46"/>
        <v>329028.12000000005</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351461</v>
      </c>
      <c r="G568" s="18">
        <v>165254.43</v>
      </c>
      <c r="H568" s="18"/>
      <c r="I568" s="18">
        <v>216.05</v>
      </c>
      <c r="J568" s="18"/>
      <c r="K568" s="18"/>
      <c r="L568" s="88">
        <f>SUM(F568:K568)</f>
        <v>516931.48</v>
      </c>
      <c r="M568" s="8"/>
      <c r="N568" s="266"/>
    </row>
    <row r="569" spans="1:14" s="3" customFormat="1" ht="12.2" customHeight="1" x14ac:dyDescent="0.15">
      <c r="A569" s="22" t="s">
        <v>634</v>
      </c>
      <c r="B569" s="105">
        <v>22</v>
      </c>
      <c r="C569" s="105">
        <v>10</v>
      </c>
      <c r="D569" s="2" t="s">
        <v>432</v>
      </c>
      <c r="E569" s="105"/>
      <c r="F569" s="18">
        <v>277606</v>
      </c>
      <c r="G569" s="18">
        <v>162198.94</v>
      </c>
      <c r="H569" s="18"/>
      <c r="I569" s="18"/>
      <c r="J569" s="18"/>
      <c r="K569" s="18"/>
      <c r="L569" s="88">
        <f>SUM(F569:K569)</f>
        <v>439804.94</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629067</v>
      </c>
      <c r="G571" s="193">
        <f t="shared" ref="G571:L571" si="47">SUM(G568:G570)</f>
        <v>327453.37</v>
      </c>
      <c r="H571" s="193">
        <f t="shared" si="47"/>
        <v>0</v>
      </c>
      <c r="I571" s="193">
        <f t="shared" si="47"/>
        <v>216.05</v>
      </c>
      <c r="J571" s="193">
        <f t="shared" si="47"/>
        <v>0</v>
      </c>
      <c r="K571" s="193">
        <f t="shared" si="47"/>
        <v>0</v>
      </c>
      <c r="L571" s="193">
        <f t="shared" si="47"/>
        <v>956736.41999999993</v>
      </c>
      <c r="M571" s="8"/>
      <c r="N571" s="266"/>
    </row>
    <row r="572" spans="1:14" s="3" customFormat="1" ht="12.2" customHeight="1" thickTop="1" x14ac:dyDescent="0.15">
      <c r="A572" s="98" t="s">
        <v>88</v>
      </c>
      <c r="B572" s="107">
        <v>22</v>
      </c>
      <c r="C572" s="107">
        <v>13</v>
      </c>
      <c r="D572" s="158" t="s">
        <v>432</v>
      </c>
      <c r="E572" s="107"/>
      <c r="F572" s="89">
        <f>F561+F566+F571</f>
        <v>877184.60000000009</v>
      </c>
      <c r="G572" s="89">
        <f t="shared" ref="G572:L572" si="48">G561+G566+G571</f>
        <v>406811.51</v>
      </c>
      <c r="H572" s="89">
        <f t="shared" si="48"/>
        <v>717</v>
      </c>
      <c r="I572" s="89">
        <f t="shared" si="48"/>
        <v>1051.43</v>
      </c>
      <c r="J572" s="89">
        <f t="shared" si="48"/>
        <v>0</v>
      </c>
      <c r="K572" s="89">
        <f t="shared" si="48"/>
        <v>0</v>
      </c>
      <c r="L572" s="89">
        <f t="shared" si="48"/>
        <v>1285764.54</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20482262.809999999</v>
      </c>
      <c r="I578" s="87">
        <f t="shared" si="49"/>
        <v>20482262.809999999</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9"/>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4591376.1900000004</v>
      </c>
      <c r="I582" s="87">
        <f t="shared" si="49"/>
        <v>4591376.1900000004</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798863.94</v>
      </c>
      <c r="G583" s="18">
        <v>287126.27</v>
      </c>
      <c r="H583" s="18">
        <v>1776087.69</v>
      </c>
      <c r="I583" s="87">
        <f t="shared" si="49"/>
        <v>2862077.9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9"/>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625700.12</v>
      </c>
      <c r="I592" s="18">
        <v>455939.64</v>
      </c>
      <c r="J592" s="18">
        <v>445399.89</v>
      </c>
      <c r="K592" s="104">
        <f t="shared" ref="K592:K598" si="50">SUM(H592:J592)</f>
        <v>1527039.65</v>
      </c>
      <c r="L592" s="24" t="s">
        <v>288</v>
      </c>
      <c r="M592" s="8"/>
      <c r="N592" s="266"/>
    </row>
    <row r="593" spans="1:14" s="3" customFormat="1" ht="12.2" customHeight="1" x14ac:dyDescent="0.15">
      <c r="A593" s="3" t="s">
        <v>638</v>
      </c>
      <c r="B593" s="75">
        <v>23</v>
      </c>
      <c r="C593" s="75">
        <v>2</v>
      </c>
      <c r="D593" s="2" t="s">
        <v>432</v>
      </c>
      <c r="E593" s="75"/>
      <c r="F593" s="102">
        <v>2722</v>
      </c>
      <c r="G593" s="103" t="s">
        <v>97</v>
      </c>
      <c r="H593" s="18">
        <v>468290.62</v>
      </c>
      <c r="I593" s="18">
        <v>257706.47</v>
      </c>
      <c r="J593" s="18">
        <v>304005.01</v>
      </c>
      <c r="K593" s="104">
        <f t="shared" si="50"/>
        <v>1030002.1</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50"/>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50"/>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7138.74</v>
      </c>
      <c r="I596" s="18">
        <v>19614.32</v>
      </c>
      <c r="J596" s="18"/>
      <c r="K596" s="104">
        <f t="shared" si="50"/>
        <v>26753.059999999998</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1101129.48</v>
      </c>
      <c r="I599" s="108">
        <f>SUM(I592:I598)</f>
        <v>733260.42999999993</v>
      </c>
      <c r="J599" s="108">
        <f>SUM(J592:J598)</f>
        <v>749404.9</v>
      </c>
      <c r="K599" s="108">
        <f>SUM(K592:K598)</f>
        <v>2583794.81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212869.31</v>
      </c>
      <c r="I605" s="18">
        <v>119961.13</v>
      </c>
      <c r="J605" s="18"/>
      <c r="K605" s="104">
        <f>SUM(H605:J605)</f>
        <v>332830.44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212869.31</v>
      </c>
      <c r="I606" s="108">
        <f>SUM(I603:I605)</f>
        <v>119961.13</v>
      </c>
      <c r="J606" s="108">
        <f>SUM(J603:J605)</f>
        <v>0</v>
      </c>
      <c r="K606" s="108">
        <f>SUM(K603:K605)</f>
        <v>332830.44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5187177.0799999991</v>
      </c>
      <c r="H618" s="109">
        <f>SUM(F52)</f>
        <v>5187177.08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56204.78</v>
      </c>
      <c r="H619" s="109">
        <f>SUM(G52)</f>
        <v>56204.780000000006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1642970.28</v>
      </c>
      <c r="H620" s="109">
        <f>SUM(H52)</f>
        <v>1642970.28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194336.78</v>
      </c>
      <c r="H622" s="109">
        <f>SUM(J52)</f>
        <v>194336.78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5057246</v>
      </c>
      <c r="H623" s="109">
        <f>F477</f>
        <v>5057246</v>
      </c>
      <c r="I623" s="121" t="s">
        <v>101</v>
      </c>
      <c r="J623" s="109">
        <f t="shared" ref="J623:J656" si="52">G623-H623</f>
        <v>0</v>
      </c>
      <c r="K623" s="109"/>
      <c r="L623" s="109"/>
      <c r="M623" s="8"/>
    </row>
    <row r="624" spans="1:14" s="3" customFormat="1" ht="12.2" customHeight="1" x14ac:dyDescent="0.15">
      <c r="A624" s="97"/>
      <c r="B624" s="105"/>
      <c r="C624" s="119"/>
      <c r="D624" s="119"/>
      <c r="E624" s="119"/>
      <c r="F624" s="119" t="s">
        <v>866</v>
      </c>
      <c r="G624" s="109">
        <f>G51</f>
        <v>1954.1900000000023</v>
      </c>
      <c r="H624" s="109">
        <f>G477</f>
        <v>1954.1899999999441</v>
      </c>
      <c r="I624" s="121" t="s">
        <v>102</v>
      </c>
      <c r="J624" s="109">
        <f t="shared" si="52"/>
        <v>5.8207660913467407E-11</v>
      </c>
      <c r="K624" s="109"/>
      <c r="L624" s="109"/>
      <c r="M624" s="8"/>
    </row>
    <row r="625" spans="1:13" s="3" customFormat="1" ht="12.2" customHeight="1" x14ac:dyDescent="0.15">
      <c r="A625" s="97"/>
      <c r="B625" s="105"/>
      <c r="C625" s="105"/>
      <c r="D625" s="105"/>
      <c r="E625" s="105"/>
      <c r="F625" s="120" t="s">
        <v>867</v>
      </c>
      <c r="G625" s="109">
        <f>H51</f>
        <v>19949.21</v>
      </c>
      <c r="H625" s="109">
        <f>H477</f>
        <v>19949.209999999963</v>
      </c>
      <c r="I625" s="121" t="s">
        <v>103</v>
      </c>
      <c r="J625" s="109">
        <f t="shared" si="52"/>
        <v>3.637978807091713E-11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194336.78</v>
      </c>
      <c r="H627" s="109">
        <f>J477</f>
        <v>194336.78</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82252873.429999992</v>
      </c>
      <c r="H628" s="104">
        <f>SUM(F469)</f>
        <v>82252873.430000007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1148198.9300000002</v>
      </c>
      <c r="H629" s="104">
        <f>SUM(G469)</f>
        <v>1148198.93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2990997.4</v>
      </c>
      <c r="H630" s="104">
        <f>SUM(H469)</f>
        <v>2990997.4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3792.16</v>
      </c>
      <c r="H632" s="104">
        <f>SUM(J469)</f>
        <v>3792.16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81147186.430000007</v>
      </c>
      <c r="H633" s="104">
        <f>SUM(F473)</f>
        <v>81147186.430000007</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2990997.1899999995</v>
      </c>
      <c r="H634" s="104">
        <f>SUM(H473)</f>
        <v>2990997.19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456392.77</v>
      </c>
      <c r="H635" s="104">
        <f>I370</f>
        <v>456392.77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1367291.74</v>
      </c>
      <c r="H636" s="104">
        <f>SUM(G473)</f>
        <v>1367291.74</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3792.16</v>
      </c>
      <c r="H638" s="164">
        <f>SUM(J469)</f>
        <v>3792.16</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194336.78</v>
      </c>
      <c r="H640" s="104">
        <f>SUM(F462)</f>
        <v>194336.78</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194336.78</v>
      </c>
      <c r="H643" s="104">
        <f>SUM(I462)</f>
        <v>194336.78</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3792.16</v>
      </c>
      <c r="H645" s="104">
        <f>H409</f>
        <v>3792.16</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3792.16</v>
      </c>
      <c r="H647" s="104">
        <f>L409</f>
        <v>3792.16</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2583794.81</v>
      </c>
      <c r="H648" s="104">
        <f>L209+L227+L245</f>
        <v>2583794.81</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332830.44</v>
      </c>
      <c r="H649" s="104">
        <f>(J258+J339)-(J256+J337)</f>
        <v>332830.44</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1101129.48</v>
      </c>
      <c r="H650" s="104">
        <f>H599</f>
        <v>1101129.48</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733260.43</v>
      </c>
      <c r="H651" s="104">
        <f>I599</f>
        <v>733260.42999999993</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749404.9</v>
      </c>
      <c r="H652" s="104">
        <f>J599</f>
        <v>749404.9</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35138598.360000007</v>
      </c>
      <c r="G661" s="19">
        <f>(L230+L310+L360)</f>
        <v>19557384.610000003</v>
      </c>
      <c r="H661" s="19">
        <f>(L248+L329+L361)</f>
        <v>28475343.289999999</v>
      </c>
      <c r="I661" s="19">
        <f>SUM(F661:H661)</f>
        <v>83171326.26000002</v>
      </c>
      <c r="J661" s="13"/>
      <c r="K661" s="13"/>
      <c r="L661" s="13"/>
      <c r="M661" s="9"/>
    </row>
    <row r="662" spans="1:13" s="3" customFormat="1" ht="12.2" customHeight="1" x14ac:dyDescent="0.2">
      <c r="A662" s="1" t="s">
        <v>127</v>
      </c>
      <c r="F662" s="19">
        <f>(L359/IF(SUM(L359:L361)=0,1,SUM(L359:L361))*(SUM(G97:G110)))</f>
        <v>356738.41293383046</v>
      </c>
      <c r="G662" s="19">
        <f>(L360/IF(SUM(L359:L361)=0,1,SUM(L359:L361))*(SUM(G97:G110)))</f>
        <v>179791.19706616949</v>
      </c>
      <c r="H662" s="19">
        <f>(L361/IF(SUM(L359:L361)=0,1,SUM(L359:L361))*(SUM(G97:G110)))</f>
        <v>0</v>
      </c>
      <c r="I662" s="19">
        <f>SUM(F662:H662)</f>
        <v>536529.61</v>
      </c>
      <c r="J662"/>
      <c r="K662" s="13"/>
      <c r="L662" s="13"/>
      <c r="M662" s="8"/>
    </row>
    <row r="663" spans="1:13" s="3" customFormat="1" ht="12.2" customHeight="1" x14ac:dyDescent="0.2">
      <c r="A663" s="1" t="s">
        <v>128</v>
      </c>
      <c r="F663" s="19">
        <f>(L209+L288)-(J209+J288)</f>
        <v>1103900.1199999999</v>
      </c>
      <c r="G663" s="19">
        <f>(L227+L307)-(J227+J307)</f>
        <v>734656.79</v>
      </c>
      <c r="H663" s="19">
        <f>(L245+L326)-(J245+J326)</f>
        <v>749404.9</v>
      </c>
      <c r="I663" s="19">
        <f>SUM(F663:H663)</f>
        <v>2587961.81</v>
      </c>
      <c r="J663"/>
      <c r="K663" s="13"/>
      <c r="L663" s="13"/>
      <c r="M663" s="9"/>
    </row>
    <row r="664" spans="1:13" s="3" customFormat="1" ht="12.2" customHeight="1" x14ac:dyDescent="0.15">
      <c r="A664" s="198" t="s">
        <v>129</v>
      </c>
      <c r="B664" s="169"/>
      <c r="C664" s="169"/>
      <c r="D664" s="169"/>
      <c r="E664" s="169"/>
      <c r="F664" s="199">
        <f>SUM(F576:F588)+SUM(H603:H605)+SUM(L612)</f>
        <v>1011733.25</v>
      </c>
      <c r="G664" s="199">
        <f>SUM(G576:G588)+SUM(I603:I605)+L613</f>
        <v>407087.4</v>
      </c>
      <c r="H664" s="199">
        <f>SUM(H576:H588)+SUM(J603:J605)+L614</f>
        <v>26849726.690000001</v>
      </c>
      <c r="I664" s="19">
        <f>SUM(F664:H664)</f>
        <v>28268547.34</v>
      </c>
      <c r="J664" s="13"/>
      <c r="K664" s="13"/>
      <c r="L664" s="13"/>
      <c r="M664" s="9"/>
    </row>
    <row r="665" spans="1:13" s="3" customFormat="1" ht="12.2" customHeight="1" x14ac:dyDescent="0.15">
      <c r="A665" s="1" t="s">
        <v>130</v>
      </c>
      <c r="F665" s="19">
        <f>F661-SUM(F662:F664)</f>
        <v>32666226.577066176</v>
      </c>
      <c r="G665" s="19">
        <f>G661-SUM(G662:G664)</f>
        <v>18235849.222933833</v>
      </c>
      <c r="H665" s="19">
        <f>H661-SUM(H662:H664)</f>
        <v>876211.69999999925</v>
      </c>
      <c r="I665" s="19">
        <f>I661-SUM(I662:I664)</f>
        <v>51778287.500000022</v>
      </c>
      <c r="J665" s="13"/>
      <c r="K665" s="13"/>
      <c r="L665" s="13"/>
      <c r="M665" s="8"/>
    </row>
    <row r="666" spans="1:13" s="3" customFormat="1" ht="12.2" customHeight="1" x14ac:dyDescent="0.2">
      <c r="A666" s="1" t="s">
        <v>131</v>
      </c>
      <c r="F666" s="246">
        <f>31.49+209.55+1710.5</f>
        <v>1951.54</v>
      </c>
      <c r="G666" s="247">
        <v>1205.8699999999999</v>
      </c>
      <c r="H666" s="247"/>
      <c r="I666" s="19">
        <f>SUM(F666:H666)</f>
        <v>3157.41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16738.689999999999</v>
      </c>
      <c r="G668" s="19">
        <f>ROUND(G665/G666,2)</f>
        <v>15122.57</v>
      </c>
      <c r="H668" s="19" t="e">
        <f>ROUND(H665/H666,2)</f>
        <v>#DIV/0!</v>
      </c>
      <c r="I668" s="19">
        <f>ROUND(I665/I666,2)</f>
        <v>16398.97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-876211.7</v>
      </c>
      <c r="I670" s="19">
        <f>SUM(F670:H670)</f>
        <v>-876211.7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16738.689999999999</v>
      </c>
      <c r="G673" s="19">
        <f>ROUND((G665+G670)/(G666+G671),2)</f>
        <v>15122.57</v>
      </c>
      <c r="H673" s="19" t="e">
        <f>ROUND((H665+H670)/(H666+H671),2)</f>
        <v>#DIV/0!</v>
      </c>
      <c r="I673" s="19">
        <f>ROUND((I665+I670)/(I666+I671),2)</f>
        <v>16121.47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Derry Coop</v>
      </c>
      <c r="C5" s="344"/>
      <c r="D5" s="344"/>
      <c r="E5" s="344"/>
      <c r="F5" s="344"/>
    </row>
    <row r="8" spans="1:9" ht="18" x14ac:dyDescent="0.25">
      <c r="A8" s="323" t="s">
        <v>1591</v>
      </c>
      <c r="F8" s="330" t="s">
        <v>1609</v>
      </c>
    </row>
    <row r="9" spans="1:9" ht="15" x14ac:dyDescent="0.2">
      <c r="A9" s="321" t="s">
        <v>1592</v>
      </c>
      <c r="B9" s="324">
        <f>'DOE25'!G97</f>
        <v>534067.28</v>
      </c>
      <c r="F9" s="321" t="s">
        <v>1605</v>
      </c>
    </row>
    <row r="10" spans="1:9" ht="15" x14ac:dyDescent="0.2">
      <c r="A10" s="321" t="s">
        <v>1593</v>
      </c>
      <c r="B10" s="324">
        <f>'DOE25'!G112-'DOE25'!G97</f>
        <v>2462.3299999999581</v>
      </c>
      <c r="F10" s="321" t="s">
        <v>1606</v>
      </c>
    </row>
    <row r="11" spans="1:9" ht="15" x14ac:dyDescent="0.2">
      <c r="A11" s="321" t="s">
        <v>1594</v>
      </c>
      <c r="B11" s="324">
        <f>'DOE25'!G140</f>
        <v>12757.67</v>
      </c>
      <c r="F11" s="321" t="s">
        <v>1607</v>
      </c>
    </row>
    <row r="12" spans="1:9" ht="15" x14ac:dyDescent="0.2">
      <c r="A12" s="321" t="s">
        <v>1595</v>
      </c>
      <c r="B12" s="324">
        <f>'DOE25'!G170</f>
        <v>598911.65</v>
      </c>
      <c r="F12" s="321" t="s">
        <v>1608</v>
      </c>
    </row>
    <row r="13" spans="1:9" ht="15" x14ac:dyDescent="0.2">
      <c r="A13" s="321" t="s">
        <v>1596</v>
      </c>
      <c r="B13" s="324">
        <f>'DOE25'!G193-'DOE25'!G180</f>
        <v>0</v>
      </c>
      <c r="F13" s="321" t="s">
        <v>1618</v>
      </c>
    </row>
    <row r="14" spans="1:9" ht="18" x14ac:dyDescent="0.25">
      <c r="A14" s="323" t="s">
        <v>732</v>
      </c>
      <c r="B14" s="325">
        <f>SUM(B9:B13)</f>
        <v>1148198.9300000002</v>
      </c>
    </row>
    <row r="16" spans="1:9" ht="18" x14ac:dyDescent="0.25">
      <c r="A16" s="323" t="s">
        <v>786</v>
      </c>
      <c r="F16" s="330" t="s">
        <v>1610</v>
      </c>
    </row>
    <row r="17" spans="1:6" ht="15" x14ac:dyDescent="0.2">
      <c r="A17" s="321" t="s">
        <v>1597</v>
      </c>
      <c r="B17" s="324">
        <f>'DOE25'!L363-'DOE25'!L362</f>
        <v>1367291.74</v>
      </c>
      <c r="F17" s="321" t="s">
        <v>1611</v>
      </c>
    </row>
    <row r="18" spans="1:6" ht="15" x14ac:dyDescent="0.2">
      <c r="A18" s="321" t="s">
        <v>1598</v>
      </c>
      <c r="B18" s="338"/>
      <c r="F18" s="330" t="s">
        <v>1637</v>
      </c>
    </row>
    <row r="19" spans="1:6" ht="18" x14ac:dyDescent="0.25">
      <c r="A19" s="323" t="s">
        <v>725</v>
      </c>
      <c r="B19" s="325">
        <f>SUM(B17:B18)</f>
        <v>1367291.74</v>
      </c>
    </row>
    <row r="21" spans="1:6" ht="18.75" thickBot="1" x14ac:dyDescent="0.3">
      <c r="A21" s="323" t="s">
        <v>1599</v>
      </c>
    </row>
    <row r="22" spans="1:6" ht="18.75" thickTop="1" x14ac:dyDescent="0.25">
      <c r="A22" s="323" t="s">
        <v>1600</v>
      </c>
      <c r="B22" s="329">
        <f>B14-B19</f>
        <v>-219092.80999999982</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221047</v>
      </c>
      <c r="F31" s="321" t="s">
        <v>1615</v>
      </c>
    </row>
    <row r="33" spans="1:6" ht="15" x14ac:dyDescent="0.2">
      <c r="A33" s="321" t="s">
        <v>1641</v>
      </c>
      <c r="B33" s="324">
        <f>'DOE25'!G477</f>
        <v>1954.1899999999441</v>
      </c>
      <c r="F33" s="321" t="s">
        <v>1616</v>
      </c>
    </row>
    <row r="36" spans="1:6" ht="15" x14ac:dyDescent="0.2">
      <c r="A36" s="321" t="s">
        <v>1602</v>
      </c>
      <c r="B36" s="341">
        <v>67568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 workbookViewId="0">
      <selection activeCell="I33" sqref="I3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Derry Coop</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12245291.700000001</v>
      </c>
      <c r="C9" s="229">
        <f>'DOE25'!G198+'DOE25'!G216+'DOE25'!G234+'DOE25'!G277+'DOE25'!G296+'DOE25'!G315</f>
        <v>7276628.9000000004</v>
      </c>
    </row>
    <row r="10" spans="1:3" x14ac:dyDescent="0.2">
      <c r="A10" t="s">
        <v>775</v>
      </c>
      <c r="B10" s="240">
        <v>11680515.460000001</v>
      </c>
      <c r="C10" s="240">
        <v>6956971.6699999999</v>
      </c>
    </row>
    <row r="11" spans="1:3" x14ac:dyDescent="0.2">
      <c r="A11" t="s">
        <v>776</v>
      </c>
      <c r="B11" s="240">
        <v>277851.74</v>
      </c>
      <c r="C11" s="240">
        <v>157261.07</v>
      </c>
    </row>
    <row r="12" spans="1:3" x14ac:dyDescent="0.2">
      <c r="A12" t="s">
        <v>777</v>
      </c>
      <c r="B12" s="240">
        <v>286924.5</v>
      </c>
      <c r="C12" s="240">
        <v>162396.16</v>
      </c>
    </row>
    <row r="13" spans="1:3" x14ac:dyDescent="0.2">
      <c r="A13" t="str">
        <f>IF(B9=B13,IF(C9=C13,"Check Total OK","Check Total Error"),"Check Total Error")</f>
        <v>Check Total OK</v>
      </c>
      <c r="B13" s="231">
        <f>SUM(B10:B12)</f>
        <v>12245291.700000001</v>
      </c>
      <c r="C13" s="231">
        <f>SUM(C10:C12)</f>
        <v>7276628.9000000004</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6799057.5</v>
      </c>
      <c r="C18" s="229">
        <f>'DOE25'!G199+'DOE25'!G217+'DOE25'!G235+'DOE25'!G278+'DOE25'!G297+'DOE25'!G316</f>
        <v>3040636.08</v>
      </c>
    </row>
    <row r="19" spans="1:3" x14ac:dyDescent="0.2">
      <c r="A19" t="s">
        <v>775</v>
      </c>
      <c r="B19" s="240">
        <v>4539077.6500000004</v>
      </c>
      <c r="C19" s="240">
        <v>2029209.53</v>
      </c>
    </row>
    <row r="20" spans="1:3" x14ac:dyDescent="0.2">
      <c r="A20" t="s">
        <v>776</v>
      </c>
      <c r="B20" s="240">
        <v>1681650.91</v>
      </c>
      <c r="C20" s="240">
        <v>751787.54</v>
      </c>
    </row>
    <row r="21" spans="1:3" x14ac:dyDescent="0.2">
      <c r="A21" t="s">
        <v>777</v>
      </c>
      <c r="B21" s="240">
        <v>578328.93999999994</v>
      </c>
      <c r="C21" s="240">
        <v>259639.01</v>
      </c>
    </row>
    <row r="22" spans="1:3" x14ac:dyDescent="0.2">
      <c r="A22" t="str">
        <f>IF(B18=B22,IF(C18=C22,"Check Total OK","Check Total Error"),"Check Total Error")</f>
        <v>Check Total OK</v>
      </c>
      <c r="B22" s="231">
        <f>SUM(B19:B21)</f>
        <v>6799057.5</v>
      </c>
      <c r="C22" s="231">
        <f>SUM(C19:C21)</f>
        <v>3040636.08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201742.03</v>
      </c>
      <c r="C36" s="235">
        <f>'DOE25'!G201+'DOE25'!G219+'DOE25'!G237+'DOE25'!G280+'DOE25'!G299+'DOE25'!G318</f>
        <v>43233.07</v>
      </c>
    </row>
    <row r="37" spans="1:3" x14ac:dyDescent="0.2">
      <c r="A37" t="s">
        <v>775</v>
      </c>
      <c r="B37" s="240">
        <v>172810.43</v>
      </c>
      <c r="C37" s="240">
        <v>36719.57</v>
      </c>
    </row>
    <row r="38" spans="1:3" x14ac:dyDescent="0.2">
      <c r="A38" t="s">
        <v>776</v>
      </c>
      <c r="B38" s="240"/>
      <c r="C38" s="240"/>
    </row>
    <row r="39" spans="1:3" x14ac:dyDescent="0.2">
      <c r="A39" t="s">
        <v>777</v>
      </c>
      <c r="B39" s="240">
        <v>28931.599999999999</v>
      </c>
      <c r="C39" s="240">
        <v>6513.5</v>
      </c>
    </row>
    <row r="40" spans="1:3" x14ac:dyDescent="0.2">
      <c r="A40" t="str">
        <f>IF(B36=B40,IF(C36=C40,"Check Total OK","Check Total Error"),"Check Total Error")</f>
        <v>Check Total OK</v>
      </c>
      <c r="B40" s="231">
        <f>SUM(B37:B39)</f>
        <v>201742.03</v>
      </c>
      <c r="C40" s="231">
        <f>SUM(C37:C39)</f>
        <v>43233.07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8" sqref="F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Derry Coop</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58527763.770000003</v>
      </c>
      <c r="D5" s="20">
        <f>SUM('DOE25'!L198:L201)+SUM('DOE25'!L216:L219)+SUM('DOE25'!L234:L237)-F5-G5-H5</f>
        <v>58477626.880000003</v>
      </c>
      <c r="E5" s="243"/>
      <c r="F5" s="244"/>
      <c r="G5" s="53">
        <f>SUM('DOE25'!J198:J201)+SUM('DOE25'!J216:J219)+SUM('DOE25'!J234:J237)</f>
        <v>41660.42</v>
      </c>
      <c r="H5" s="53">
        <f>SUM('DOE25'!K198:K201)+SUM('DOE25'!K216:K219)+SUM('DOE25'!K234:K237)</f>
        <v>8476.4699999999993</v>
      </c>
      <c r="I5" s="256"/>
    </row>
    <row r="6" spans="1:9" x14ac:dyDescent="0.2">
      <c r="A6" s="32">
        <v>2100</v>
      </c>
      <c r="B6" t="s">
        <v>796</v>
      </c>
      <c r="C6" s="276">
        <f t="shared" si="0"/>
        <v>6333990.3100000005</v>
      </c>
      <c r="D6" s="20">
        <f>'DOE25'!L203+'DOE25'!L221+'DOE25'!L239-F6-G6-H6</f>
        <v>6333990.3100000005</v>
      </c>
      <c r="E6" s="243"/>
      <c r="F6" s="244"/>
      <c r="G6" s="53">
        <f>'DOE25'!J203+'DOE25'!J221+'DOE25'!J239</f>
        <v>0</v>
      </c>
      <c r="H6" s="53">
        <f>'DOE25'!K203+'DOE25'!K221+'DOE25'!K239</f>
        <v>0</v>
      </c>
      <c r="I6" s="256"/>
    </row>
    <row r="7" spans="1:9" x14ac:dyDescent="0.2">
      <c r="A7" s="32">
        <v>2200</v>
      </c>
      <c r="B7" t="s">
        <v>821</v>
      </c>
      <c r="C7" s="276">
        <f t="shared" si="0"/>
        <v>1811289.23</v>
      </c>
      <c r="D7" s="20">
        <f>'DOE25'!L204+'DOE25'!L222+'DOE25'!L240-F7-G7-H7</f>
        <v>1554270.68</v>
      </c>
      <c r="E7" s="243"/>
      <c r="F7" s="244"/>
      <c r="G7" s="53">
        <f>'DOE25'!J204+'DOE25'!J222+'DOE25'!J240</f>
        <v>256695.55</v>
      </c>
      <c r="H7" s="53">
        <f>'DOE25'!K204+'DOE25'!K222+'DOE25'!K240</f>
        <v>323</v>
      </c>
      <c r="I7" s="256"/>
    </row>
    <row r="8" spans="1:9" x14ac:dyDescent="0.2">
      <c r="A8" s="32">
        <v>2300</v>
      </c>
      <c r="B8" t="s">
        <v>797</v>
      </c>
      <c r="C8" s="276">
        <f t="shared" si="0"/>
        <v>16225.079999999907</v>
      </c>
      <c r="D8" s="243"/>
      <c r="E8" s="20">
        <f>'DOE25'!L205+'DOE25'!L223+'DOE25'!L241-F8-G8-H8-D9-D11</f>
        <v>3838.6499999999069</v>
      </c>
      <c r="F8" s="244"/>
      <c r="G8" s="53">
        <f>'DOE25'!J205+'DOE25'!J223+'DOE25'!J241</f>
        <v>0</v>
      </c>
      <c r="H8" s="53">
        <f>'DOE25'!K205+'DOE25'!K223+'DOE25'!K241</f>
        <v>12386.43</v>
      </c>
      <c r="I8" s="256"/>
    </row>
    <row r="9" spans="1:9" ht="14.25" x14ac:dyDescent="0.2">
      <c r="A9" s="32">
        <v>2310</v>
      </c>
      <c r="B9" s="185" t="s">
        <v>890</v>
      </c>
      <c r="C9" s="276">
        <f t="shared" si="0"/>
        <v>15625</v>
      </c>
      <c r="D9" s="244">
        <v>15625</v>
      </c>
      <c r="E9" s="243"/>
      <c r="F9" s="253"/>
      <c r="G9" s="253"/>
      <c r="H9" s="253"/>
      <c r="I9" s="256"/>
    </row>
    <row r="10" spans="1:9" ht="14.25" x14ac:dyDescent="0.2">
      <c r="A10" s="32">
        <v>2317</v>
      </c>
      <c r="B10" s="185" t="s">
        <v>891</v>
      </c>
      <c r="C10" s="276">
        <f t="shared" si="0"/>
        <v>31341.25</v>
      </c>
      <c r="D10" s="243"/>
      <c r="E10" s="244">
        <v>31341.25</v>
      </c>
      <c r="F10" s="253"/>
      <c r="G10" s="253"/>
      <c r="H10" s="253"/>
      <c r="I10" s="256"/>
    </row>
    <row r="11" spans="1:9" ht="14.25" x14ac:dyDescent="0.2">
      <c r="A11" s="32">
        <v>2321</v>
      </c>
      <c r="B11" s="185" t="s">
        <v>892</v>
      </c>
      <c r="C11" s="276">
        <f t="shared" si="0"/>
        <v>1060656.05</v>
      </c>
      <c r="D11" s="244">
        <v>1060656.05</v>
      </c>
      <c r="E11" s="243"/>
      <c r="F11" s="253"/>
      <c r="G11" s="253"/>
      <c r="H11" s="253"/>
      <c r="I11" s="256"/>
    </row>
    <row r="12" spans="1:9" x14ac:dyDescent="0.2">
      <c r="A12" s="32">
        <v>2400</v>
      </c>
      <c r="B12" t="s">
        <v>711</v>
      </c>
      <c r="C12" s="276">
        <f t="shared" si="0"/>
        <v>3480520.21</v>
      </c>
      <c r="D12" s="20">
        <f>'DOE25'!L206+'DOE25'!L224+'DOE25'!L242-F12-G12-H12</f>
        <v>3456338.86</v>
      </c>
      <c r="E12" s="243"/>
      <c r="F12" s="244"/>
      <c r="G12" s="53">
        <f>'DOE25'!J206+'DOE25'!J224+'DOE25'!J242</f>
        <v>12078.23</v>
      </c>
      <c r="H12" s="53">
        <f>'DOE25'!K206+'DOE25'!K224+'DOE25'!K242</f>
        <v>12103.119999999999</v>
      </c>
      <c r="I12" s="256"/>
    </row>
    <row r="13" spans="1:9" x14ac:dyDescent="0.2">
      <c r="A13" s="32">
        <v>2500</v>
      </c>
      <c r="B13" t="s">
        <v>798</v>
      </c>
      <c r="C13" s="276">
        <f t="shared" si="0"/>
        <v>521341.61000000004</v>
      </c>
      <c r="D13" s="243"/>
      <c r="E13" s="20">
        <f>'DOE25'!L207+'DOE25'!L225+'DOE25'!L243-F13-G13-H13</f>
        <v>519579.69000000006</v>
      </c>
      <c r="F13" s="244">
        <v>0</v>
      </c>
      <c r="G13" s="53">
        <f>'DOE25'!J207+'DOE25'!J225+'DOE25'!J243</f>
        <v>0</v>
      </c>
      <c r="H13" s="53">
        <f>'DOE25'!K207+'DOE25'!K225+'DOE25'!K243</f>
        <v>1761.92</v>
      </c>
      <c r="I13" s="256"/>
    </row>
    <row r="14" spans="1:9" x14ac:dyDescent="0.2">
      <c r="A14" s="32">
        <v>2600</v>
      </c>
      <c r="B14" t="s">
        <v>819</v>
      </c>
      <c r="C14" s="276">
        <f t="shared" si="0"/>
        <v>4439276.8100000005</v>
      </c>
      <c r="D14" s="20">
        <f>'DOE25'!L208+'DOE25'!L226+'DOE25'!L244-F14-G14-H14</f>
        <v>4315276.8100000005</v>
      </c>
      <c r="E14" s="243"/>
      <c r="F14" s="244">
        <v>124000</v>
      </c>
      <c r="G14" s="53">
        <f>'DOE25'!J208+'DOE25'!J226+'DOE25'!J244</f>
        <v>0</v>
      </c>
      <c r="H14" s="53">
        <f>'DOE25'!K208+'DOE25'!K226+'DOE25'!K244</f>
        <v>0</v>
      </c>
      <c r="I14" s="256"/>
    </row>
    <row r="15" spans="1:9" x14ac:dyDescent="0.2">
      <c r="A15" s="32">
        <v>2700</v>
      </c>
      <c r="B15" t="s">
        <v>799</v>
      </c>
      <c r="C15" s="276">
        <f t="shared" si="0"/>
        <v>2583794.81</v>
      </c>
      <c r="D15" s="20">
        <f>'DOE25'!L209+'DOE25'!L227+'DOE25'!L245-F15-G15-H15</f>
        <v>0</v>
      </c>
      <c r="E15" s="243"/>
      <c r="F15" s="244">
        <v>2583794.81</v>
      </c>
      <c r="G15" s="53">
        <f>'DOE25'!J209+'DOE25'!J227+'DOE25'!J245</f>
        <v>0</v>
      </c>
      <c r="H15" s="53">
        <f>'DOE25'!K209+'DOE25'!K227+'DOE25'!K245</f>
        <v>0</v>
      </c>
      <c r="I15" s="256"/>
    </row>
    <row r="16" spans="1:9" x14ac:dyDescent="0.2">
      <c r="A16" s="32">
        <v>2800</v>
      </c>
      <c r="B16" t="s">
        <v>800</v>
      </c>
      <c r="C16" s="276">
        <f t="shared" si="0"/>
        <v>114714.78</v>
      </c>
      <c r="D16" s="243"/>
      <c r="E16" s="20">
        <f>'DOE25'!L210+'DOE25'!L228+'DOE25'!L246-F16-G16-H16</f>
        <v>114714.78</v>
      </c>
      <c r="F16" s="244">
        <v>0</v>
      </c>
      <c r="G16" s="53">
        <f>'DOE25'!J210+'DOE25'!J228+'DOE25'!J246</f>
        <v>0</v>
      </c>
      <c r="H16" s="53">
        <f>'DOE25'!K210+'DOE25'!K228+'DOE25'!K246</f>
        <v>0</v>
      </c>
      <c r="I16" s="256"/>
    </row>
    <row r="17" spans="1:9" x14ac:dyDescent="0.2">
      <c r="A17" s="32">
        <v>1600</v>
      </c>
      <c r="B17" t="s">
        <v>801</v>
      </c>
      <c r="C17" s="276">
        <f t="shared" si="0"/>
        <v>74359.199999999997</v>
      </c>
      <c r="D17" s="20">
        <f>'DOE25'!L252-F17-G17-H17</f>
        <v>74359.199999999997</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2167629.5700000003</v>
      </c>
      <c r="D25" s="243"/>
      <c r="E25" s="243"/>
      <c r="F25" s="255"/>
      <c r="G25" s="253"/>
      <c r="H25" s="253"/>
      <c r="I25" s="254">
        <f>'DOE25'!L261+'DOE25'!L262+'DOE25'!L342+'DOE25'!L343</f>
        <v>2167629.5700000003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967318.16999999993</v>
      </c>
      <c r="D29" s="284">
        <f>'DOE25'!L359+'DOE25'!L360+'DOE25'!L361-'DOE25'!I368-F29-G29-H29</f>
        <v>959056.98</v>
      </c>
      <c r="E29" s="243"/>
      <c r="F29" s="244"/>
      <c r="G29" s="53">
        <f>'DOE25'!J359+'DOE25'!J360+'DOE25'!J361</f>
        <v>7361.49</v>
      </c>
      <c r="H29" s="53">
        <f>'DOE25'!K359+'DOE25'!K360+'DOE25'!K361</f>
        <v>899.7</v>
      </c>
      <c r="I29" s="256"/>
    </row>
    <row r="30" spans="1:9" x14ac:dyDescent="0.2">
      <c r="A30" s="32"/>
      <c r="C30" s="277"/>
      <c r="D30" s="20"/>
      <c r="E30" s="281"/>
      <c r="F30" s="271"/>
      <c r="G30" s="53"/>
      <c r="H30" s="53"/>
      <c r="I30" s="256"/>
    </row>
    <row r="31" spans="1:9" x14ac:dyDescent="0.2">
      <c r="A31" s="32" t="s">
        <v>818</v>
      </c>
      <c r="B31" t="s">
        <v>817</v>
      </c>
      <c r="C31" s="276">
        <f>SUM(D31:I31)</f>
        <v>2990997.1899999995</v>
      </c>
      <c r="D31" s="20">
        <f>'DOE25'!L291+'DOE25'!L310+'DOE25'!L329+'DOE25'!L334+'DOE25'!L335+'DOE25'!L336-F31-G31-H31</f>
        <v>2967428.1699999995</v>
      </c>
      <c r="E31" s="243"/>
      <c r="F31" s="244"/>
      <c r="G31" s="53">
        <f>'DOE25'!J291+'DOE25'!J310+'DOE25'!J329+'DOE25'!J334+'DOE25'!J335+'DOE25'!J336</f>
        <v>22396.239999999998</v>
      </c>
      <c r="H31" s="53">
        <f>'DOE25'!K291+'DOE25'!K310+'DOE25'!K329+'DOE25'!K334+'DOE25'!K335+'DOE25'!K336</f>
        <v>1172.78</v>
      </c>
      <c r="I31" s="256"/>
    </row>
    <row r="32" spans="1:9" ht="12" thickBot="1" x14ac:dyDescent="0.25">
      <c r="C32" s="277"/>
      <c r="G32" s="251"/>
      <c r="H32" s="251"/>
      <c r="I32" s="258"/>
    </row>
    <row r="33" spans="1:9" ht="12" thickTop="1" x14ac:dyDescent="0.2">
      <c r="B33" t="s">
        <v>809</v>
      </c>
      <c r="D33" s="245">
        <f t="shared" ref="D33:I33" si="1">SUM(D5:D31)</f>
        <v>79214628.940000013</v>
      </c>
      <c r="E33" s="245">
        <f t="shared" si="1"/>
        <v>669474.37</v>
      </c>
      <c r="F33" s="245">
        <f t="shared" si="1"/>
        <v>2707794.81</v>
      </c>
      <c r="G33" s="245">
        <f t="shared" si="1"/>
        <v>340191.92999999993</v>
      </c>
      <c r="H33" s="245">
        <f t="shared" si="1"/>
        <v>37123.42</v>
      </c>
      <c r="I33" s="245">
        <f t="shared" si="1"/>
        <v>2167629.5700000003</v>
      </c>
    </row>
    <row r="35" spans="1:9" ht="12" thickBot="1" x14ac:dyDescent="0.25">
      <c r="B35" s="251" t="s">
        <v>831</v>
      </c>
      <c r="D35" s="252">
        <f>E33</f>
        <v>669474.37</v>
      </c>
      <c r="E35" s="248"/>
    </row>
    <row r="36" spans="1:9" ht="12" thickTop="1" x14ac:dyDescent="0.2">
      <c r="B36" t="s">
        <v>810</v>
      </c>
      <c r="D36" s="20">
        <f>D33</f>
        <v>79214628.940000013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A39" sqref="A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Derry Coop</v>
      </c>
      <c r="B2" s="126">
        <f>'DOE25'!B2</f>
        <v>131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34229486.399999999</v>
      </c>
      <c r="G4" s="303">
        <f>'DOE25'!L212+'DOE25'!L291</f>
        <v>34229486.400000006</v>
      </c>
      <c r="H4" s="337">
        <f>F4-G4</f>
        <v>0</v>
      </c>
      <c r="I4" s="309" t="str">
        <f>IF(H4=0,"","Does not match DOE25 page 7 and 11 Totals!!")</f>
        <v/>
      </c>
      <c r="N4"/>
    </row>
    <row r="5" spans="1:18" x14ac:dyDescent="0.2">
      <c r="A5" s="21" t="s">
        <v>1008</v>
      </c>
      <c r="B5" s="304">
        <f>IFERROR(VLOOKUP(A5,'School Tables'!$C$3:$D$365,2,FALSE),"")</f>
        <v>20380</v>
      </c>
      <c r="C5" s="297" t="str">
        <f>IFERROR(INDEX('School Tables'!$B$3:$B$365,MATCH('School Level Expenditures'!B5,'School Tables'!$D$3:$D$365,0)),"")</f>
        <v>Derry Cooperative</v>
      </c>
      <c r="D5" s="294">
        <v>6561543.1500000004</v>
      </c>
      <c r="E5" s="294">
        <v>260131.33000000002</v>
      </c>
      <c r="F5" s="312">
        <f>D5+E5</f>
        <v>6821674.4800000004</v>
      </c>
      <c r="G5" s="297"/>
      <c r="H5" s="297"/>
      <c r="I5" s="126"/>
      <c r="N5"/>
    </row>
    <row r="6" spans="1:18" x14ac:dyDescent="0.2">
      <c r="A6" s="21" t="s">
        <v>1007</v>
      </c>
      <c r="B6" s="304">
        <f>IFERROR(VLOOKUP(A6,'School Tables'!$C$3:$D$365,2,FALSE),"")</f>
        <v>20370</v>
      </c>
      <c r="C6" s="297" t="str">
        <f>IFERROR(INDEX('School Tables'!$B$3:$B$365,MATCH('School Level Expenditures'!B6,'School Tables'!$D$3:$D$365,0)),"")</f>
        <v>Derry Cooperative</v>
      </c>
      <c r="D6" s="294">
        <v>6094589.0299999993</v>
      </c>
      <c r="E6" s="294">
        <v>258631.33000000002</v>
      </c>
      <c r="F6" s="307">
        <f t="shared" ref="F6:F20" si="0">D6+E6</f>
        <v>6353220.3599999994</v>
      </c>
      <c r="G6" s="297"/>
      <c r="H6" s="297"/>
      <c r="I6" s="126"/>
      <c r="N6"/>
    </row>
    <row r="7" spans="1:18" x14ac:dyDescent="0.2">
      <c r="A7" s="21" t="s">
        <v>1006</v>
      </c>
      <c r="B7" s="304">
        <f>IFERROR(VLOOKUP(A7,'School Tables'!$C$3:$D$365,2,FALSE),"")</f>
        <v>28465</v>
      </c>
      <c r="C7" s="297" t="str">
        <f>IFERROR(INDEX('School Tables'!$B$3:$B$365,MATCH('School Level Expenditures'!B7,'School Tables'!$D$3:$D$365,0)),"")</f>
        <v>Derry Cooperative</v>
      </c>
      <c r="D7" s="294">
        <v>8878932.3100000005</v>
      </c>
      <c r="E7" s="294">
        <v>450969.27</v>
      </c>
      <c r="F7" s="307">
        <f t="shared" si="0"/>
        <v>9329901.5800000001</v>
      </c>
      <c r="G7" s="297"/>
      <c r="H7" s="297"/>
      <c r="I7" s="126"/>
      <c r="N7"/>
    </row>
    <row r="8" spans="1:18" x14ac:dyDescent="0.2">
      <c r="A8" s="21" t="s">
        <v>1009</v>
      </c>
      <c r="B8" s="304">
        <f>IFERROR(VLOOKUP(A8,'School Tables'!$C$3:$D$365,2,FALSE),"")</f>
        <v>20390</v>
      </c>
      <c r="C8" s="297" t="str">
        <f>IFERROR(INDEX('School Tables'!$B$3:$B$365,MATCH('School Level Expenditures'!B8,'School Tables'!$D$3:$D$365,0)),"")</f>
        <v>Derry Cooperative</v>
      </c>
      <c r="D8" s="294">
        <v>4951188.47</v>
      </c>
      <c r="E8" s="294">
        <v>580788.15999999992</v>
      </c>
      <c r="F8" s="307">
        <f t="shared" si="0"/>
        <v>5531976.6299999999</v>
      </c>
      <c r="G8" s="297"/>
      <c r="H8" s="297"/>
      <c r="I8" s="126"/>
      <c r="N8"/>
    </row>
    <row r="9" spans="1:18" x14ac:dyDescent="0.2">
      <c r="A9" s="21" t="s">
        <v>1010</v>
      </c>
      <c r="B9" s="304">
        <f>IFERROR(VLOOKUP(A9,'School Tables'!$C$3:$D$365,2,FALSE),"")</f>
        <v>20405</v>
      </c>
      <c r="C9" s="297" t="str">
        <f>IFERROR(INDEX('School Tables'!$B$3:$B$365,MATCH('School Level Expenditures'!B9,'School Tables'!$D$3:$D$365,0)),"")</f>
        <v>Derry Cooperative</v>
      </c>
      <c r="D9" s="294">
        <v>5786099.4399999995</v>
      </c>
      <c r="E9" s="294">
        <v>346972.7</v>
      </c>
      <c r="F9" s="307">
        <f t="shared" si="0"/>
        <v>6133072.1399999997</v>
      </c>
      <c r="G9" s="297"/>
      <c r="H9" s="297"/>
      <c r="I9" s="126"/>
      <c r="N9"/>
    </row>
    <row r="10" spans="1:18" x14ac:dyDescent="0.2">
      <c r="A10" s="21" t="s">
        <v>1569</v>
      </c>
      <c r="B10" s="304">
        <f>IFERROR(VLOOKUP(A10,'School Tables'!$C$3:$D$365,2,FALSE),"")</f>
        <v>29156</v>
      </c>
      <c r="C10" s="297" t="str">
        <f>IFERROR(INDEX('School Tables'!$B$3:$B$365,MATCH('School Level Expenditures'!B10,'School Tables'!$D$3:$D$365,0)),"")</f>
        <v>Derry Cooperative</v>
      </c>
      <c r="D10" s="294">
        <v>7422.1299999999992</v>
      </c>
      <c r="E10" s="294">
        <v>52219.08</v>
      </c>
      <c r="F10" s="307">
        <f t="shared" si="0"/>
        <v>59641.21</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19099204.830000002</v>
      </c>
      <c r="G24" s="303">
        <f>'DOE25'!L230+'DOE25'!L310</f>
        <v>19099204.830000002</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t="s">
        <v>1011</v>
      </c>
      <c r="B26" s="304">
        <f>IFERROR(VLOOKUP(A26,'School Tables'!$I$3:$J$80,2,FALSE),"")</f>
        <v>20420</v>
      </c>
      <c r="C26" s="297" t="str">
        <f t="array" ref="C26">IFERROR(INDEX('School Tables'!$H$3:$H$80,MATCH('School Level Expenditures'!B26,'School Tables'!$J$3:$J$80,0)),"")</f>
        <v>Derry Cooperative</v>
      </c>
      <c r="D26" s="294">
        <v>9299783.8100000005</v>
      </c>
      <c r="E26" s="294">
        <v>482967.05</v>
      </c>
      <c r="F26" s="307">
        <f t="shared" ref="F26:F32" si="1">D26+E26</f>
        <v>9782750.8600000013</v>
      </c>
      <c r="G26" s="297"/>
      <c r="H26" s="297"/>
      <c r="I26" s="126"/>
      <c r="N26"/>
    </row>
    <row r="27" spans="1:14" x14ac:dyDescent="0.2">
      <c r="A27" s="21" t="s">
        <v>1005</v>
      </c>
      <c r="B27" s="304">
        <f>IFERROR(VLOOKUP(A27,'School Tables'!$I$3:$J$80,2,FALSE),"")</f>
        <v>27065</v>
      </c>
      <c r="C27" s="297" t="str">
        <f t="array" ref="C27">IFERROR(INDEX('School Tables'!$H$3:$H$80,MATCH('School Level Expenditures'!B27,'School Tables'!$J$3:$J$80,0)),"")</f>
        <v>Derry Cooperative</v>
      </c>
      <c r="D27" s="294">
        <v>8833486.9199999999</v>
      </c>
      <c r="E27" s="294">
        <v>482967.05</v>
      </c>
      <c r="F27" s="307">
        <f t="shared" si="1"/>
        <v>9316453.9700000007</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28475343.290000003</v>
      </c>
      <c r="G36" s="303">
        <f>'DOE25'!L248+'DOE25'!L329</f>
        <v>28475343.289999999</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27821202.120000001</v>
      </c>
      <c r="E38" s="294">
        <v>14745</v>
      </c>
      <c r="F38" s="307">
        <f t="shared" ref="F38:F41" si="2">D38+E38</f>
        <v>27835947.120000001</v>
      </c>
      <c r="G38" s="297"/>
      <c r="H38" s="297"/>
      <c r="I38" s="126"/>
      <c r="N38"/>
    </row>
    <row r="39" spans="1:14" x14ac:dyDescent="0.2">
      <c r="A39" s="21" t="s">
        <v>1562</v>
      </c>
      <c r="B39" s="304">
        <f>IFERROR(VLOOKUP(A39,'School Tables'!$O$3:$P$118,2,FALSE),"")</f>
        <v>99999</v>
      </c>
      <c r="C39" s="297" t="str">
        <f t="array" ref="C39">IFERROR(INDEX('School Tables'!$N$3:$N$118,MATCH('School Level Expenditures'!B39,'School Tables'!$P$3:$P$118,0)),"")</f>
        <v>Other District Expenditures</v>
      </c>
      <c r="D39" s="294">
        <v>639396.17000000004</v>
      </c>
      <c r="E39" s="294"/>
      <c r="F39" s="307">
        <f t="shared" si="2"/>
        <v>639396.17000000004</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Derry Coop</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3376780.77</v>
      </c>
      <c r="D8" s="95">
        <f>'DOE25'!G9</f>
        <v>925</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1653491.9</v>
      </c>
      <c r="D11" s="95">
        <f>'DOE25'!G12</f>
        <v>-32173.53</v>
      </c>
      <c r="E11" s="95">
        <f>'DOE25'!H12</f>
        <v>0</v>
      </c>
      <c r="F11" s="95">
        <f>'DOE25'!I12</f>
        <v>0</v>
      </c>
      <c r="G11" s="95">
        <f>'DOE25'!J12</f>
        <v>0</v>
      </c>
      <c r="H11" s="124"/>
      <c r="I11" s="124"/>
    </row>
    <row r="12" spans="1:9" x14ac:dyDescent="0.2">
      <c r="A12" s="1" t="s">
        <v>143</v>
      </c>
      <c r="B12" s="6">
        <v>140</v>
      </c>
      <c r="C12" s="95">
        <f>'DOE25'!F13</f>
        <v>103283.6</v>
      </c>
      <c r="D12" s="95">
        <f>'DOE25'!G13</f>
        <v>23919.85</v>
      </c>
      <c r="E12" s="95">
        <f>'DOE25'!H13</f>
        <v>1626151.01</v>
      </c>
      <c r="F12" s="95">
        <f>'DOE25'!I13</f>
        <v>0</v>
      </c>
      <c r="G12" s="95">
        <f>'DOE25'!J13</f>
        <v>194336.78</v>
      </c>
      <c r="H12" s="124"/>
      <c r="I12" s="124"/>
    </row>
    <row r="13" spans="1:9" x14ac:dyDescent="0.2">
      <c r="A13" s="1" t="s">
        <v>144</v>
      </c>
      <c r="B13" s="6">
        <v>150</v>
      </c>
      <c r="C13" s="95">
        <f>'DOE25'!F14</f>
        <v>53620.81</v>
      </c>
      <c r="D13" s="95">
        <f>'DOE25'!G14</f>
        <v>0</v>
      </c>
      <c r="E13" s="95">
        <f>'DOE25'!H14</f>
        <v>16819.27</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63533.46</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5187177.0799999991</v>
      </c>
      <c r="D18" s="41">
        <f>SUM(D8:D17)</f>
        <v>56204.78</v>
      </c>
      <c r="E18" s="41">
        <f>SUM(E8:E17)</f>
        <v>1642970.28</v>
      </c>
      <c r="F18" s="41">
        <f>SUM(F8:F17)</f>
        <v>0</v>
      </c>
      <c r="G18" s="41">
        <f>SUM(G8:G17)</f>
        <v>194336.78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1621318.01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124511.67</v>
      </c>
      <c r="D23" s="95">
        <f>'DOE25'!G24</f>
        <v>387</v>
      </c>
      <c r="E23" s="95">
        <f>'DOE25'!H24</f>
        <v>1703.06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5419.41</v>
      </c>
      <c r="D27" s="95">
        <f>'DOE25'!G28</f>
        <v>297.04000000000002</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53566.55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129931.08</v>
      </c>
      <c r="D31" s="41">
        <f>SUM(D21:D30)</f>
        <v>54250.590000000004</v>
      </c>
      <c r="E31" s="41">
        <f>SUM(E21:E30)</f>
        <v>1623021.07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63534.64</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-61580.45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1204488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19949.21</v>
      </c>
      <c r="F47" s="95">
        <f>'DOE25'!I48</f>
        <v>0</v>
      </c>
      <c r="G47" s="95">
        <f>'DOE25'!J48</f>
        <v>194336.78</v>
      </c>
      <c r="H47" s="124"/>
      <c r="I47" s="124"/>
    </row>
    <row r="48" spans="1:9" x14ac:dyDescent="0.2">
      <c r="A48" s="1" t="s">
        <v>882</v>
      </c>
      <c r="B48" s="6">
        <v>753</v>
      </c>
      <c r="C48" s="95">
        <f>'DOE25'!F49</f>
        <v>899240</v>
      </c>
      <c r="D48" s="95">
        <f>'DOE25'!G49</f>
        <v>0</v>
      </c>
      <c r="E48" s="95">
        <f>'DOE25'!H49</f>
        <v>0</v>
      </c>
      <c r="F48" s="95">
        <f>'DOE25'!I49</f>
        <v>0</v>
      </c>
      <c r="G48" s="95">
        <f>'DOE25'!J49</f>
        <v>0</v>
      </c>
      <c r="H48" s="124"/>
      <c r="I48" s="124"/>
    </row>
    <row r="49" spans="1:9" ht="12" thickBot="1" x14ac:dyDescent="0.25">
      <c r="A49" s="29" t="s">
        <v>883</v>
      </c>
      <c r="B49" s="71">
        <v>770</v>
      </c>
      <c r="C49" s="95">
        <f>'DOE25'!F50</f>
        <v>2953518</v>
      </c>
      <c r="D49" s="24" t="s">
        <v>288</v>
      </c>
      <c r="E49" s="24" t="s">
        <v>288</v>
      </c>
      <c r="F49" s="24" t="s">
        <v>288</v>
      </c>
      <c r="G49" s="24" t="s">
        <v>288</v>
      </c>
      <c r="H49" s="124"/>
      <c r="I49" s="124"/>
    </row>
    <row r="50" spans="1:9" ht="12.75" thickTop="1" thickBot="1" x14ac:dyDescent="0.25">
      <c r="A50" s="38" t="s">
        <v>884</v>
      </c>
      <c r="B50" s="48"/>
      <c r="C50" s="41">
        <f>SUM(C34:C49)</f>
        <v>5057246</v>
      </c>
      <c r="D50" s="41">
        <f>SUM(D34:D49)</f>
        <v>1954.1900000000023</v>
      </c>
      <c r="E50" s="41">
        <f>SUM(E34:E49)</f>
        <v>19949.21</v>
      </c>
      <c r="F50" s="41">
        <f>SUM(F34:F49)</f>
        <v>0</v>
      </c>
      <c r="G50" s="41">
        <f>SUM(G34:G49)</f>
        <v>194336.78</v>
      </c>
      <c r="H50" s="124"/>
      <c r="I50" s="124"/>
    </row>
    <row r="51" spans="1:9" ht="12" thickTop="1" x14ac:dyDescent="0.2">
      <c r="A51" s="38" t="s">
        <v>885</v>
      </c>
      <c r="B51" s="2"/>
      <c r="C51" s="41">
        <f>C50+C31</f>
        <v>5187177.08</v>
      </c>
      <c r="D51" s="41">
        <f>D50+D31</f>
        <v>56204.780000000006</v>
      </c>
      <c r="E51" s="41">
        <f>E50+E31</f>
        <v>1642970.28</v>
      </c>
      <c r="F51" s="41">
        <f>F50+F31</f>
        <v>0</v>
      </c>
      <c r="G51" s="41">
        <f>G50+G31</f>
        <v>194336.78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49297406</v>
      </c>
      <c r="D56" s="95">
        <f>'DOE25'!G60</f>
        <v>0</v>
      </c>
      <c r="E56" s="95">
        <f>'DOE25'!H60</f>
        <v>0</v>
      </c>
      <c r="F56" s="95">
        <f>'DOE25'!I60</f>
        <v>0</v>
      </c>
      <c r="G56" s="95">
        <f>'DOE25'!J60</f>
        <v>0</v>
      </c>
      <c r="H56"/>
      <c r="I56"/>
    </row>
    <row r="57" spans="1:9" x14ac:dyDescent="0.2">
      <c r="A57" s="1" t="s">
        <v>164</v>
      </c>
      <c r="B57" s="6" t="s">
        <v>165</v>
      </c>
      <c r="C57" s="95">
        <f>'DOE25'!F79</f>
        <v>469815.08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12274.57</v>
      </c>
      <c r="D59" s="95">
        <f>'DOE25'!G96</f>
        <v>0</v>
      </c>
      <c r="E59" s="95">
        <f>'DOE25'!H96</f>
        <v>0</v>
      </c>
      <c r="F59" s="95">
        <f>'DOE25'!I96</f>
        <v>0</v>
      </c>
      <c r="G59" s="95">
        <f>'DOE25'!J96</f>
        <v>3792.16</v>
      </c>
      <c r="H59"/>
      <c r="I59"/>
    </row>
    <row r="60" spans="1:9" x14ac:dyDescent="0.2">
      <c r="A60" s="1" t="s">
        <v>170</v>
      </c>
      <c r="B60" s="118" t="s">
        <v>171</v>
      </c>
      <c r="C60" s="24" t="s">
        <v>288</v>
      </c>
      <c r="D60" s="95">
        <f>'DOE25'!G97</f>
        <v>534067.28</v>
      </c>
      <c r="E60" s="24" t="s">
        <v>288</v>
      </c>
      <c r="F60" s="24" t="s">
        <v>288</v>
      </c>
      <c r="G60" s="24" t="s">
        <v>288</v>
      </c>
      <c r="H60"/>
      <c r="I60"/>
    </row>
    <row r="61" spans="1:9" ht="12" thickBot="1" x14ac:dyDescent="0.25">
      <c r="A61" s="1" t="s">
        <v>172</v>
      </c>
      <c r="B61" s="118" t="s">
        <v>173</v>
      </c>
      <c r="C61" s="95">
        <f>SUM('DOE25'!F98:F110)</f>
        <v>284045.30999999994</v>
      </c>
      <c r="D61" s="95">
        <f>SUM('DOE25'!G98:G110)</f>
        <v>2462.33</v>
      </c>
      <c r="E61" s="95">
        <f>SUM('DOE25'!H98:H110)</f>
        <v>79658.92</v>
      </c>
      <c r="F61" s="95">
        <f>SUM('DOE25'!I98:I110)</f>
        <v>0</v>
      </c>
      <c r="G61" s="95">
        <f>SUM('DOE25'!J98:J110)</f>
        <v>0</v>
      </c>
      <c r="H61"/>
      <c r="I61"/>
    </row>
    <row r="62" spans="1:9" ht="12.75" thickTop="1" thickBot="1" x14ac:dyDescent="0.25">
      <c r="A62" s="29" t="s">
        <v>174</v>
      </c>
      <c r="B62" s="6"/>
      <c r="C62" s="130">
        <f>SUM(C57:C61)</f>
        <v>766134.96</v>
      </c>
      <c r="D62" s="130">
        <f>SUM(D57:D61)</f>
        <v>536529.61</v>
      </c>
      <c r="E62" s="130">
        <f>SUM(E57:E61)</f>
        <v>79658.92</v>
      </c>
      <c r="F62" s="130">
        <f>SUM(F57:F61)</f>
        <v>0</v>
      </c>
      <c r="G62" s="130">
        <f>SUM(G57:G61)</f>
        <v>3792.16</v>
      </c>
      <c r="H62"/>
      <c r="I62"/>
    </row>
    <row r="63" spans="1:9" ht="12" thickTop="1" x14ac:dyDescent="0.2">
      <c r="A63" s="29" t="s">
        <v>175</v>
      </c>
      <c r="B63" s="6"/>
      <c r="C63" s="22">
        <f>C56+C62</f>
        <v>50063540.960000001</v>
      </c>
      <c r="D63" s="22">
        <f>D56+D62</f>
        <v>536529.61</v>
      </c>
      <c r="E63" s="22">
        <f>E56+E62</f>
        <v>79658.92</v>
      </c>
      <c r="F63" s="22">
        <f>F56+F62</f>
        <v>0</v>
      </c>
      <c r="G63" s="22">
        <f>G56+G62</f>
        <v>3792.16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24006103.109999999</v>
      </c>
      <c r="D66" s="24" t="s">
        <v>288</v>
      </c>
      <c r="E66" s="24" t="s">
        <v>288</v>
      </c>
      <c r="F66" s="24" t="s">
        <v>288</v>
      </c>
      <c r="G66" s="24" t="s">
        <v>288</v>
      </c>
      <c r="H66"/>
      <c r="I66"/>
    </row>
    <row r="67" spans="1:9" x14ac:dyDescent="0.2">
      <c r="A67" s="1" t="s">
        <v>770</v>
      </c>
      <c r="B67" s="6">
        <v>3112</v>
      </c>
      <c r="C67" s="95">
        <f>'DOE25'!F118</f>
        <v>6517602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59645.49</v>
      </c>
      <c r="D69" s="95">
        <f>'DOE25'!G120</f>
        <v>0</v>
      </c>
      <c r="E69" s="95">
        <f>'DOE25'!H120</f>
        <v>0</v>
      </c>
      <c r="F69" s="95">
        <f>'DOE25'!I120</f>
        <v>0</v>
      </c>
      <c r="G69" s="95">
        <f>'DOE25'!J120</f>
        <v>0</v>
      </c>
      <c r="H69"/>
      <c r="I69"/>
    </row>
    <row r="70" spans="1:9" ht="12" thickTop="1" x14ac:dyDescent="0.2">
      <c r="A70" s="29" t="s">
        <v>252</v>
      </c>
      <c r="B70" s="2"/>
      <c r="C70" s="139">
        <f>SUM(C66:C69)</f>
        <v>30583350.599999998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564659.07999999996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979075.82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12757.67</v>
      </c>
      <c r="E77" s="95">
        <f>SUM('DOE25'!H131:H135)</f>
        <v>0</v>
      </c>
      <c r="F77" s="95">
        <f>SUM('DOE25'!I131:I135)</f>
        <v>0</v>
      </c>
      <c r="G77" s="95">
        <f>SUM('DOE25'!J131:J135)</f>
        <v>0</v>
      </c>
      <c r="H77"/>
      <c r="I77"/>
    </row>
    <row r="78" spans="1:9" ht="12.75" thickTop="1" thickBot="1" x14ac:dyDescent="0.25">
      <c r="A78" s="29" t="s">
        <v>259</v>
      </c>
      <c r="B78" s="6"/>
      <c r="C78" s="130">
        <f>SUM(C72:C77)</f>
        <v>1543734.9</v>
      </c>
      <c r="D78" s="130">
        <f>SUM(D72:D77)</f>
        <v>12757.67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32127085.499999996</v>
      </c>
      <c r="D81" s="130">
        <f>SUM(D79:D80)+D78+D70</f>
        <v>12757.67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39" t="s">
        <v>184</v>
      </c>
      <c r="C88" s="340">
        <f>SUM('DOE25'!F153:F162)</f>
        <v>62246.97</v>
      </c>
      <c r="D88" s="340">
        <f>SUM('DOE25'!G153:G162)</f>
        <v>598911.65</v>
      </c>
      <c r="E88" s="340">
        <f>SUM('DOE25'!H153:H162)</f>
        <v>2911338.48</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62246.97</v>
      </c>
      <c r="D91" s="131">
        <f>SUM(D85:D90)</f>
        <v>598911.65</v>
      </c>
      <c r="E91" s="131">
        <f>SUM(E85:E90)</f>
        <v>2911338.48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82252873.429999992</v>
      </c>
      <c r="D104" s="86">
        <f>D63+D81+D91+D103</f>
        <v>1148198.9300000002</v>
      </c>
      <c r="E104" s="86">
        <f>E63+E81+E91+E103</f>
        <v>2990997.4</v>
      </c>
      <c r="F104" s="86">
        <f>F63+F81+F91+F103</f>
        <v>0</v>
      </c>
      <c r="G104" s="86">
        <f>G63+G81+G103</f>
        <v>3792.16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40797030.260000005</v>
      </c>
      <c r="D109" s="24" t="s">
        <v>288</v>
      </c>
      <c r="E109" s="95">
        <f>('DOE25'!L277)+('DOE25'!L296)+('DOE25'!L315)</f>
        <v>45042.53</v>
      </c>
      <c r="F109" s="24" t="s">
        <v>288</v>
      </c>
      <c r="G109" s="24" t="s">
        <v>288</v>
      </c>
    </row>
    <row r="110" spans="1:7" x14ac:dyDescent="0.2">
      <c r="A110" t="s">
        <v>198</v>
      </c>
      <c r="B110" s="32" t="s">
        <v>199</v>
      </c>
      <c r="C110" s="95">
        <f>('DOE25'!L199)+('DOE25'!L217)+('DOE25'!L235)</f>
        <v>17450294.84</v>
      </c>
      <c r="D110" s="24" t="s">
        <v>288</v>
      </c>
      <c r="E110" s="95">
        <f>('DOE25'!L278)+('DOE25'!L297)+('DOE25'!L316)</f>
        <v>1764613.0399999998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280438.67000000004</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74359.199999999997</v>
      </c>
      <c r="D114" s="24" t="s">
        <v>288</v>
      </c>
      <c r="E114" s="95">
        <f>+ SUM('DOE25'!L334:L336)</f>
        <v>92160.33</v>
      </c>
      <c r="F114" s="24" t="s">
        <v>288</v>
      </c>
      <c r="G114" s="24" t="s">
        <v>288</v>
      </c>
    </row>
    <row r="115" spans="1:7" ht="12.75" thickTop="1" thickBot="1" x14ac:dyDescent="0.25">
      <c r="A115" s="33" t="s">
        <v>205</v>
      </c>
      <c r="C115" s="86">
        <f>SUM(C109:C114)</f>
        <v>58602122.970000014</v>
      </c>
      <c r="D115" s="86">
        <f>SUM(D109:D114)</f>
        <v>0</v>
      </c>
      <c r="E115" s="86">
        <f>SUM(E109:E114)</f>
        <v>1901815.9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6333990.3100000005</v>
      </c>
      <c r="D118" s="24" t="s">
        <v>288</v>
      </c>
      <c r="E118" s="95">
        <f>+('DOE25'!L282)+('DOE25'!L301)+('DOE25'!L320)</f>
        <v>600581.49</v>
      </c>
      <c r="F118" s="24" t="s">
        <v>288</v>
      </c>
      <c r="G118" s="24" t="s">
        <v>288</v>
      </c>
    </row>
    <row r="119" spans="1:7" x14ac:dyDescent="0.2">
      <c r="A119" t="s">
        <v>208</v>
      </c>
      <c r="B119" s="32" t="s">
        <v>209</v>
      </c>
      <c r="C119" s="95">
        <f>('DOE25'!L204)+('DOE25'!L222)+('DOE25'!L240)</f>
        <v>1811289.23</v>
      </c>
      <c r="D119" s="24" t="s">
        <v>288</v>
      </c>
      <c r="E119" s="95">
        <f>+('DOE25'!L283)+('DOE25'!L302)+('DOE25'!L321)</f>
        <v>448317.79999999993</v>
      </c>
      <c r="F119" s="24" t="s">
        <v>288</v>
      </c>
      <c r="G119" s="24" t="s">
        <v>288</v>
      </c>
    </row>
    <row r="120" spans="1:7" x14ac:dyDescent="0.2">
      <c r="A120" t="s">
        <v>210</v>
      </c>
      <c r="B120" s="32" t="s">
        <v>211</v>
      </c>
      <c r="C120" s="95">
        <f>('DOE25'!L205)+('DOE25'!L223)+('DOE25'!L241)</f>
        <v>1092506.1299999999</v>
      </c>
      <c r="D120" s="24" t="s">
        <v>288</v>
      </c>
      <c r="E120" s="95">
        <f>+('DOE25'!L284)+('DOE25'!L303)+('DOE25'!L322)</f>
        <v>0</v>
      </c>
      <c r="F120" s="24" t="s">
        <v>288</v>
      </c>
      <c r="G120" s="24" t="s">
        <v>288</v>
      </c>
    </row>
    <row r="121" spans="1:7" x14ac:dyDescent="0.2">
      <c r="A121" t="s">
        <v>212</v>
      </c>
      <c r="B121" s="32" t="s">
        <v>213</v>
      </c>
      <c r="C121" s="95">
        <f>('DOE25'!L206)+('DOE25'!L224)+('DOE25'!L242)</f>
        <v>3480520.21</v>
      </c>
      <c r="D121" s="24" t="s">
        <v>288</v>
      </c>
      <c r="E121" s="95">
        <f>+('DOE25'!L285)+('DOE25'!L304)+('DOE25'!L323)</f>
        <v>0</v>
      </c>
      <c r="F121" s="24" t="s">
        <v>288</v>
      </c>
      <c r="G121" s="24" t="s">
        <v>288</v>
      </c>
    </row>
    <row r="122" spans="1:7" x14ac:dyDescent="0.2">
      <c r="A122" t="s">
        <v>214</v>
      </c>
      <c r="B122" s="32" t="s">
        <v>215</v>
      </c>
      <c r="C122" s="95">
        <f>('DOE25'!L207)+('DOE25'!L225)+('DOE25'!L243)</f>
        <v>521341.61000000004</v>
      </c>
      <c r="D122" s="24" t="s">
        <v>288</v>
      </c>
      <c r="E122" s="95">
        <f>+('DOE25'!L286)+('DOE25'!L305)+('DOE25'!L324)</f>
        <v>0</v>
      </c>
      <c r="F122" s="24" t="s">
        <v>288</v>
      </c>
      <c r="G122" s="24" t="s">
        <v>288</v>
      </c>
    </row>
    <row r="123" spans="1:7" x14ac:dyDescent="0.2">
      <c r="A123" t="s">
        <v>216</v>
      </c>
      <c r="B123" s="32" t="s">
        <v>217</v>
      </c>
      <c r="C123" s="95">
        <f>('DOE25'!L208)+('DOE25'!L226)+('DOE25'!L244)</f>
        <v>4439276.8100000005</v>
      </c>
      <c r="D123" s="24" t="s">
        <v>288</v>
      </c>
      <c r="E123" s="95">
        <f>+('DOE25'!L287)+('DOE25'!L306)+('DOE25'!L325)</f>
        <v>36115</v>
      </c>
      <c r="F123" s="24" t="s">
        <v>288</v>
      </c>
      <c r="G123" s="24" t="s">
        <v>288</v>
      </c>
    </row>
    <row r="124" spans="1:7" x14ac:dyDescent="0.2">
      <c r="A124" t="s">
        <v>218</v>
      </c>
      <c r="B124" s="32" t="s">
        <v>219</v>
      </c>
      <c r="C124" s="95">
        <f>('DOE25'!L209)+('DOE25'!L227)+('DOE25'!L245+'DOE25'!L255)</f>
        <v>2583794.81</v>
      </c>
      <c r="D124" s="24" t="s">
        <v>288</v>
      </c>
      <c r="E124" s="95">
        <f>+('DOE25'!L288)+('DOE25'!L307)+('DOE25'!L326)</f>
        <v>4167</v>
      </c>
      <c r="F124" s="24" t="s">
        <v>288</v>
      </c>
      <c r="G124" s="24" t="s">
        <v>288</v>
      </c>
    </row>
    <row r="125" spans="1:7" x14ac:dyDescent="0.2">
      <c r="A125" t="s">
        <v>220</v>
      </c>
      <c r="B125" s="32" t="s">
        <v>221</v>
      </c>
      <c r="C125" s="95">
        <f>('DOE25'!L210)+('DOE25'!L228)+('DOE25'!L246)</f>
        <v>114714.78</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1367291.74</v>
      </c>
      <c r="E127" s="24" t="s">
        <v>288</v>
      </c>
      <c r="F127" s="24" t="s">
        <v>288</v>
      </c>
      <c r="G127" s="24" t="s">
        <v>288</v>
      </c>
    </row>
    <row r="128" spans="1:7" ht="12.75" thickTop="1" thickBot="1" x14ac:dyDescent="0.25">
      <c r="A128" s="33" t="s">
        <v>226</v>
      </c>
      <c r="C128" s="86">
        <f>SUM(C118:C127)</f>
        <v>20377433.890000004</v>
      </c>
      <c r="D128" s="86">
        <f>SUM(D118:D127)</f>
        <v>1367291.74</v>
      </c>
      <c r="E128" s="86">
        <f>SUM(E118:E127)</f>
        <v>1089181.29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1705147.06</v>
      </c>
      <c r="D131" s="24" t="s">
        <v>288</v>
      </c>
      <c r="E131" s="129">
        <f>'DOE25'!L342</f>
        <v>0</v>
      </c>
      <c r="F131" s="24" t="s">
        <v>288</v>
      </c>
      <c r="G131" s="24" t="s">
        <v>288</v>
      </c>
    </row>
    <row r="132" spans="1:7" x14ac:dyDescent="0.2">
      <c r="A132" t="s">
        <v>230</v>
      </c>
      <c r="B132" s="32">
        <v>5120</v>
      </c>
      <c r="C132" s="95">
        <f>'DOE25'!L262</f>
        <v>462482.51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3792.16</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-3792.16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2167629.5700000003</v>
      </c>
      <c r="D144" s="141">
        <f>SUM(D130:D143)</f>
        <v>0</v>
      </c>
      <c r="E144" s="141">
        <f>SUM(E130:E143)</f>
        <v>0</v>
      </c>
      <c r="F144" s="141">
        <f>SUM(F130:F143)</f>
        <v>0</v>
      </c>
      <c r="G144" s="141">
        <f>SUM(G130:G143)</f>
        <v>0</v>
      </c>
    </row>
    <row r="145" spans="1:9" ht="12.75" thickTop="1" thickBot="1" x14ac:dyDescent="0.25">
      <c r="A145" s="33" t="s">
        <v>244</v>
      </c>
      <c r="C145" s="86">
        <f>(C115+C128+C144)</f>
        <v>81147186.430000007</v>
      </c>
      <c r="D145" s="86">
        <f>(D115+D128+D144)</f>
        <v>1367291.74</v>
      </c>
      <c r="E145" s="86">
        <f>(E115+E128+E144)</f>
        <v>2990997.19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9</v>
      </c>
      <c r="C151" s="153">
        <f>'DOE25'!G491</f>
        <v>20</v>
      </c>
      <c r="D151" s="153">
        <f>'DOE25'!H491</f>
        <v>16</v>
      </c>
      <c r="E151" s="153">
        <f>'DOE25'!I491</f>
        <v>0</v>
      </c>
      <c r="F151" s="153">
        <f>'DOE25'!J491</f>
        <v>0</v>
      </c>
      <c r="G151" s="24" t="s">
        <v>288</v>
      </c>
    </row>
    <row r="152" spans="1:9" x14ac:dyDescent="0.2">
      <c r="A152" s="136" t="s">
        <v>28</v>
      </c>
      <c r="B152" s="152" t="str">
        <f>'DOE25'!F492</f>
        <v>07/11</v>
      </c>
      <c r="C152" s="152" t="str">
        <f>'DOE25'!G492</f>
        <v>07/04</v>
      </c>
      <c r="D152" s="152">
        <f>'DOE25'!H492</f>
        <v>0.41176470588235292</v>
      </c>
      <c r="E152" s="152">
        <f>'DOE25'!I492</f>
        <v>0</v>
      </c>
      <c r="F152" s="152">
        <f>'DOE25'!J492</f>
        <v>0</v>
      </c>
      <c r="G152" s="24" t="s">
        <v>288</v>
      </c>
    </row>
    <row r="153" spans="1:9" x14ac:dyDescent="0.2">
      <c r="A153" s="136" t="s">
        <v>29</v>
      </c>
      <c r="B153" s="152" t="str">
        <f>'DOE25'!F493</f>
        <v>07/19</v>
      </c>
      <c r="C153" s="152" t="str">
        <f>'DOE25'!G493</f>
        <v>07/23</v>
      </c>
      <c r="D153" s="152">
        <f>'DOE25'!H493</f>
        <v>0.21875</v>
      </c>
      <c r="E153" s="152">
        <f>'DOE25'!I493</f>
        <v>0</v>
      </c>
      <c r="F153" s="152">
        <f>'DOE25'!J493</f>
        <v>0</v>
      </c>
      <c r="G153" s="24" t="s">
        <v>288</v>
      </c>
    </row>
    <row r="154" spans="1:9" x14ac:dyDescent="0.2">
      <c r="A154" s="136" t="s">
        <v>30</v>
      </c>
      <c r="B154" s="137">
        <f>'DOE25'!F494</f>
        <v>23550000</v>
      </c>
      <c r="C154" s="137">
        <f>'DOE25'!G494</f>
        <v>23959000</v>
      </c>
      <c r="D154" s="137">
        <f>'DOE25'!H494</f>
        <v>10035480</v>
      </c>
      <c r="E154" s="137">
        <f>'DOE25'!I494</f>
        <v>0</v>
      </c>
      <c r="F154" s="137">
        <f>'DOE25'!J494</f>
        <v>0</v>
      </c>
      <c r="G154" s="24" t="s">
        <v>288</v>
      </c>
    </row>
    <row r="155" spans="1:9" x14ac:dyDescent="0.2">
      <c r="A155" s="136" t="s">
        <v>31</v>
      </c>
      <c r="B155" s="137">
        <f>'DOE25'!F495</f>
        <v>2.23</v>
      </c>
      <c r="C155" s="137">
        <f>'DOE25'!G495</f>
        <v>3.97</v>
      </c>
      <c r="D155" s="137">
        <f>'DOE25'!H495</f>
        <v>2.42</v>
      </c>
      <c r="E155" s="137">
        <f>'DOE25'!I495</f>
        <v>0</v>
      </c>
      <c r="F155" s="137">
        <f>'DOE25'!J495</f>
        <v>0</v>
      </c>
      <c r="G155" s="24" t="s">
        <v>288</v>
      </c>
    </row>
    <row r="156" spans="1:9" x14ac:dyDescent="0.2">
      <c r="A156" s="22" t="s">
        <v>32</v>
      </c>
      <c r="B156" s="137">
        <f>'DOE25'!F496</f>
        <v>255000</v>
      </c>
      <c r="C156" s="137">
        <f>'DOE25'!G496</f>
        <v>5206500</v>
      </c>
      <c r="D156" s="137">
        <f>'DOE25'!H496</f>
        <v>11067082</v>
      </c>
      <c r="E156" s="137">
        <f>'DOE25'!I496</f>
        <v>0</v>
      </c>
      <c r="F156" s="137">
        <f>'DOE25'!J496</f>
        <v>0</v>
      </c>
      <c r="G156" s="138">
        <f>SUM(B156:F156)</f>
        <v>16528582</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4800000</v>
      </c>
      <c r="D159" s="137">
        <f>'DOE25'!H499</f>
        <v>9343138.0500000007</v>
      </c>
      <c r="E159" s="137">
        <f>'DOE25'!I499</f>
        <v>0</v>
      </c>
      <c r="F159" s="137">
        <f>'DOE25'!J499</f>
        <v>0</v>
      </c>
      <c r="G159" s="138">
        <f t="shared" si="0"/>
        <v>14143138.050000001</v>
      </c>
    </row>
    <row r="160" spans="1:9" x14ac:dyDescent="0.2">
      <c r="A160" s="22" t="s">
        <v>36</v>
      </c>
      <c r="B160" s="137">
        <f>'DOE25'!F500</f>
        <v>0</v>
      </c>
      <c r="C160" s="137">
        <f>'DOE25'!G500</f>
        <v>406500</v>
      </c>
      <c r="D160" s="137">
        <f>'DOE25'!H500</f>
        <v>1723974.59</v>
      </c>
      <c r="E160" s="137">
        <f>'DOE25'!I500</f>
        <v>0</v>
      </c>
      <c r="F160" s="137">
        <f>'DOE25'!J500</f>
        <v>0</v>
      </c>
      <c r="G160" s="138">
        <f t="shared" si="0"/>
        <v>2130474.59</v>
      </c>
    </row>
    <row r="161" spans="1:7" x14ac:dyDescent="0.2">
      <c r="A161" s="22" t="s">
        <v>37</v>
      </c>
      <c r="B161" s="137">
        <f>'DOE25'!F501</f>
        <v>0</v>
      </c>
      <c r="C161" s="137">
        <f>'DOE25'!G501</f>
        <v>5206500</v>
      </c>
      <c r="D161" s="137">
        <f>'DOE25'!H501</f>
        <v>11067112.640000001</v>
      </c>
      <c r="E161" s="137">
        <f>'DOE25'!I501</f>
        <v>0</v>
      </c>
      <c r="F161" s="137">
        <f>'DOE25'!J501</f>
        <v>0</v>
      </c>
      <c r="G161" s="138">
        <f t="shared" si="0"/>
        <v>16273612.640000001</v>
      </c>
    </row>
    <row r="162" spans="1:7" x14ac:dyDescent="0.2">
      <c r="A162" s="22" t="s">
        <v>38</v>
      </c>
      <c r="B162" s="137">
        <f>'DOE25'!F502</f>
        <v>0</v>
      </c>
      <c r="C162" s="137">
        <f>'DOE25'!G502</f>
        <v>1200000</v>
      </c>
      <c r="D162" s="137">
        <f>'DOE25'!H502</f>
        <v>531024.86</v>
      </c>
      <c r="E162" s="137">
        <f>'DOE25'!I502</f>
        <v>0</v>
      </c>
      <c r="F162" s="137">
        <f>'DOE25'!J502</f>
        <v>0</v>
      </c>
      <c r="G162" s="138">
        <f t="shared" si="0"/>
        <v>1731024.8599999999</v>
      </c>
    </row>
    <row r="163" spans="1:7" x14ac:dyDescent="0.2">
      <c r="A163" s="22" t="s">
        <v>39</v>
      </c>
      <c r="B163" s="137">
        <f>'DOE25'!F503</f>
        <v>0</v>
      </c>
      <c r="C163" s="137">
        <f>'DOE25'!G503</f>
        <v>177000</v>
      </c>
      <c r="D163" s="137">
        <f>'DOE25'!H503</f>
        <v>226103.94</v>
      </c>
      <c r="E163" s="137">
        <f>'DOE25'!I503</f>
        <v>0</v>
      </c>
      <c r="F163" s="137">
        <f>'DOE25'!J503</f>
        <v>0</v>
      </c>
      <c r="G163" s="138">
        <f t="shared" si="0"/>
        <v>403103.94</v>
      </c>
    </row>
    <row r="164" spans="1:7" x14ac:dyDescent="0.2">
      <c r="A164" s="22" t="s">
        <v>246</v>
      </c>
      <c r="B164" s="137">
        <f>'DOE25'!F504</f>
        <v>0</v>
      </c>
      <c r="C164" s="137">
        <f>'DOE25'!G504</f>
        <v>1377000</v>
      </c>
      <c r="D164" s="137">
        <f>'DOE25'!H504</f>
        <v>757128.8</v>
      </c>
      <c r="E164" s="137">
        <f>'DOE25'!I504</f>
        <v>0</v>
      </c>
      <c r="F164" s="137">
        <f>'DOE25'!J504</f>
        <v>0</v>
      </c>
      <c r="G164" s="138">
        <f t="shared" si="0"/>
        <v>2134128.7999999998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Derry Coop</v>
      </c>
    </row>
    <row r="3" spans="1:4" x14ac:dyDescent="0.2">
      <c r="B3" s="188" t="s">
        <v>1587</v>
      </c>
    </row>
    <row r="4" spans="1:4" x14ac:dyDescent="0.2">
      <c r="B4" t="s">
        <v>61</v>
      </c>
      <c r="C4" s="179">
        <f>IF('DOE25'!F666+'DOE25'!F671=0,0,ROUND('DOE25'!F673,0))</f>
        <v>16739</v>
      </c>
    </row>
    <row r="5" spans="1:4" x14ac:dyDescent="0.2">
      <c r="B5" t="s">
        <v>700</v>
      </c>
      <c r="C5" s="179">
        <f>IF('DOE25'!G666+'DOE25'!G671=0,0,ROUND('DOE25'!G673,0))</f>
        <v>15123</v>
      </c>
    </row>
    <row r="6" spans="1:4" x14ac:dyDescent="0.2">
      <c r="B6" t="s">
        <v>62</v>
      </c>
      <c r="C6" s="179">
        <f>IF('DOE25'!H666+'DOE25'!H671=0,0,ROUND('DOE25'!H673,0))</f>
        <v>0</v>
      </c>
    </row>
    <row r="7" spans="1:4" x14ac:dyDescent="0.2">
      <c r="B7" t="s">
        <v>701</v>
      </c>
      <c r="C7" s="179">
        <f>IF('DOE25'!I666+'DOE25'!I671=0,0,ROUND('DOE25'!I673,0))</f>
        <v>16121</v>
      </c>
    </row>
    <row r="9" spans="1:4" x14ac:dyDescent="0.2">
      <c r="A9" s="187" t="s">
        <v>94</v>
      </c>
      <c r="B9" s="188" t="s">
        <v>1588</v>
      </c>
      <c r="C9" s="181" t="s">
        <v>720</v>
      </c>
      <c r="D9" s="181" t="s">
        <v>721</v>
      </c>
    </row>
    <row r="10" spans="1:4" x14ac:dyDescent="0.2">
      <c r="A10">
        <v>1100</v>
      </c>
      <c r="B10" t="s">
        <v>702</v>
      </c>
      <c r="C10" s="179">
        <f>ROUND('DOE25'!L198+'DOE25'!L216+'DOE25'!L234+'DOE25'!L277+'DOE25'!L296+'DOE25'!L315,0)</f>
        <v>40842073</v>
      </c>
      <c r="D10" s="182">
        <f>ROUND((C10/$C$28)*100,1)</f>
        <v>49.1</v>
      </c>
    </row>
    <row r="11" spans="1:4" x14ac:dyDescent="0.2">
      <c r="A11">
        <v>1200</v>
      </c>
      <c r="B11" t="s">
        <v>703</v>
      </c>
      <c r="C11" s="179">
        <f>ROUND('DOE25'!L199+'DOE25'!L217+'DOE25'!L235+'DOE25'!L278+'DOE25'!L297+'DOE25'!L316,0)</f>
        <v>19214908</v>
      </c>
      <c r="D11" s="182">
        <f>ROUND((C11/$C$28)*100,1)</f>
        <v>23.1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280439</v>
      </c>
      <c r="D13" s="182">
        <f>ROUND((C13/$C$28)*100,1)</f>
        <v>0.3</v>
      </c>
    </row>
    <row r="14" spans="1:4" x14ac:dyDescent="0.2">
      <c r="D14" s="182"/>
    </row>
    <row r="15" spans="1:4" x14ac:dyDescent="0.2">
      <c r="A15">
        <v>2100</v>
      </c>
      <c r="B15" t="s">
        <v>706</v>
      </c>
      <c r="C15" s="179">
        <f>ROUND('DOE25'!L203+'DOE25'!L221+'DOE25'!L239+'DOE25'!L282+'DOE25'!L301+'DOE25'!L320,0)</f>
        <v>6934572</v>
      </c>
      <c r="D15" s="182">
        <f t="shared" ref="D15:D27" si="0">ROUND((C15/$C$28)*100,1)</f>
        <v>8.3000000000000007</v>
      </c>
    </row>
    <row r="16" spans="1:4" x14ac:dyDescent="0.2">
      <c r="A16">
        <v>2200</v>
      </c>
      <c r="B16" t="s">
        <v>707</v>
      </c>
      <c r="C16" s="179">
        <f>ROUND('DOE25'!L204+'DOE25'!L222+'DOE25'!L240+'DOE25'!L283+'DOE25'!L302+'DOE25'!L321,0)</f>
        <v>2259607</v>
      </c>
      <c r="D16" s="182">
        <f t="shared" si="0"/>
        <v>2.7</v>
      </c>
    </row>
    <row r="17" spans="1:4" x14ac:dyDescent="0.2">
      <c r="A17" s="183" t="s">
        <v>723</v>
      </c>
      <c r="B17" t="s">
        <v>738</v>
      </c>
      <c r="C17" s="179">
        <f>ROUND('DOE25'!L205+'DOE25'!L210+'DOE25'!L223+'DOE25'!L228+'DOE25'!L241+'DOE25'!L246+'DOE25'!L284+'DOE25'!L289+'DOE25'!L303+'DOE25'!L308+'DOE25'!L322+'DOE25'!L327,0)</f>
        <v>1207221</v>
      </c>
      <c r="D17" s="182">
        <f t="shared" si="0"/>
        <v>1.4</v>
      </c>
    </row>
    <row r="18" spans="1:4" x14ac:dyDescent="0.2">
      <c r="A18">
        <v>2400</v>
      </c>
      <c r="B18" t="s">
        <v>711</v>
      </c>
      <c r="C18" s="179">
        <f>ROUND('DOE25'!L206+'DOE25'!L224+'DOE25'!L242+'DOE25'!L285+'DOE25'!L304+'DOE25'!L323,0)</f>
        <v>3480520</v>
      </c>
      <c r="D18" s="182">
        <f t="shared" si="0"/>
        <v>4.2</v>
      </c>
    </row>
    <row r="19" spans="1:4" x14ac:dyDescent="0.2">
      <c r="A19">
        <v>2500</v>
      </c>
      <c r="B19" t="s">
        <v>708</v>
      </c>
      <c r="C19" s="179">
        <f>ROUND('DOE25'!L207+'DOE25'!L225+'DOE25'!L243+'DOE25'!L286+'DOE25'!L305+'DOE25'!L324,0)</f>
        <v>521342</v>
      </c>
      <c r="D19" s="182">
        <f t="shared" si="0"/>
        <v>0.6</v>
      </c>
    </row>
    <row r="20" spans="1:4" x14ac:dyDescent="0.2">
      <c r="A20">
        <v>2600</v>
      </c>
      <c r="B20" t="s">
        <v>709</v>
      </c>
      <c r="C20" s="179">
        <f>ROUND('DOE25'!L208+'DOE25'!L226+'DOE25'!L244+'DOE25'!L287+'DOE25'!L306+'DOE25'!L325,0)</f>
        <v>4475392</v>
      </c>
      <c r="D20" s="182">
        <f t="shared" si="0"/>
        <v>5.4</v>
      </c>
    </row>
    <row r="21" spans="1:4" x14ac:dyDescent="0.2">
      <c r="A21">
        <v>2700</v>
      </c>
      <c r="B21" t="s">
        <v>710</v>
      </c>
      <c r="C21" s="179">
        <f>ROUND('DOE25'!L209+'DOE25'!L227+'DOE25'!L245+'DOE25'!L288+'DOE25'!L307+'DOE25'!L326,0)</f>
        <v>2587962</v>
      </c>
      <c r="D21" s="182">
        <f t="shared" si="0"/>
        <v>3.1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166520</v>
      </c>
      <c r="D24" s="182">
        <f t="shared" si="0"/>
        <v>0.2</v>
      </c>
    </row>
    <row r="25" spans="1:4" x14ac:dyDescent="0.2">
      <c r="A25">
        <v>5120</v>
      </c>
      <c r="B25" t="s">
        <v>716</v>
      </c>
      <c r="C25" s="179">
        <f>ROUND('DOE25'!L262+'DOE25'!L343,0)</f>
        <v>462483</v>
      </c>
      <c r="D25" s="182">
        <f t="shared" si="0"/>
        <v>0.6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830762.39</v>
      </c>
      <c r="D27" s="182">
        <f t="shared" si="0"/>
        <v>1</v>
      </c>
    </row>
    <row r="28" spans="1:4" x14ac:dyDescent="0.2">
      <c r="B28" s="187" t="s">
        <v>719</v>
      </c>
      <c r="C28" s="180">
        <f>SUM(C10:C27)</f>
        <v>83263801.390000001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83263801.390000001</v>
      </c>
    </row>
    <row r="31" spans="1:4" x14ac:dyDescent="0.2">
      <c r="B31" s="33"/>
      <c r="C31" s="180"/>
    </row>
    <row r="32" spans="1:4" x14ac:dyDescent="0.2">
      <c r="A32">
        <v>5100</v>
      </c>
      <c r="B32" s="33" t="s">
        <v>726</v>
      </c>
      <c r="C32" s="180">
        <f>ROUND('DOE25'!L261+'DOE25'!L342,0)</f>
        <v>1705147</v>
      </c>
    </row>
    <row r="34" spans="1:4" x14ac:dyDescent="0.2">
      <c r="A34" s="187" t="s">
        <v>94</v>
      </c>
      <c r="B34" s="188" t="s">
        <v>1589</v>
      </c>
      <c r="C34" s="181" t="s">
        <v>720</v>
      </c>
      <c r="D34" s="181" t="s">
        <v>721</v>
      </c>
    </row>
    <row r="35" spans="1:4" x14ac:dyDescent="0.2">
      <c r="A35">
        <v>1100</v>
      </c>
      <c r="B35" s="185" t="s">
        <v>727</v>
      </c>
      <c r="C35" s="179">
        <f>ROUND('DOE25'!F60+'DOE25'!G60+'DOE25'!H60+'DOE25'!I60+'DOE25'!J60,0)</f>
        <v>49297406</v>
      </c>
      <c r="D35" s="182">
        <f t="shared" ref="D35:D40" si="1">ROUND((C35/$C$41)*100,1)</f>
        <v>57.4</v>
      </c>
    </row>
    <row r="36" spans="1:4" x14ac:dyDescent="0.2">
      <c r="B36" s="185" t="s">
        <v>739</v>
      </c>
      <c r="C36" s="179">
        <f>SUM('DOE25'!F112:J112)-SUM('DOE25'!G97:G110)+('DOE25'!F175+'DOE25'!F176+'DOE25'!I175+'DOE25'!I176)-C35</f>
        <v>849586.03999999911</v>
      </c>
      <c r="D36" s="182">
        <f t="shared" si="1"/>
        <v>1</v>
      </c>
    </row>
    <row r="37" spans="1:4" x14ac:dyDescent="0.2">
      <c r="A37" s="183" t="s">
        <v>835</v>
      </c>
      <c r="B37" s="185" t="s">
        <v>728</v>
      </c>
      <c r="C37" s="179">
        <f>ROUND('DOE25'!F117+'DOE25'!F118,0)</f>
        <v>30523705</v>
      </c>
      <c r="D37" s="182">
        <f t="shared" si="1"/>
        <v>35.6</v>
      </c>
    </row>
    <row r="38" spans="1:4" x14ac:dyDescent="0.2">
      <c r="A38" s="183" t="s">
        <v>734</v>
      </c>
      <c r="B38" s="185" t="s">
        <v>729</v>
      </c>
      <c r="C38" s="179">
        <f>ROUND(SUM('DOE25'!F140:J140)-SUM('DOE25'!F117:F119),0)</f>
        <v>1616138</v>
      </c>
      <c r="D38" s="182">
        <f t="shared" si="1"/>
        <v>1.9</v>
      </c>
    </row>
    <row r="39" spans="1:4" x14ac:dyDescent="0.2">
      <c r="A39">
        <v>4000</v>
      </c>
      <c r="B39" s="185" t="s">
        <v>730</v>
      </c>
      <c r="C39" s="179">
        <f>ROUND('DOE25'!F170+'DOE25'!G170+'DOE25'!H170+'DOE25'!I170,0)</f>
        <v>3572497</v>
      </c>
      <c r="D39" s="182">
        <f t="shared" si="1"/>
        <v>4.2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85859332.039999992</v>
      </c>
      <c r="D41" s="184">
        <f>SUM(D35:D40)</f>
        <v>100.10000000000001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Derry Coop</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2020-11-13T14:38:19Z</cp:lastPrinted>
  <dcterms:created xsi:type="dcterms:W3CDTF">1997-12-04T19:04:30Z</dcterms:created>
  <dcterms:modified xsi:type="dcterms:W3CDTF">2020-12-09T17:59:26Z</dcterms:modified>
</cp:coreProperties>
</file>