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6000" windowHeight="117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66" i="1" l="1"/>
  <c r="D11" i="13" l="1"/>
  <c r="H605" i="1" l="1"/>
  <c r="I605" i="1"/>
  <c r="J605" i="1"/>
  <c r="F146" i="1" l="1"/>
  <c r="H83" i="1"/>
  <c r="F69" i="1" l="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17" i="14"/>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C12" i="10" s="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E131" i="2"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I60" i="1"/>
  <c r="F56" i="2" s="1"/>
  <c r="F79" i="1"/>
  <c r="C57" i="2" s="1"/>
  <c r="F94" i="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E123" i="2"/>
  <c r="E125"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3" i="1"/>
  <c r="H653" i="1"/>
  <c r="G654" i="1"/>
  <c r="H654" i="1"/>
  <c r="G655" i="1"/>
  <c r="H655" i="1"/>
  <c r="H656" i="1"/>
  <c r="J656" i="1" s="1"/>
  <c r="G62" i="2"/>
  <c r="I170" i="1"/>
  <c r="J140" i="1"/>
  <c r="H140" i="1"/>
  <c r="A40" i="12" l="1"/>
  <c r="E124" i="2"/>
  <c r="J572" i="1"/>
  <c r="G663" i="1"/>
  <c r="I112" i="1"/>
  <c r="F258" i="1"/>
  <c r="J652" i="1"/>
  <c r="H409" i="1"/>
  <c r="H645" i="1" s="1"/>
  <c r="D50" i="2"/>
  <c r="A31" i="12"/>
  <c r="D18" i="13"/>
  <c r="C18" i="13" s="1"/>
  <c r="E120" i="2"/>
  <c r="G646" i="1"/>
  <c r="I409" i="1"/>
  <c r="H112" i="1"/>
  <c r="L402" i="1"/>
  <c r="C139" i="2" s="1"/>
  <c r="E121" i="2"/>
  <c r="H462" i="1"/>
  <c r="H642" i="1" s="1"/>
  <c r="J642" i="1" s="1"/>
  <c r="E85" i="2"/>
  <c r="E91" i="2" s="1"/>
  <c r="E114" i="2"/>
  <c r="C120" i="2"/>
  <c r="G477" i="1"/>
  <c r="H624" i="1" s="1"/>
  <c r="J624" i="1" s="1"/>
  <c r="C85" i="2"/>
  <c r="C91" i="2" s="1"/>
  <c r="C32" i="10"/>
  <c r="E112" i="2"/>
  <c r="E119" i="2"/>
  <c r="G339" i="1"/>
  <c r="G353" i="1" s="1"/>
  <c r="C20" i="10"/>
  <c r="C11" i="10"/>
  <c r="K339" i="1"/>
  <c r="K353" i="1" s="1"/>
  <c r="C131" i="2"/>
  <c r="C13" i="10"/>
  <c r="J258" i="1"/>
  <c r="C110" i="2"/>
  <c r="C112" i="2"/>
  <c r="G409" i="1"/>
  <c r="H646" i="1" s="1"/>
  <c r="L257" i="1"/>
  <c r="G662" i="1"/>
  <c r="C121" i="2"/>
  <c r="D6" i="13"/>
  <c r="C6" i="13" s="1"/>
  <c r="E13" i="13"/>
  <c r="C13" i="13" s="1"/>
  <c r="H193" i="1"/>
  <c r="D15" i="13"/>
  <c r="C15" i="13" s="1"/>
  <c r="H663" i="1"/>
  <c r="H477" i="1"/>
  <c r="H625" i="1" s="1"/>
  <c r="J625" i="1" s="1"/>
  <c r="G553" i="1"/>
  <c r="F339" i="1"/>
  <c r="F353" i="1" s="1"/>
  <c r="L561" i="1"/>
  <c r="G462" i="1"/>
  <c r="H641" i="1" s="1"/>
  <c r="J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F272" i="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J620" i="1"/>
  <c r="D103" i="2"/>
  <c r="I140" i="1"/>
  <c r="A22" i="12"/>
  <c r="J653" i="1"/>
  <c r="G572" i="1"/>
  <c r="I435" i="1"/>
  <c r="G435" i="1"/>
  <c r="I664" i="1"/>
  <c r="D51" i="2" l="1"/>
  <c r="B33" i="16"/>
  <c r="E51" i="2"/>
  <c r="H661" i="1"/>
  <c r="H665" i="1" s="1"/>
  <c r="H668" i="1" s="1"/>
  <c r="H194" i="1"/>
  <c r="G630" i="1" s="1"/>
  <c r="J630" i="1" s="1"/>
  <c r="L572" i="1"/>
  <c r="F194" i="1"/>
  <c r="G628" i="1" s="1"/>
  <c r="J628" i="1" s="1"/>
  <c r="E115" i="2"/>
  <c r="I663" i="1"/>
  <c r="G36" i="14"/>
  <c r="H36" i="14" s="1"/>
  <c r="I36" i="14" s="1"/>
  <c r="G24" i="14"/>
  <c r="H24" i="14" s="1"/>
  <c r="I24" i="14" s="1"/>
  <c r="E128" i="2"/>
  <c r="H649" i="1"/>
  <c r="J649" i="1" s="1"/>
  <c r="J272" i="1"/>
  <c r="C81" i="2"/>
  <c r="F661" i="1"/>
  <c r="F665" i="1" s="1"/>
  <c r="F668" i="1"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<sst xmlns="http://schemas.openxmlformats.org/spreadsheetml/2006/main" count="5550" uniqueCount="1646">
  <si>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</si>
  <si>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</si>
  <si>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</si>
  <si>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</si>
  <si>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</si>
  <si>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</si>
  <si>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</si>
  <si>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</si>
  <si>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</si>
  <si>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</si>
  <si>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</si>
  <si>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</si>
  <si>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</si>
  <si>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</si>
  <si>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</si>
  <si>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</si>
  <si>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</si>
  <si>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</si>
  <si>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</si>
  <si>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</si>
  <si>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</si>
  <si>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</si>
  <si>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</si>
  <si>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</si>
  <si>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</si>
  <si>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</si>
  <si>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</si>
  <si>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</si>
  <si>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</si>
  <si>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</si>
  <si>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</si>
  <si>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</si>
  <si>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</si>
  <si>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</si>
  <si>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</si>
  <si>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</si>
  <si>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</si>
  <si>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</si>
  <si>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</si>
  <si>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</si>
  <si>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</si>
  <si>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</si>
  <si>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</si>
  <si>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</si>
  <si>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</si>
  <si>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</si>
  <si>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</si>
  <si>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</si>
  <si>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</si>
  <si>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</si>
  <si>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</si>
  <si>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</si>
  <si>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</si>
  <si>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</si>
  <si>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</si>
  <si>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</si>
  <si>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</si>
  <si>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</si>
  <si>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</si>
  <si>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</si>
  <si>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</si>
  <si>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</si>
  <si>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</si>
  <si>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</si>
  <si>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</si>
  <si>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</si>
  <si>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</si>
  <si>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</si>
  <si>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</si>
  <si>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</si>
  <si>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</si>
  <si>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</si>
  <si>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</si>
  <si>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</si>
  <si>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</si>
  <si>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</si>
  <si>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</si>
  <si>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</si>
  <si>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</si>
  <si>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</si>
  <si>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</si>
  <si>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</si>
  <si>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</si>
  <si>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</si>
  <si>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</si>
  <si>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</si>
  <si>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</si>
  <si>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</si>
  <si>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</si>
  <si>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</si>
  <si>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</si>
  <si>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</si>
  <si>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</si>
  <si>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</si>
  <si>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</si>
  <si>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</si>
  <si>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</si>
  <si>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</si>
  <si>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</si>
  <si>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</si>
  <si>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</si>
  <si>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</si>
  <si>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</si>
  <si>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</si>
  <si>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</si>
  <si>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</si>
  <si>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</si>
  <si>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</si>
  <si>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</si>
  <si>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</si>
  <si>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</si>
  <si>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</si>
  <si>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</si>
  <si>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</si>
  <si>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</si>
  <si>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</si>
  <si>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</si>
  <si>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</si>
  <si>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</si>
  <si>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</si>
  <si>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</si>
  <si>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</si>
  <si>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</si>
  <si>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</si>
  <si>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</si>
  <si>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</si>
  <si>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</si>
  <si>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</si>
  <si>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</si>
  <si>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</si>
  <si>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</si>
  <si>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</si>
  <si>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</si>
  <si>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</si>
  <si>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</si>
  <si>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</si>
  <si>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</si>
  <si>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</si>
  <si>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</si>
  <si>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</si>
  <si>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</si>
  <si>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</si>
  <si>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</si>
  <si>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</si>
  <si>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</si>
  <si>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</si>
  <si>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</si>
  <si>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</si>
  <si>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</si>
  <si>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</si>
  <si>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</si>
  <si>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</si>
  <si>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</si>
  <si>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</si>
  <si>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</si>
  <si>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</si>
  <si>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</si>
  <si>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</si>
  <si>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</si>
  <si>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</si>
  <si>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</si>
  <si>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</si>
  <si>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</si>
  <si>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</si>
  <si>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</si>
  <si>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</si>
  <si>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</si>
  <si>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</si>
  <si>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</si>
  <si>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</si>
  <si>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</si>
  <si>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</si>
  <si>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</si>
  <si>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</si>
  <si>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</si>
  <si>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</si>
  <si>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</si>
  <si>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</si>
  <si>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</si>
  <si>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</si>
  <si>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</si>
  <si>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</si>
  <si>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</si>
  <si>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</si>
  <si>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</si>
  <si>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</si>
  <si>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</si>
  <si>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</si>
  <si>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</si>
  <si>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</si>
  <si>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</si>
  <si>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</si>
  <si>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</si>
  <si>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</si>
  <si>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</si>
  <si>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</si>
  <si>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</si>
  <si>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</si>
  <si>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</si>
  <si>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</si>
  <si>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</si>
  <si>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</si>
  <si>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</si>
  <si>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</si>
  <si>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</si>
  <si>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</si>
  <si>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</si>
  <si>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</si>
  <si>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</si>
  <si>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</si>
  <si>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</si>
  <si>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</si>
  <si>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</si>
  <si>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</si>
  <si>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</si>
  <si>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</si>
  <si>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</si>
  <si>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</si>
  <si>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</si>
  <si>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</si>
  <si>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</si>
  <si>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</si>
  <si>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</si>
  <si>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</si>
  <si>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</si>
  <si>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</si>
  <si>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</si>
  <si>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</si>
  <si>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</si>
  <si>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</si>
  <si>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</si>
  <si>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</si>
  <si>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</si>
  <si>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</si>
  <si>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</si>
  <si>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</si>
  <si>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</si>
  <si>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</si>
  <si>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</si>
  <si>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</si>
  <si>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</si>
  <si>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</si>
  <si>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</si>
  <si>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</si>
  <si>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</si>
  <si>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</si>
  <si>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</si>
  <si>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</si>
  <si>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</si>
  <si>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</si>
  <si>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</si>
  <si>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</si>
  <si>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</si>
  <si>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</si>
  <si>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</si>
  <si>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</si>
  <si>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</si>
  <si>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</si>
  <si>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</si>
  <si>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</si>
  <si>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</si>
  <si>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</si>
  <si>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</si>
  <si>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</si>
  <si>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</si>
  <si>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</si>
  <si>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</si>
  <si>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</si>
  <si>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</si>
  <si>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</si>
  <si>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</si>
  <si>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</si>
  <si>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</si>
  <si>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</si>
  <si>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</si>
  <si>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</si>
  <si>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</si>
  <si>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</si>
  <si>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</si>
  <si>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</si>
  <si>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</si>
  <si>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</si>
  <si>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</si>
  <si>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</si>
  <si>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</si>
  <si>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</si>
  <si>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</si>
  <si>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</si>
  <si>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</si>
  <si>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</si>
  <si>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</si>
  <si>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</si>
  <si>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</si>
  <si>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</si>
  <si>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</si>
  <si>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</si>
  <si>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</si>
  <si>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</si>
  <si>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</si>
  <si>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</si>
  <si>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</si>
  <si>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</si>
  <si>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</si>
  <si>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</si>
  <si>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</si>
  <si>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</si>
  <si>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</si>
  <si>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</si>
  <si>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</si>
  <si>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</si>
  <si>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</si>
  <si>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</si>
  <si>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</si>
  <si>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</si>
  <si>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</si>
  <si>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</si>
  <si>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</si>
  <si>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</si>
  <si>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</si>
  <si>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</si>
  <si>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</si>
  <si>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</si>
  <si>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</si>
  <si>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</si>
  <si>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</si>
  <si>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</si>
  <si>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</si>
  <si>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</si>
  <si>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</si>
  <si>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</si>
  <si>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</si>
  <si>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</si>
  <si>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</si>
  <si>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</si>
  <si>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</si>
  <si>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</si>
  <si>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</si>
  <si>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</si>
  <si>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</si>
  <si>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</si>
  <si>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</si>
  <si>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</si>
  <si>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</si>
  <si>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</si>
  <si>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</si>
  <si>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</si>
  <si>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</si>
  <si>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</si>
  <si>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</si>
  <si>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</si>
  <si>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</si>
  <si>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</si>
  <si>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</si>
  <si>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</si>
  <si>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</si>
  <si>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</si>
  <si>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</si>
  <si>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</si>
  <si>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</si>
  <si>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</si>
  <si>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</si>
  <si>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</si>
  <si>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</si>
  <si>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</si>
  <si>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</si>
  <si>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</si>
  <si>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</si>
  <si>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</si>
  <si>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</si>
  <si>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</si>
  <si>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</si>
  <si>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</si>
  <si>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</si>
  <si>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</si>
  <si>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</si>
  <si>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</si>
  <si>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</si>
  <si>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</si>
  <si>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</si>
  <si>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</si>
  <si>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</si>
  <si>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</si>
  <si>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</si>
  <si>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</si>
  <si>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</si>
  <si>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</si>
  <si>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</si>
  <si>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</si>
  <si>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</si>
  <si>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</si>
  <si>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</si>
  <si>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</si>
  <si>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</si>
  <si>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</si>
  <si>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</si>
  <si>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</si>
  <si>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</si>
  <si>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</si>
  <si>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</si>
  <si>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</si>
  <si>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</si>
  <si>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</si>
  <si>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</si>
  <si>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</si>
  <si>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</si>
  <si>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</si>
  <si>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</si>
  <si>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</si>
  <si>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</si>
  <si>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</si>
  <si>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</si>
  <si>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</si>
  <si>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</si>
  <si>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</si>
  <si>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</si>
  <si>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</si>
  <si>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</si>
  <si>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</si>
  <si>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</si>
  <si>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</si>
  <si>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</si>
  <si>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</si>
  <si>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</si>
  <si>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</si>
  <si>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</si>
  <si>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</si>
  <si>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</si>
  <si>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</si>
  <si>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</si>
  <si>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</si>
  <si>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</si>
  <si>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</si>
  <si>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</si>
  <si>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</si>
  <si>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</si>
  <si>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</si>
  <si>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</si>
  <si>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</si>
  <si>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</si>
  <si>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</si>
  <si>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</si>
  <si>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</si>
  <si>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</si>
  <si>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</si>
  <si>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</si>
  <si>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</si>
  <si>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</si>
  <si>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</si>
  <si>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</si>
  <si>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</si>
  <si>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</si>
  <si>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</si>
  <si>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</si>
  <si>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</si>
  <si>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</si>
  <si>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</si>
  <si>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</si>
  <si>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</si>
  <si>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</si>
  <si>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</si>
  <si>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</si>
  <si>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</si>
  <si>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</si>
  <si>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</si>
  <si>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</si>
  <si>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</si>
  <si>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</si>
  <si>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</si>
  <si>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</si>
  <si>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</si>
  <si>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</si>
  <si>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</si>
  <si>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</si>
  <si>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</si>
  <si>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</si>
  <si>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</si>
  <si>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</si>
  <si>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</si>
  <si>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</si>
  <si>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</si>
  <si>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</si>
  <si>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</si>
  <si>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</si>
  <si>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</si>
  <si>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</si>
  <si>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</si>
  <si>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</si>
  <si>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</si>
  <si>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</si>
  <si>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</si>
  <si>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</si>
  <si>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</si>
  <si>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</si>
  <si>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</si>
  <si>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</si>
  <si>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</si>
  <si>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</si>
  <si>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</si>
  <si>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</si>
  <si>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</si>
  <si>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</si>
  <si>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</si>
  <si>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</si>
  <si>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</si>
  <si>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</si>
  <si>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</si>
  <si>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</si>
  <si>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</si>
  <si>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</si>
  <si>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</si>
  <si>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</si>
  <si>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</si>
  <si>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</si>
  <si>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</si>
  <si>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</si>
  <si>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</si>
  <si>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</si>
  <si>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</si>
  <si>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</si>
  <si>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</si>
  <si>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</si>
  <si>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</si>
  <si>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</si>
  <si>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</si>
  <si>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</si>
  <si>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</si>
  <si>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</si>
  <si>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</si>
  <si>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</si>
  <si>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</si>
  <si>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</si>
  <si>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</si>
  <si>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</si>
  <si>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</si>
  <si>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</si>
  <si>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</si>
  <si>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</si>
  <si>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</si>
  <si>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</si>
  <si>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</si>
  <si>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</si>
  <si>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</si>
  <si>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</si>
  <si>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</si>
  <si>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</si>
  <si>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</si>
  <si>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</si>
  <si>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</si>
  <si>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</si>
  <si>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</si>
  <si>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</si>
  <si>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</si>
  <si>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</si>
  <si>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</si>
  <si>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</si>
  <si>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</si>
  <si>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</si>
  <si>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</si>
  <si>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</si>
  <si>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</si>
  <si>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</si>
  <si>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</si>
  <si>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</si>
  <si>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</si>
  <si>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</si>
  <si>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</si>
  <si>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</si>
  <si>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</si>
  <si>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</si>
  <si>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</si>
  <si>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</si>
  <si>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</si>
  <si>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</si>
  <si>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</si>
  <si>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</si>
  <si>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</si>
  <si>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</si>
  <si>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</si>
  <si>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</si>
  <si>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</si>
  <si>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</si>
  <si>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</si>
  <si>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</si>
  <si>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</si>
  <si>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</si>
  <si>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</si>
  <si>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</si>
  <si>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</si>
  <si>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</si>
  <si>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</si>
  <si>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</si>
  <si>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</si>
  <si>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</si>
  <si>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</si>
  <si>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</si>
  <si>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</si>
  <si>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</si>
  <si>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</si>
  <si>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</si>
  <si>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</si>
  <si>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</si>
  <si>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</si>
  <si>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</si>
  <si>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</si>
  <si>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</si>
  <si>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</si>
  <si>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</si>
  <si>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</si>
  <si>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</si>
  <si>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</si>
  <si>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</si>
  <si>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</si>
  <si>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</si>
  <si>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</si>
  <si>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</si>
  <si>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</si>
  <si>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</si>
  <si>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</si>
  <si>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</si>
  <si>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</si>
  <si>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</si>
  <si>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</si>
  <si>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</si>
  <si>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</si>
  <si>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</si>
  <si>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</si>
  <si>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</si>
  <si>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</si>
  <si>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</si>
  <si>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</si>
  <si>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</si>
  <si>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</si>
  <si>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</si>
  <si>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</si>
  <si>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</si>
  <si>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</si>
  <si>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</si>
  <si>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</si>
  <si>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</si>
  <si>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</si>
  <si>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</si>
  <si>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</si>
  <si>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</si>
  <si>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</si>
  <si>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</si>
  <si>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</si>
  <si>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</si>
  <si>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</si>
  <si>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</si>
  <si>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</si>
  <si>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</si>
  <si>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</si>
  <si>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</si>
  <si>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</si>
  <si>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</si>
  <si>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</si>
  <si>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</si>
  <si>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</si>
  <si>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</si>
  <si>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</si>
  <si>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</si>
  <si>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</si>
  <si>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</si>
  <si>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</si>
  <si>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</si>
  <si>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</si>
  <si>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</si>
  <si>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</si>
  <si>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</si>
  <si>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</si>
  <si>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</si>
  <si>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</si>
  <si>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</si>
  <si>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</si>
  <si>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</si>
  <si>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</si>
  <si>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</si>
  <si>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</si>
  <si>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</si>
  <si>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</si>
  <si>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</si>
  <si>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</si>
  <si>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</si>
  <si>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</si>
  <si>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</si>
  <si>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</si>
  <si>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</si>
  <si>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</si>
  <si>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</si>
  <si>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</si>
  <si>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</si>
  <si>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</si>
  <si>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</si>
  <si>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</si>
  <si>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</si>
  <si>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</si>
  <si>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</si>
  <si>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</si>
  <si>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</si>
  <si>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</si>
  <si>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</si>
  <si>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</si>
  <si>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</si>
  <si>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</si>
  <si>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</si>
  <si>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</si>
  <si>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</si>
  <si>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</si>
  <si>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</si>
  <si>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</si>
  <si>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</si>
  <si>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</si>
  <si>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</si>
  <si>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</si>
  <si>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</si>
  <si>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</si>
  <si>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</si>
  <si>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</si>
  <si>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</si>
  <si>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</si>
  <si>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</si>
  <si>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</si>
  <si>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</si>
  <si>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</si>
  <si>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</si>
  <si>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</si>
  <si>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</si>
  <si>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</si>
  <si>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</si>
  <si>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</si>
  <si>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</si>
  <si>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</si>
  <si>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</si>
  <si>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</si>
  <si>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</si>
  <si>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</si>
  <si>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</si>
  <si>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</si>
  <si>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</si>
  <si>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</si>
  <si>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</si>
  <si>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</si>
  <si>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</si>
  <si>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</si>
  <si>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</si>
  <si>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</si>
  <si>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</si>
  <si>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</si>
  <si>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</si>
  <si>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</si>
  <si>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</si>
  <si>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</si>
  <si>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</si>
  <si>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</si>
  <si>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</si>
  <si>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</si>
  <si>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</si>
  <si>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</si>
  <si>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</si>
  <si>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</si>
  <si>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</si>
  <si>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</si>
  <si>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</si>
  <si>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</si>
  <si>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</si>
  <si>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</si>
  <si>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</si>
  <si>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</si>
  <si>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</si>
  <si>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</si>
  <si>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</si>
  <si>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</si>
  <si>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</si>
  <si>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</si>
  <si>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</si>
  <si>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</si>
  <si>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</si>
  <si>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</si>
  <si>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</si>
  <si>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</si>
  <si>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</si>
  <si>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</si>
  <si>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</si>
  <si>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</si>
  <si>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</si>
  <si>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</si>
  <si>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</si>
  <si>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</si>
  <si>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</si>
  <si>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</si>
  <si>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</si>
  <si>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</si>
  <si>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</si>
  <si>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</si>
  <si>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</si>
  <si>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</si>
  <si>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</si>
  <si>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</si>
  <si>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</si>
  <si>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</si>
  <si>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</si>
  <si>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</si>
  <si>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</si>
  <si>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</si>
  <si>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</si>
  <si>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</si>
  <si>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</si>
  <si>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</si>
  <si>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</si>
  <si>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</si>
  <si>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</si>
  <si>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</si>
  <si>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</si>
  <si>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</si>
  <si>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</si>
  <si>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</si>
  <si>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</si>
  <si>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</si>
  <si>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</si>
  <si>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</si>
  <si>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</si>
  <si>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</si>
  <si>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</si>
  <si>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</si>
  <si>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</si>
  <si>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</si>
  <si>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</si>
  <si>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</si>
  <si>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</si>
  <si>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</si>
  <si>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</si>
  <si>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</si>
  <si>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</si>
  <si>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</si>
  <si>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</si>
  <si>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</si>
  <si>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</si>
  <si>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</si>
  <si>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</si>
  <si>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</si>
  <si>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</si>
  <si>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</si>
  <si>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</si>
  <si>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</si>
  <si>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</si>
  <si>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</si>
  <si>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</si>
  <si>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</si>
  <si>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</si>
  <si>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</si>
  <si>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</si>
  <si>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</si>
  <si>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</si>
  <si>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</si>
  <si>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</si>
  <si>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</si>
  <si>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</si>
  <si>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</si>
  <si>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</si>
  <si>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</si>
  <si>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</si>
  <si>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</si>
  <si>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</si>
  <si>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</si>
  <si>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</si>
  <si>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</si>
  <si>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</si>
  <si>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</si>
  <si>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</si>
  <si>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</si>
  <si>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</si>
  <si>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</si>
  <si>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</si>
  <si>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</si>
  <si>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</si>
  <si>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</si>
  <si>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</si>
  <si>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</si>
  <si>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</si>
  <si>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</si>
  <si>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</si>
  <si>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</si>
  <si>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</si>
  <si>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</si>
  <si>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</si>
  <si>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</si>
  <si>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</si>
  <si>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</si>
  <si>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</si>
  <si>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</si>
  <si>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</si>
  <si>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</si>
  <si>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</si>
  <si>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</si>
  <si>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</si>
  <si>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</si>
  <si>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</si>
  <si>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</si>
  <si>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</si>
  <si>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</si>
  <si>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</si>
  <si>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</si>
  <si>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</si>
  <si>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</si>
  <si>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</si>
  <si>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</si>
  <si>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</si>
  <si>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</si>
  <si>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</si>
  <si>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</si>
  <si>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</si>
  <si>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</si>
  <si>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</si>
  <si>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</si>
  <si>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</si>
  <si>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</si>
  <si>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</si>
  <si>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</si>
  <si>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</si>
  <si>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</si>
  <si>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</si>
  <si>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</si>
  <si>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</si>
  <si>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</si>
  <si>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</si>
  <si>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</si>
  <si>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</si>
  <si>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</si>
  <si>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</si>
  <si>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</si>
  <si>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</si>
  <si>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</si>
  <si>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</si>
  <si>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</si>
  <si>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</si>
  <si>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</si>
  <si>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</si>
  <si>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</si>
  <si>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</si>
  <si>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</si>
  <si>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</si>
  <si>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</si>
  <si>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</si>
  <si>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</si>
  <si>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</si>
  <si>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</si>
  <si>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</si>
  <si>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</si>
  <si>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</si>
  <si>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</si>
  <si>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</si>
  <si>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</si>
  <si>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</si>
  <si>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</si>
  <si>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</si>
  <si>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</si>
  <si>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</si>
  <si>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</si>
  <si>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</si>
  <si>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</si>
  <si>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</si>
  <si>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</si>
  <si>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</si>
  <si>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</si>
  <si>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</si>
  <si>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</si>
  <si>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</si>
  <si>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</si>
  <si>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</si>
  <si>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</si>
  <si>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</si>
  <si>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</si>
  <si>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</si>
  <si>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</si>
  <si>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</si>
  <si>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</si>
  <si>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</si>
  <si>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</si>
  <si>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</si>
  <si>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</si>
  <si>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</si>
  <si>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</si>
  <si>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</si>
  <si>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</si>
  <si>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</si>
  <si>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</si>
  <si>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</si>
  <si>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</si>
  <si>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</si>
  <si>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</si>
  <si>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</si>
  <si>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</si>
  <si>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</si>
  <si>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</si>
  <si>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</si>
  <si>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</si>
  <si>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</si>
  <si>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</si>
  <si>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</si>
  <si>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</si>
  <si>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</si>
  <si>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</si>
  <si>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</si>
  <si>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</si>
  <si>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</si>
  <si>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</si>
  <si>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</si>
  <si>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</si>
  <si>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</si>
  <si>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</si>
  <si>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</si>
  <si>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</si>
  <si>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</si>
  <si>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</si>
  <si>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</si>
  <si>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</si>
  <si>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</si>
  <si>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</si>
  <si>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</si>
  <si>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</si>
  <si>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</si>
  <si>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</si>
  <si>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</si>
  <si>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</si>
  <si>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</si>
  <si>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</si>
  <si>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</si>
  <si>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</si>
  <si>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</si>
  <si>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</si>
  <si>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</si>
  <si>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</si>
  <si>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</si>
  <si>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</si>
  <si>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</si>
  <si>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</si>
  <si>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</si>
  <si>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</si>
  <si>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</si>
  <si>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</si>
  <si>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</si>
  <si>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</si>
  <si>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</si>
  <si>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</si>
  <si>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</si>
  <si>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</si>
  <si>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</si>
  <si>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</si>
  <si>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</si>
  <si>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</si>
  <si>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</si>
  <si>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</si>
  <si>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</si>
  <si>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</si>
  <si>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</si>
  <si>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</si>
  <si>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</si>
  <si>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</si>
  <si>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</si>
  <si>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</si>
  <si>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</si>
  <si>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</si>
  <si>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</si>
  <si>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</si>
  <si>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</si>
  <si>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</si>
  <si>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</si>
  <si>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</si>
  <si>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</si>
  <si>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</si>
  <si>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</si>
  <si>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</si>
  <si>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</si>
  <si>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</si>
  <si>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</si>
  <si>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</si>
  <si>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</si>
  <si>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</si>
  <si>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</si>
  <si>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</si>
  <si>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</si>
  <si>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</si>
  <si>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</si>
  <si>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</si>
  <si>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</si>
  <si>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</si>
  <si>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</si>
  <si>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</si>
  <si>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</si>
  <si>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</si>
  <si>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</si>
  <si>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</si>
  <si>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</si>
  <si>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</si>
  <si>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</si>
  <si>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</si>
  <si>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</si>
  <si>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</si>
  <si>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</si>
  <si>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</si>
  <si>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</si>
  <si>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</si>
  <si>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</si>
  <si>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</si>
  <si>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</si>
  <si>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</si>
  <si>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</si>
  <si>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</si>
  <si>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</si>
  <si>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</si>
  <si>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</si>
  <si>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</si>
  <si>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</si>
  <si>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</si>
  <si>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</si>
  <si>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</si>
  <si>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</si>
  <si>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</si>
  <si>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</si>
  <si>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</si>
  <si>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</si>
  <si>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</si>
  <si>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</si>
  <si>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</si>
  <si>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</si>
  <si>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</si>
  <si>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</si>
  <si>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</si>
  <si>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</si>
  <si>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</si>
  <si>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</si>
  <si>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</si>
  <si>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</si>
  <si>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</si>
  <si>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</si>
  <si>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</si>
  <si>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</si>
  <si>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</si>
  <si>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</si>
  <si>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</si>
  <si>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</si>
  <si>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</si>
  <si>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</si>
  <si>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</si>
  <si>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</si>
  <si>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</si>
  <si>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</si>
  <si>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</si>
  <si>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</si>
  <si>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</si>
  <si>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</si>
  <si>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</si>
  <si>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</si>
  <si>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</si>
  <si>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</si>
  <si>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</si>
  <si>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</si>
  <si>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</si>
  <si>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</si>
  <si>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</si>
  <si>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</si>
  <si>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</si>
  <si>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</si>
  <si>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</si>
  <si>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</si>
  <si>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</si>
  <si>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</si>
  <si>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</si>
  <si>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</si>
  <si>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</si>
  <si>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</si>
  <si>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</si>
  <si>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</si>
  <si>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</si>
  <si>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</si>
  <si>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</si>
  <si>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</si>
  <si>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</si>
  <si>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</si>
  <si>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</si>
  <si>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</si>
  <si>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</si>
  <si>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</si>
  <si>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</si>
  <si>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</si>
  <si>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</si>
  <si>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</si>
  <si>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</si>
  <si>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</si>
  <si>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</si>
  <si>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</si>
  <si>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</si>
  <si>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</si>
  <si>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</si>
  <si>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</si>
  <si>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</si>
  <si>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</si>
  <si>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</si>
  <si>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</si>
  <si>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</si>
  <si>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</si>
  <si>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</si>
  <si>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</si>
  <si>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</si>
  <si>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</si>
  <si>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</si>
  <si>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</si>
  <si>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</si>
  <si>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</si>
  <si>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</si>
  <si>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</si>
  <si>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</si>
  <si>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</si>
  <si>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</si>
  <si>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</si>
  <si>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</si>
  <si>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</si>
  <si>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</si>
  <si>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</si>
  <si>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</si>
  <si>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</si>
  <si>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</si>
  <si>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</si>
  <si>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</si>
  <si>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</si>
  <si>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</si>
  <si>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</si>
  <si>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</si>
  <si>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</si>
  <si>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</si>
  <si>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</si>
  <si>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</si>
  <si>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</si>
  <si>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</si>
  <si>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</si>
  <si>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</si>
  <si>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</si>
  <si>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</si>
  <si>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</si>
  <si>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</si>
  <si>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</si>
  <si>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</si>
  <si>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</si>
  <si>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</si>
  <si>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</si>
  <si>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</si>
  <si>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</si>
  <si>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</si>
  <si>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</si>
  <si>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</si>
  <si>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</si>
  <si>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</si>
  <si>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</si>
  <si>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</si>
  <si>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</si>
  <si>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</si>
  <si>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</si>
  <si>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</si>
  <si>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</si>
  <si>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</si>
  <si>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</si>
  <si>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</si>
  <si>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</si>
  <si>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</si>
  <si>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</si>
  <si>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</si>
  <si>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</si>
  <si>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</si>
  <si>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</si>
  <si>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</si>
  <si>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</si>
  <si>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</si>
  <si>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</si>
  <si>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</si>
  <si>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</si>
  <si>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</si>
  <si>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</si>
  <si>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</si>
  <si>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</si>
  <si>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</si>
  <si>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</si>
  <si>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</si>
  <si>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</si>
  <si>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</si>
  <si>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</si>
  <si>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</si>
  <si>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</si>
  <si>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</si>
  <si>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</si>
  <si>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</si>
  <si>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</si>
  <si>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</si>
  <si>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</si>
  <si>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</si>
  <si>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</si>
  <si>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</si>
  <si>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</si>
  <si>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</si>
  <si>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</si>
  <si>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</si>
  <si>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</si>
  <si>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</si>
  <si>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</si>
  <si>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</si>
  <si>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</si>
  <si>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</si>
  <si>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</si>
  <si>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</si>
  <si>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</si>
  <si>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</si>
  <si>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</si>
  <si>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</si>
  <si>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</si>
  <si>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</si>
  <si>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</si>
  <si>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</si>
  <si>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</si>
  <si>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</si>
  <si>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</si>
  <si>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</si>
  <si>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</si>
  <si>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</si>
  <si>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</si>
  <si>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</si>
  <si>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</si>
  <si>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</si>
  <si>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</si>
  <si>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</si>
  <si>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</si>
  <si>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</si>
  <si>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</si>
  <si>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</si>
  <si>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</si>
  <si>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</si>
  <si>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</si>
  <si>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</si>
  <si>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</si>
  <si>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</si>
  <si>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</si>
  <si>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</si>
  <si>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</si>
  <si>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</si>
  <si>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</si>
  <si>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</si>
  <si>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</si>
  <si>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</si>
  <si>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</si>
  <si>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</si>
  <si>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</si>
  <si>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</si>
  <si>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</si>
  <si>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</si>
  <si>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</si>
  <si>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</si>
  <si>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</si>
  <si>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</si>
  <si>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</si>
  <si>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</si>
  <si>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</si>
  <si>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</si>
  <si>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</si>
  <si>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</si>
  <si>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</si>
  <si>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</si>
  <si>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</si>
  <si>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</si>
  <si>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</si>
  <si>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</si>
  <si>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</si>
  <si>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</si>
  <si>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</si>
  <si>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</si>
  <si>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</si>
  <si>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</si>
  <si>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</si>
  <si>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</si>
  <si>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</si>
  <si>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</si>
  <si>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</si>
  <si>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</si>
  <si>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</si>
  <si>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</si>
  <si>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</si>
  <si>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</si>
  <si>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</si>
  <si>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</si>
  <si>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</si>
  <si>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</si>
  <si>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</si>
  <si>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</si>
  <si>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</si>
  <si>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</si>
  <si>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</si>
  <si>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</si>
  <si>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</si>
  <si>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</si>
  <si>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</si>
  <si>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</si>
  <si>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</si>
  <si>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</si>
  <si>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</si>
  <si>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</si>
  <si>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</si>
  <si>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</si>
  <si>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</si>
  <si>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</si>
  <si>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</si>
  <si>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</si>
  <si>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</si>
  <si>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</si>
  <si>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</si>
  <si>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</si>
  <si>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</si>
  <si>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</si>
  <si>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</si>
  <si>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</si>
  <si>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</si>
  <si>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</si>
  <si>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</si>
  <si>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</si>
  <si>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</si>
  <si>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</si>
  <si>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</si>
  <si>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</si>
  <si>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</si>
  <si>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</si>
  <si>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</si>
  <si>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</si>
  <si>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</si>
  <si>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</si>
  <si>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</si>
  <si>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</si>
  <si>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</si>
  <si>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</si>
  <si>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</si>
  <si>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</si>
  <si>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</si>
  <si>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</si>
  <si>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</si>
  <si>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</si>
  <si>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</si>
  <si>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</si>
  <si>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</si>
  <si>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</si>
  <si>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</si>
  <si>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</si>
  <si>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</si>
  <si>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</si>
  <si>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</si>
  <si>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</si>
  <si>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</si>
  <si>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</si>
  <si>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</si>
  <si>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</si>
  <si>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</si>
  <si>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</si>
  <si>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</si>
  <si>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</si>
  <si>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</si>
  <si>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</si>
  <si>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</si>
  <si>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</si>
  <si>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</si>
  <si>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</si>
  <si>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</si>
  <si>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</si>
  <si>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</si>
  <si>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</si>
  <si>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</si>
  <si>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</si>
  <si>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</si>
  <si>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</si>
  <si>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</si>
  <si>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</si>
  <si>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</si>
  <si>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</si>
  <si>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</si>
  <si>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</si>
  <si>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</si>
  <si>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</si>
  <si>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</si>
  <si>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</si>
  <si>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</si>
  <si>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</si>
  <si>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</si>
  <si>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</si>
  <si>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</si>
  <si>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</si>
  <si>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</si>
  <si>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</si>
  <si>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</si>
  <si>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</si>
  <si>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</si>
  <si>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</si>
  <si>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</si>
  <si>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</si>
  <si>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</si>
  <si>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</si>
  <si>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</si>
  <si>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</si>
  <si>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</si>
  <si>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</si>
  <si>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</si>
  <si>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</si>
  <si>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</si>
  <si>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</si>
  <si>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</si>
  <si>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</si>
  <si>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</si>
  <si>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</si>
  <si>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</si>
  <si>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</si>
  <si>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</si>
  <si>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</si>
  <si>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</si>
  <si>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</si>
  <si>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</si>
  <si>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</si>
  <si>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</si>
  <si>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</si>
  <si>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</si>
  <si>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</si>
  <si>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</si>
  <si>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</si>
  <si>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</si>
  <si>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</si>
  <si>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</si>
  <si>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</si>
  <si>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</si>
  <si>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</si>
  <si>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</si>
  <si>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</si>
  <si>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</si>
  <si>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</si>
  <si>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</si>
  <si>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</si>
  <si>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</si>
  <si>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</si>
  <si>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</si>
  <si>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</si>
  <si>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</si>
  <si>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</si>
  <si>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</si>
  <si>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</si>
  <si>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</si>
  <si>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</si>
  <si>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</si>
  <si>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</si>
  <si>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</si>
  <si>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</si>
  <si>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</si>
  <si>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</si>
  <si>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</si>
  <si>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</si>
  <si>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</si>
  <si>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</si>
  <si>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</si>
  <si>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</si>
  <si>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</si>
  <si>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</si>
  <si>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</si>
  <si>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</si>
  <si>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</si>
  <si>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</si>
  <si>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</si>
  <si>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</si>
  <si>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</si>
  <si>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</si>
  <si>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</si>
  <si>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</si>
  <si>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</si>
  <si>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</si>
  <si>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</si>
  <si>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</si>
  <si>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</si>
  <si>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</si>
  <si>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</si>
  <si>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</si>
  <si>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</si>
  <si>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</si>
  <si>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</si>
  <si>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</si>
  <si>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</si>
  <si>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</si>
  <si>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</si>
  <si>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</si>
  <si>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</si>
  <si>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</si>
  <si>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</si>
  <si>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</si>
  <si>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</si>
  <si>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</si>
  <si>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</si>
  <si>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</si>
  <si>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</si>
  <si>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</si>
  <si>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</si>
  <si>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</si>
  <si>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</si>
  <si>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</si>
  <si>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</si>
  <si>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</si>
  <si>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</si>
  <si>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</si>
  <si>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</si>
  <si>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</si>
  <si>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</si>
  <si>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</si>
  <si>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</si>
  <si>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</si>
  <si>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</si>
  <si>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</si>
  <si>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</si>
  <si>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</si>
  <si>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</si>
  <si>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</si>
  <si>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</si>
  <si>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</si>
  <si>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</si>
  <si>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</si>
  <si>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</si>
  <si>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</si>
  <si>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</si>
  <si>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</si>
  <si>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</si>
  <si>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</si>
  <si>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</si>
  <si>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</si>
  <si>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</si>
  <si>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</si>
  <si>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</si>
  <si>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</si>
  <si>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</si>
  <si>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</si>
  <si>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</si>
  <si>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</si>
  <si>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</si>
  <si>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</si>
  <si>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</si>
  <si>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</si>
  <si>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</si>
  <si>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</si>
  <si>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Reserved for encumbrances &amp; FB remaing to City</t>
  </si>
  <si>
    <t>Balances in collection from prior years</t>
  </si>
  <si>
    <t>Transfers held by City</t>
  </si>
  <si>
    <t>Dover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</si>
</sst>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7" borderId="0" xfId="0" applyFill="1" applyAlignment="1">
      <alignment horizontal="center"/>
    </xf>
    <xf numFmtId="40" fontId="3" fillId="7" borderId="0" xfId="0" applyNumberFormat="1" applyFont="1" applyFill="1" applyProtection="1"/>
    <xf numFmtId="4" fontId="0" fillId="41" borderId="0" xfId="0" applyNumberFormat="1" applyFill="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1645</v>
      </c>
      <c r="B2" s="21">
        <v>141</v>
      </c>
      <c r="C2" s="21">
        <v>141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337904.36</v>
      </c>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52703.58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35026.240000000005</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8">
        <v>1451874.3499999996</v>
      </c>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0</v>
      </c>
      <c r="G19" s="41">
        <f>SUM(G9:G18)</f>
        <v>425634.18</v>
      </c>
      <c r="H19" s="41">
        <f>SUM(H9:H18)</f>
        <v>1451874.3499999996</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591.65</v>
      </c>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80140.41</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0</v>
      </c>
      <c r="G32" s="41">
        <f>SUM(G22:G31)</f>
        <v>80732.06</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35026.240000000005</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309875.88</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1451874.3499999996</v>
      </c>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0</v>
      </c>
      <c r="G51" s="41">
        <f>SUM(G35:G50)</f>
        <v>344902.12</v>
      </c>
      <c r="H51" s="41">
        <f>SUM(H35:H50)</f>
        <v>1451874.3499999996</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0</v>
      </c>
      <c r="G52" s="41">
        <f>G51+G32</f>
        <v>425634.18</v>
      </c>
      <c r="H52" s="41">
        <f>H51+H32</f>
        <v>1451874.3499999996</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41159771</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41159771</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10088</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650</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v>95452.79</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3879835.5599999996</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f>327652.47+40103.16</f>
        <v>367755.63</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96274.27</v>
      </c>
      <c r="G70" s="24" t="s">
        <v>288</v>
      </c>
      <c r="H70" s="18">
        <v>99849.95</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31637.07</v>
      </c>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7376.41</v>
      </c>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4393616.9399999995</v>
      </c>
      <c r="G79" s="45" t="s">
        <v>288</v>
      </c>
      <c r="H79" s="41">
        <f>SUM(H63:H78)</f>
        <v>195302.74</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47330.19</v>
      </c>
      <c r="G83" s="24" t="s">
        <v>288</v>
      </c>
      <c r="H83" s="18">
        <f>929.27</f>
        <v>929.27</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47330.19</v>
      </c>
      <c r="G94" s="45" t="s">
        <v>288</v>
      </c>
      <c r="H94" s="41">
        <f>SUM(H83:H93)</f>
        <v>929.27</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898609.38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v>152557.32</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v>1421</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v>19091.190000000002</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0</v>
      </c>
      <c r="G111" s="41">
        <f>SUM(G96:G110)</f>
        <v>898609.38</v>
      </c>
      <c r="H111" s="41">
        <f>SUM(H96:H110)</f>
        <v>173069.51</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45600718.129999995</v>
      </c>
      <c r="G112" s="41">
        <f>G60+G111</f>
        <v>898609.38</v>
      </c>
      <c r="H112" s="41">
        <f>H60+H79+H94+H111</f>
        <v>369301.52</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10034450.880000001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7036198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22876.47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17093525.350000001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529088.13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572853.43999999994</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373038.72</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2632</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v>506007.72</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22107.41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118362.94</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1477612.2899999998</v>
      </c>
      <c r="G136" s="41">
        <f>SUM(G123:G135)</f>
        <v>22107.41</v>
      </c>
      <c r="H136" s="41">
        <f>SUM(H123:H135)</f>
        <v>624370.65999999992</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18571137.640000001</v>
      </c>
      <c r="G140" s="41">
        <f>G121+SUM(G136:G137)</f>
        <v>22107.41</v>
      </c>
      <c r="H140" s="41">
        <f>H121+SUM(H136:H139)</f>
        <v>624370.65999999992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f>45918+101029.02</f>
        <v>146947.02000000002</v>
      </c>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146947.02000000002</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635.78</v>
      </c>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660294.3899999999</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199298.53000000003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305640.14</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506007.72</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371396.75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1371829.03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57058.53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107543.29</v>
      </c>
      <c r="H161" s="18">
        <v>492751.97</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57694.31</v>
      </c>
      <c r="G163" s="41">
        <f>SUM(G150:G162)</f>
        <v>478940.04</v>
      </c>
      <c r="H163" s="41">
        <f>SUM(H150:H162)</f>
        <v>3535821.7800000003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204641.33000000002</v>
      </c>
      <c r="G170" s="41">
        <f>G147+G163+SUM(G164:G169)</f>
        <v>478940.04</v>
      </c>
      <c r="H170" s="41">
        <f>H147+H163+SUM(H164:H169)</f>
        <v>3535821.7800000003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v>6215599.7799999993</v>
      </c>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6215599.7799999993</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v>21447</v>
      </c>
      <c r="I180" s="18">
        <v>379097</v>
      </c>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21447</v>
      </c>
      <c r="I184" s="41">
        <f>SUM(I180:I183)</f>
        <v>379097</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21447</v>
      </c>
      <c r="I193" s="41">
        <f>I178+I184+SUM(I189:I192)</f>
        <v>6594696.7799999993</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64376497.099999994</v>
      </c>
      <c r="G194" s="47">
        <f>G112+G140+G170+G193</f>
        <v>1399656.83</v>
      </c>
      <c r="H194" s="47">
        <f>H112+H140+H170+H193</f>
        <v>4550940.96</v>
      </c>
      <c r="I194" s="47">
        <f>I112+I140+I170+I193</f>
        <v>6594696.7799999993</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5725019.9050146108</v>
      </c>
      <c r="G198" s="18">
        <v>2800926.0972186862</v>
      </c>
      <c r="H198" s="18">
        <v>2851.1645248804175</v>
      </c>
      <c r="I198" s="18">
        <v>130069.76962337704</v>
      </c>
      <c r="J198" s="18">
        <v>6203.8600000000006</v>
      </c>
      <c r="K198" s="18">
        <v>0</v>
      </c>
      <c r="L198" s="19">
        <f>SUM(F198:K198)</f>
        <v>8665070.7963815536</v>
      </c>
      <c r="M198" s="8"/>
      <c r="N198" s="266"/>
    </row>
    <row r="199" spans="1:14" s="3" customFormat="1" ht="12.2" customHeight="1" x14ac:dyDescent="0.15">
      <c r="A199" s="1" t="s">
        <v>439</v>
      </c>
      <c r="B199" s="2" t="s">
        <v>341</v>
      </c>
      <c r="C199" s="2" t="s">
        <v>291</v>
      </c>
      <c r="D199" s="2" t="s">
        <v>431</v>
      </c>
      <c r="E199" s="6">
        <v>1200</v>
      </c>
      <c r="F199" s="18">
        <v>2670027.7079098206</v>
      </c>
      <c r="G199" s="18">
        <v>868503.66051247343</v>
      </c>
      <c r="H199" s="18">
        <v>930177.63361028675</v>
      </c>
      <c r="I199" s="18">
        <v>18300.395349595612</v>
      </c>
      <c r="J199" s="18">
        <v>7580.9363018235799</v>
      </c>
      <c r="K199" s="18">
        <v>11098.429337321137</v>
      </c>
      <c r="L199" s="19">
        <f>SUM(F199:K199)</f>
        <v>4505688.763021321</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6783.7920299034158</v>
      </c>
      <c r="G201" s="18">
        <v>1525.9230027843221</v>
      </c>
      <c r="H201" s="18">
        <v>601.62821650399303</v>
      </c>
      <c r="I201" s="18">
        <v>914.51638068720763</v>
      </c>
      <c r="J201" s="18">
        <v>0</v>
      </c>
      <c r="K201" s="18">
        <v>0</v>
      </c>
      <c r="L201" s="19">
        <f>SUM(F201:K201)</f>
        <v>9825.8596298789398</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1138058.08</v>
      </c>
      <c r="G203" s="18">
        <v>661616.05999999971</v>
      </c>
      <c r="H203" s="18">
        <v>154083.40777945213</v>
      </c>
      <c r="I203" s="18">
        <v>3771.3949439565936</v>
      </c>
      <c r="J203" s="18">
        <v>0</v>
      </c>
      <c r="K203" s="18">
        <v>0</v>
      </c>
      <c r="L203" s="19">
        <f t="shared" ref="L203:L209" si="0">SUM(F203:K203)</f>
        <v>1957528.9427234083</v>
      </c>
      <c r="M203" s="8"/>
      <c r="N203" s="266"/>
    </row>
    <row r="204" spans="1:14" s="3" customFormat="1" ht="12.2" customHeight="1" x14ac:dyDescent="0.15">
      <c r="A204" s="1" t="s">
        <v>443</v>
      </c>
      <c r="B204" s="2" t="s">
        <v>341</v>
      </c>
      <c r="C204" s="2" t="s">
        <v>295</v>
      </c>
      <c r="D204" s="2" t="s">
        <v>431</v>
      </c>
      <c r="E204" s="6">
        <v>2200</v>
      </c>
      <c r="F204" s="18">
        <v>350392.07349381433</v>
      </c>
      <c r="G204" s="18">
        <v>173213.55297019857</v>
      </c>
      <c r="H204" s="18">
        <v>31269.776881074769</v>
      </c>
      <c r="I204" s="18">
        <v>187057.72211784415</v>
      </c>
      <c r="J204" s="18">
        <v>0</v>
      </c>
      <c r="K204" s="18">
        <v>227.51227957449851</v>
      </c>
      <c r="L204" s="19">
        <f t="shared" si="0"/>
        <v>742160.63774250634</v>
      </c>
      <c r="M204" s="8"/>
      <c r="N204" s="266"/>
    </row>
    <row r="205" spans="1:14" s="3" customFormat="1" ht="12.2" customHeight="1" x14ac:dyDescent="0.15">
      <c r="A205" s="1" t="s">
        <v>444</v>
      </c>
      <c r="B205" s="2" t="s">
        <v>341</v>
      </c>
      <c r="C205" s="2" t="s">
        <v>296</v>
      </c>
      <c r="D205" s="2" t="s">
        <v>431</v>
      </c>
      <c r="E205" s="6">
        <v>2300</v>
      </c>
      <c r="F205" s="18">
        <v>190714.21181467944</v>
      </c>
      <c r="G205" s="18">
        <v>94142.316538032057</v>
      </c>
      <c r="H205" s="18">
        <v>227706.83060875177</v>
      </c>
      <c r="I205" s="18">
        <v>6332.2752840416542</v>
      </c>
      <c r="J205" s="18">
        <v>1645.8196812818082</v>
      </c>
      <c r="K205" s="18">
        <v>4966.4063509061807</v>
      </c>
      <c r="L205" s="19">
        <f t="shared" si="0"/>
        <v>525507.86027769279</v>
      </c>
      <c r="M205" s="8"/>
      <c r="N205" s="266"/>
    </row>
    <row r="206" spans="1:14" s="3" customFormat="1" ht="12.2" customHeight="1" x14ac:dyDescent="0.15">
      <c r="A206" s="1" t="s">
        <v>445</v>
      </c>
      <c r="B206" s="2" t="s">
        <v>341</v>
      </c>
      <c r="C206" s="2" t="s">
        <v>297</v>
      </c>
      <c r="D206" s="2" t="s">
        <v>431</v>
      </c>
      <c r="E206" s="6">
        <v>2400</v>
      </c>
      <c r="F206" s="18">
        <v>735445.59</v>
      </c>
      <c r="G206" s="18">
        <v>346386.1399999999</v>
      </c>
      <c r="H206" s="18">
        <v>1952.21</v>
      </c>
      <c r="I206" s="18">
        <v>481.62</v>
      </c>
      <c r="J206" s="18">
        <v>1995</v>
      </c>
      <c r="K206" s="18">
        <v>5086</v>
      </c>
      <c r="L206" s="19">
        <f t="shared" si="0"/>
        <v>1091346.56</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0</v>
      </c>
      <c r="G208" s="18">
        <v>0</v>
      </c>
      <c r="H208" s="18">
        <v>1262647.2585000102</v>
      </c>
      <c r="I208" s="18">
        <v>303657.81953143323</v>
      </c>
      <c r="J208" s="18">
        <v>107693.83516246978</v>
      </c>
      <c r="K208" s="18">
        <v>0</v>
      </c>
      <c r="L208" s="19">
        <f t="shared" si="0"/>
        <v>1673998.9131939134</v>
      </c>
      <c r="M208" s="8"/>
      <c r="N208" s="266"/>
    </row>
    <row r="209" spans="1:14" s="3" customFormat="1" ht="12.2" customHeight="1" x14ac:dyDescent="0.15">
      <c r="A209" s="1" t="s">
        <v>448</v>
      </c>
      <c r="B209" s="2" t="s">
        <v>341</v>
      </c>
      <c r="C209" s="2" t="s">
        <v>300</v>
      </c>
      <c r="D209" s="2" t="s">
        <v>431</v>
      </c>
      <c r="E209" s="6">
        <v>2700</v>
      </c>
      <c r="F209" s="18">
        <v>1896.2180365174556</v>
      </c>
      <c r="G209" s="18">
        <v>189.73417673816155</v>
      </c>
      <c r="H209" s="18">
        <v>875283.72460920061</v>
      </c>
      <c r="I209" s="18">
        <v>0</v>
      </c>
      <c r="J209" s="18">
        <v>0</v>
      </c>
      <c r="K209" s="18">
        <v>0</v>
      </c>
      <c r="L209" s="19">
        <f t="shared" si="0"/>
        <v>877369.67682245618</v>
      </c>
      <c r="M209" s="8"/>
      <c r="N209" s="266"/>
    </row>
    <row r="210" spans="1:14" s="3" customFormat="1" ht="12.2" customHeight="1" x14ac:dyDescent="0.15">
      <c r="A210" s="1" t="s">
        <v>449</v>
      </c>
      <c r="B210" s="2" t="s">
        <v>341</v>
      </c>
      <c r="C210" s="2" t="s">
        <v>343</v>
      </c>
      <c r="D210" s="2" t="s">
        <v>431</v>
      </c>
      <c r="E210" s="6">
        <v>2800</v>
      </c>
      <c r="F210" s="18">
        <v>135328.08654188213</v>
      </c>
      <c r="G210" s="18">
        <v>86516.676365006279</v>
      </c>
      <c r="H210" s="18">
        <v>47456.143276627008</v>
      </c>
      <c r="I210" s="18">
        <v>115925.81859396833</v>
      </c>
      <c r="J210" s="18">
        <v>48928.659455221379</v>
      </c>
      <c r="K210" s="18">
        <v>1009.8018427010986</v>
      </c>
      <c r="L210" s="19">
        <f>SUM(F210:K210)</f>
        <v>435165.18607540627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10953665.664841227</v>
      </c>
      <c r="G212" s="41">
        <f t="shared" si="1"/>
        <v>5033020.1607839195</v>
      </c>
      <c r="H212" s="41">
        <f t="shared" si="1"/>
        <v>3534029.7780067883</v>
      </c>
      <c r="I212" s="41">
        <f t="shared" si="1"/>
        <v>766511.33182490373</v>
      </c>
      <c r="J212" s="41">
        <f t="shared" si="1"/>
        <v>174048.11060079656</v>
      </c>
      <c r="K212" s="41">
        <f t="shared" si="1"/>
        <v>22388.149810502913</v>
      </c>
      <c r="L212" s="41">
        <f t="shared" si="1"/>
        <v>20483663.195868142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v>3906724.4393409421</v>
      </c>
      <c r="G216" s="18">
        <v>1925658.3271577475</v>
      </c>
      <c r="H216" s="18">
        <v>3456.0246612408082</v>
      </c>
      <c r="I216" s="18">
        <v>61786.57611683954</v>
      </c>
      <c r="J216" s="18">
        <v>3088.26</v>
      </c>
      <c r="K216" s="18">
        <v>0</v>
      </c>
      <c r="L216" s="19">
        <f>SUM(F216:K216)</f>
        <v>5900713.6272767698</v>
      </c>
      <c r="M216" s="8"/>
      <c r="N216" s="266"/>
    </row>
    <row r="217" spans="1:14" s="3" customFormat="1" ht="12.2" customHeight="1" x14ac:dyDescent="0.15">
      <c r="A217" s="1" t="s">
        <v>439</v>
      </c>
      <c r="B217" s="2" t="s">
        <v>346</v>
      </c>
      <c r="C217" s="2" t="s">
        <v>291</v>
      </c>
      <c r="D217" s="2" t="s">
        <v>431</v>
      </c>
      <c r="E217" s="6">
        <v>1200</v>
      </c>
      <c r="F217" s="18">
        <v>1661921.9807625778</v>
      </c>
      <c r="G217" s="18">
        <v>539991.5253989331</v>
      </c>
      <c r="H217" s="18">
        <v>1788954.8320616223</v>
      </c>
      <c r="I217" s="18">
        <v>12280.003566584055</v>
      </c>
      <c r="J217" s="18">
        <v>5841.5383428693822</v>
      </c>
      <c r="K217" s="18">
        <v>9114.6465775275628</v>
      </c>
      <c r="L217" s="19">
        <f>SUM(F217:K217)</f>
        <v>4018104.5267101144</v>
      </c>
      <c r="M217" s="8"/>
      <c r="N217" s="266"/>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6"/>
    </row>
    <row r="219" spans="1:14" s="3" customFormat="1" ht="12.2" customHeight="1" x14ac:dyDescent="0.15">
      <c r="A219" s="1" t="s">
        <v>441</v>
      </c>
      <c r="B219" s="2" t="s">
        <v>346</v>
      </c>
      <c r="C219" s="2" t="s">
        <v>293</v>
      </c>
      <c r="D219" s="2" t="s">
        <v>431</v>
      </c>
      <c r="E219" s="6">
        <v>1400</v>
      </c>
      <c r="F219" s="18">
        <v>26673.903474793216</v>
      </c>
      <c r="G219" s="18">
        <v>5258.6277382737198</v>
      </c>
      <c r="H219" s="18">
        <v>5821.0905057675245</v>
      </c>
      <c r="I219" s="18">
        <v>1173.2516439739313</v>
      </c>
      <c r="J219" s="18">
        <v>0</v>
      </c>
      <c r="K219" s="18">
        <v>1270</v>
      </c>
      <c r="L219" s="19">
        <f>SUM(F219:K219)</f>
        <v>40196.873362808394</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v>619297.46</v>
      </c>
      <c r="G221" s="18">
        <v>307535.72000000003</v>
      </c>
      <c r="H221" s="18">
        <v>71192.785160073021</v>
      </c>
      <c r="I221" s="18">
        <v>2142.9852680802455</v>
      </c>
      <c r="J221" s="18">
        <v>0</v>
      </c>
      <c r="K221" s="18">
        <v>0</v>
      </c>
      <c r="L221" s="19">
        <f t="shared" ref="L221:L227" si="2">SUM(F221:K221)</f>
        <v>1000168.9504281533</v>
      </c>
      <c r="M221" s="8"/>
      <c r="N221" s="266"/>
    </row>
    <row r="222" spans="1:14" s="3" customFormat="1" ht="12.2" customHeight="1" x14ac:dyDescent="0.15">
      <c r="A222" s="1" t="s">
        <v>443</v>
      </c>
      <c r="B222" s="2" t="s">
        <v>346</v>
      </c>
      <c r="C222" s="2" t="s">
        <v>295</v>
      </c>
      <c r="D222" s="2" t="s">
        <v>431</v>
      </c>
      <c r="E222" s="6">
        <v>2200</v>
      </c>
      <c r="F222" s="18">
        <v>163307.78586716845</v>
      </c>
      <c r="G222" s="18">
        <v>88271.123658476892</v>
      </c>
      <c r="H222" s="18">
        <v>21333.586750400311</v>
      </c>
      <c r="I222" s="18">
        <v>126389.13163693663</v>
      </c>
      <c r="J222" s="18">
        <v>0</v>
      </c>
      <c r="K222" s="18">
        <v>186.84571999714427</v>
      </c>
      <c r="L222" s="19">
        <f t="shared" si="2"/>
        <v>399488.47363297944</v>
      </c>
      <c r="M222" s="8"/>
      <c r="N222" s="266"/>
    </row>
    <row r="223" spans="1:14" s="3" customFormat="1" ht="12.2" customHeight="1" x14ac:dyDescent="0.15">
      <c r="A223" s="1" t="s">
        <v>444</v>
      </c>
      <c r="B223" s="2" t="s">
        <v>346</v>
      </c>
      <c r="C223" s="2" t="s">
        <v>296</v>
      </c>
      <c r="D223" s="2" t="s">
        <v>431</v>
      </c>
      <c r="E223" s="6">
        <v>2300</v>
      </c>
      <c r="F223" s="18">
        <v>156625.10299156545</v>
      </c>
      <c r="G223" s="18">
        <v>77314.898996420176</v>
      </c>
      <c r="H223" s="18">
        <v>190358.42920590725</v>
      </c>
      <c r="I223" s="18">
        <v>5200.4161572275088</v>
      </c>
      <c r="J223" s="18">
        <v>1351.6385309386123</v>
      </c>
      <c r="K223" s="18">
        <v>4078.6887291048351</v>
      </c>
      <c r="L223" s="19">
        <f t="shared" si="2"/>
        <v>434929.17461116379</v>
      </c>
      <c r="M223" s="8"/>
      <c r="N223" s="266"/>
    </row>
    <row r="224" spans="1:14" s="3" customFormat="1" ht="12.2" customHeight="1" x14ac:dyDescent="0.15">
      <c r="A224" s="1" t="s">
        <v>445</v>
      </c>
      <c r="B224" s="2" t="s">
        <v>346</v>
      </c>
      <c r="C224" s="2" t="s">
        <v>297</v>
      </c>
      <c r="D224" s="2" t="s">
        <v>431</v>
      </c>
      <c r="E224" s="6">
        <v>2400</v>
      </c>
      <c r="F224" s="18">
        <v>436573.14</v>
      </c>
      <c r="G224" s="18">
        <v>207513.5</v>
      </c>
      <c r="H224" s="18">
        <v>511.48</v>
      </c>
      <c r="I224" s="18">
        <v>720.52</v>
      </c>
      <c r="J224" s="18">
        <v>403.34</v>
      </c>
      <c r="K224" s="18">
        <v>2816.49</v>
      </c>
      <c r="L224" s="19">
        <f t="shared" si="2"/>
        <v>648538.47</v>
      </c>
      <c r="M224" s="8"/>
      <c r="N224" s="266"/>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6"/>
    </row>
    <row r="226" spans="1:14" s="3" customFormat="1" ht="12.2" customHeight="1" x14ac:dyDescent="0.15">
      <c r="A226" s="1" t="s">
        <v>447</v>
      </c>
      <c r="B226" s="2" t="s">
        <v>346</v>
      </c>
      <c r="C226" s="2" t="s">
        <v>299</v>
      </c>
      <c r="D226" s="2" t="s">
        <v>431</v>
      </c>
      <c r="E226" s="6">
        <v>2600</v>
      </c>
      <c r="F226" s="18">
        <v>0</v>
      </c>
      <c r="G226" s="18">
        <v>0</v>
      </c>
      <c r="H226" s="18">
        <v>1019308.721713327</v>
      </c>
      <c r="I226" s="18">
        <v>274807.51047384471</v>
      </c>
      <c r="J226" s="18">
        <v>36582.503299268734</v>
      </c>
      <c r="K226" s="18">
        <v>802.9</v>
      </c>
      <c r="L226" s="19">
        <f t="shared" si="2"/>
        <v>1331501.6354864403</v>
      </c>
      <c r="M226" s="8"/>
      <c r="N226" s="266"/>
    </row>
    <row r="227" spans="1:14" s="3" customFormat="1" ht="12.2" customHeight="1" x14ac:dyDescent="0.15">
      <c r="A227" s="1" t="s">
        <v>448</v>
      </c>
      <c r="B227" s="2" t="s">
        <v>346</v>
      </c>
      <c r="C227" s="2" t="s">
        <v>300</v>
      </c>
      <c r="D227" s="2" t="s">
        <v>431</v>
      </c>
      <c r="E227" s="6">
        <v>2700</v>
      </c>
      <c r="F227" s="18">
        <v>1557.2795673591775</v>
      </c>
      <c r="G227" s="18">
        <v>155.82024375567318</v>
      </c>
      <c r="H227" s="18">
        <v>910126.50459229574</v>
      </c>
      <c r="I227" s="18">
        <v>0</v>
      </c>
      <c r="J227" s="18">
        <v>0</v>
      </c>
      <c r="K227" s="18">
        <v>0</v>
      </c>
      <c r="L227" s="19">
        <f t="shared" si="2"/>
        <v>911839.60440341057</v>
      </c>
      <c r="M227" s="8"/>
      <c r="N227" s="266"/>
    </row>
    <row r="228" spans="1:14" s="3" customFormat="1" ht="12.2" customHeight="1" x14ac:dyDescent="0.15">
      <c r="A228" s="1" t="s">
        <v>449</v>
      </c>
      <c r="B228" s="2" t="s">
        <v>346</v>
      </c>
      <c r="C228" s="2" t="s">
        <v>343</v>
      </c>
      <c r="D228" s="2" t="s">
        <v>431</v>
      </c>
      <c r="E228" s="6">
        <v>2800</v>
      </c>
      <c r="F228" s="18">
        <v>111138.9407773664</v>
      </c>
      <c r="G228" s="18">
        <v>71286.682403696119</v>
      </c>
      <c r="H228" s="18">
        <v>38973.620568491271</v>
      </c>
      <c r="I228" s="18">
        <v>95204.720738406293</v>
      </c>
      <c r="J228" s="18">
        <v>40182.932637762751</v>
      </c>
      <c r="K228" s="18">
        <v>829.30535752531898</v>
      </c>
      <c r="L228" s="19">
        <f>SUM(F228:K228)</f>
        <v>357616.20248324814</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7083820.0327817714</v>
      </c>
      <c r="G230" s="41">
        <f>SUM(G216:G229)</f>
        <v>3222986.2255973034</v>
      </c>
      <c r="H230" s="41">
        <f>SUM(H216:H229)</f>
        <v>4050037.075219125</v>
      </c>
      <c r="I230" s="41">
        <f>SUM(I216:I229)</f>
        <v>579705.11560189282</v>
      </c>
      <c r="J230" s="41">
        <f>SUM(J216:J229)</f>
        <v>87450.212810839468</v>
      </c>
      <c r="K230" s="41">
        <f t="shared" si="3"/>
        <v>19098.876384154861</v>
      </c>
      <c r="L230" s="41">
        <f t="shared" si="3"/>
        <v>15043097.538395088</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4633092.8256444475</v>
      </c>
      <c r="G234" s="18">
        <v>2315823.3956235657</v>
      </c>
      <c r="H234" s="18">
        <v>28364.080813878772</v>
      </c>
      <c r="I234" s="18">
        <v>59285.454259783379</v>
      </c>
      <c r="J234" s="18">
        <v>0</v>
      </c>
      <c r="K234" s="18">
        <v>0</v>
      </c>
      <c r="L234" s="19">
        <f>SUM(F234:K234)</f>
        <v>7036565.7563416753</v>
      </c>
      <c r="M234" s="8"/>
      <c r="N234" s="266"/>
    </row>
    <row r="235" spans="1:14" s="3" customFormat="1" ht="12.2" customHeight="1" x14ac:dyDescent="0.15">
      <c r="A235" s="1" t="s">
        <v>439</v>
      </c>
      <c r="B235" s="2" t="s">
        <v>350</v>
      </c>
      <c r="C235" s="2" t="s">
        <v>291</v>
      </c>
      <c r="D235" s="2" t="s">
        <v>431</v>
      </c>
      <c r="E235" s="6">
        <v>1200</v>
      </c>
      <c r="F235" s="18">
        <v>1536872.7513276015</v>
      </c>
      <c r="G235" s="18">
        <v>568859.66408859356</v>
      </c>
      <c r="H235" s="18">
        <v>1526341.3443280912</v>
      </c>
      <c r="I235" s="18">
        <v>23170.921083820336</v>
      </c>
      <c r="J235" s="18">
        <v>7617.2153553070411</v>
      </c>
      <c r="K235" s="18">
        <v>11974.264085151302</v>
      </c>
      <c r="L235" s="19">
        <f>SUM(F235:K235)</f>
        <v>3674836.1602685652</v>
      </c>
      <c r="M235" s="8"/>
      <c r="N235" s="266"/>
    </row>
    <row r="236" spans="1:14" s="3" customFormat="1" ht="12.2" customHeight="1" x14ac:dyDescent="0.15">
      <c r="A236" s="1" t="s">
        <v>440</v>
      </c>
      <c r="B236" s="2" t="s">
        <v>350</v>
      </c>
      <c r="C236" s="2" t="s">
        <v>292</v>
      </c>
      <c r="D236" s="2" t="s">
        <v>431</v>
      </c>
      <c r="E236" s="6">
        <v>1300</v>
      </c>
      <c r="F236" s="18">
        <v>1205763.21</v>
      </c>
      <c r="G236" s="18">
        <v>548361.53</v>
      </c>
      <c r="H236" s="18">
        <v>16958.829999999998</v>
      </c>
      <c r="I236" s="18">
        <v>134702.9</v>
      </c>
      <c r="J236" s="18">
        <v>6601.86</v>
      </c>
      <c r="K236" s="18">
        <v>7048.27</v>
      </c>
      <c r="L236" s="19">
        <f>SUM(F236:K236)</f>
        <v>1919436.6</v>
      </c>
      <c r="M236" s="8"/>
      <c r="N236" s="266"/>
    </row>
    <row r="237" spans="1:14" s="3" customFormat="1" ht="12.2" customHeight="1" x14ac:dyDescent="0.15">
      <c r="A237" s="1" t="s">
        <v>441</v>
      </c>
      <c r="B237" s="2" t="s">
        <v>350</v>
      </c>
      <c r="C237" s="2" t="s">
        <v>293</v>
      </c>
      <c r="D237" s="2" t="s">
        <v>431</v>
      </c>
      <c r="E237" s="6">
        <v>1400</v>
      </c>
      <c r="F237" s="18">
        <v>283749.14449530339</v>
      </c>
      <c r="G237" s="18">
        <v>105408.62925894196</v>
      </c>
      <c r="H237" s="18">
        <v>37069.461277728486</v>
      </c>
      <c r="I237" s="18">
        <v>26117.88197533886</v>
      </c>
      <c r="J237" s="18">
        <v>18781.8</v>
      </c>
      <c r="K237" s="18">
        <v>37640</v>
      </c>
      <c r="L237" s="19">
        <f>SUM(F237:K237)</f>
        <v>508766.9170073127</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v>663367.8899999999</v>
      </c>
      <c r="G239" s="18">
        <v>331186.02999999997</v>
      </c>
      <c r="H239" s="18">
        <v>96148.677060474874</v>
      </c>
      <c r="I239" s="18">
        <v>3304.8797879631616</v>
      </c>
      <c r="J239" s="18">
        <v>0</v>
      </c>
      <c r="K239" s="18">
        <v>0</v>
      </c>
      <c r="L239" s="19">
        <f t="shared" ref="L239:L245" si="4">SUM(F239:K239)</f>
        <v>1094007.4768484379</v>
      </c>
      <c r="M239" s="8"/>
      <c r="N239" s="266"/>
    </row>
    <row r="240" spans="1:14" s="3" customFormat="1" ht="12.2" customHeight="1" x14ac:dyDescent="0.15">
      <c r="A240" s="1" t="s">
        <v>443</v>
      </c>
      <c r="B240" s="2" t="s">
        <v>350</v>
      </c>
      <c r="C240" s="2" t="s">
        <v>295</v>
      </c>
      <c r="D240" s="2" t="s">
        <v>431</v>
      </c>
      <c r="E240" s="6">
        <v>2200</v>
      </c>
      <c r="F240" s="18">
        <v>226559.08063901722</v>
      </c>
      <c r="G240" s="18">
        <v>86522.853371324542</v>
      </c>
      <c r="H240" s="18">
        <v>28111.356368524921</v>
      </c>
      <c r="I240" s="18">
        <v>138273.90624521923</v>
      </c>
      <c r="J240" s="18">
        <v>0</v>
      </c>
      <c r="K240" s="18">
        <v>243.64200042835725</v>
      </c>
      <c r="L240" s="19">
        <f t="shared" si="4"/>
        <v>479710.83862451423</v>
      </c>
      <c r="M240" s="8"/>
      <c r="N240" s="266"/>
    </row>
    <row r="241" spans="1:14" s="3" customFormat="1" ht="12.2" customHeight="1" x14ac:dyDescent="0.15">
      <c r="A241" s="1" t="s">
        <v>444</v>
      </c>
      <c r="B241" s="2" t="s">
        <v>350</v>
      </c>
      <c r="C241" s="2" t="s">
        <v>296</v>
      </c>
      <c r="D241" s="2" t="s">
        <v>431</v>
      </c>
      <c r="E241" s="6">
        <v>2300</v>
      </c>
      <c r="F241" s="18">
        <v>204235.09519375517</v>
      </c>
      <c r="G241" s="18">
        <v>100816.63446554788</v>
      </c>
      <c r="H241" s="18">
        <v>238808.53018534099</v>
      </c>
      <c r="I241" s="18">
        <v>6781.2085587308393</v>
      </c>
      <c r="J241" s="18">
        <v>1762.5017877795797</v>
      </c>
      <c r="K241" s="18">
        <v>5318.5049199889854</v>
      </c>
      <c r="L241" s="19">
        <f t="shared" si="4"/>
        <v>557722.47511114343</v>
      </c>
      <c r="M241" s="8"/>
      <c r="N241" s="266"/>
    </row>
    <row r="242" spans="1:14" s="3" customFormat="1" ht="12.2" customHeight="1" x14ac:dyDescent="0.15">
      <c r="A242" s="1" t="s">
        <v>445</v>
      </c>
      <c r="B242" s="2" t="s">
        <v>350</v>
      </c>
      <c r="C242" s="2" t="s">
        <v>297</v>
      </c>
      <c r="D242" s="2" t="s">
        <v>431</v>
      </c>
      <c r="E242" s="6">
        <v>2400</v>
      </c>
      <c r="F242" s="18">
        <v>668975.80000000016</v>
      </c>
      <c r="G242" s="18">
        <v>310186.13000000006</v>
      </c>
      <c r="H242" s="18">
        <v>19225.02</v>
      </c>
      <c r="I242" s="18">
        <v>18189.7</v>
      </c>
      <c r="J242" s="18">
        <v>0</v>
      </c>
      <c r="K242" s="18">
        <v>5859</v>
      </c>
      <c r="L242" s="19">
        <f t="shared" si="4"/>
        <v>1022435.6500000001</v>
      </c>
      <c r="M242" s="8"/>
      <c r="N242" s="266"/>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6"/>
    </row>
    <row r="244" spans="1:14" s="3" customFormat="1" ht="12.2" customHeight="1" x14ac:dyDescent="0.15">
      <c r="A244" s="1" t="s">
        <v>447</v>
      </c>
      <c r="B244" s="2" t="s">
        <v>350</v>
      </c>
      <c r="C244" s="2" t="s">
        <v>299</v>
      </c>
      <c r="D244" s="2" t="s">
        <v>431</v>
      </c>
      <c r="E244" s="6">
        <v>2600</v>
      </c>
      <c r="F244" s="18">
        <v>0</v>
      </c>
      <c r="G244" s="18">
        <v>0</v>
      </c>
      <c r="H244" s="18">
        <v>1398631.4697866628</v>
      </c>
      <c r="I244" s="18">
        <v>497156.18999472208</v>
      </c>
      <c r="J244" s="18">
        <v>29399.16153826148</v>
      </c>
      <c r="K244" s="18">
        <v>0</v>
      </c>
      <c r="L244" s="19">
        <f t="shared" si="4"/>
        <v>1925186.8213196464</v>
      </c>
      <c r="M244" s="8"/>
      <c r="N244" s="266"/>
    </row>
    <row r="245" spans="1:14" s="3" customFormat="1" ht="12.2" customHeight="1" x14ac:dyDescent="0.15">
      <c r="A245" s="1" t="s">
        <v>448</v>
      </c>
      <c r="B245" s="2" t="s">
        <v>350</v>
      </c>
      <c r="C245" s="2" t="s">
        <v>300</v>
      </c>
      <c r="D245" s="2" t="s">
        <v>431</v>
      </c>
      <c r="E245" s="6">
        <v>2700</v>
      </c>
      <c r="F245" s="18">
        <v>2030.6523961233668</v>
      </c>
      <c r="G245" s="18">
        <v>203.18557950616528</v>
      </c>
      <c r="H245" s="18">
        <v>943644.26079850388</v>
      </c>
      <c r="I245" s="18">
        <v>54.73</v>
      </c>
      <c r="J245" s="18">
        <v>0</v>
      </c>
      <c r="K245" s="18">
        <v>0</v>
      </c>
      <c r="L245" s="19">
        <f t="shared" si="4"/>
        <v>945932.82877413335</v>
      </c>
      <c r="M245" s="8"/>
      <c r="N245" s="266"/>
    </row>
    <row r="246" spans="1:14" s="3" customFormat="1" ht="12.2" customHeight="1" x14ac:dyDescent="0.15">
      <c r="A246" s="1" t="s">
        <v>449</v>
      </c>
      <c r="B246" s="2" t="s">
        <v>350</v>
      </c>
      <c r="C246" s="2" t="s">
        <v>343</v>
      </c>
      <c r="D246" s="2" t="s">
        <v>431</v>
      </c>
      <c r="E246" s="6">
        <v>2800</v>
      </c>
      <c r="F246" s="18">
        <v>197172.31268075146</v>
      </c>
      <c r="G246" s="18">
        <v>128069.94123129762</v>
      </c>
      <c r="H246" s="18">
        <v>50820.59615488175</v>
      </c>
      <c r="I246" s="18">
        <v>124144.50066762537</v>
      </c>
      <c r="J246" s="18">
        <v>52397.507907015883</v>
      </c>
      <c r="K246" s="18">
        <v>1081.3927997735827</v>
      </c>
      <c r="L246" s="19">
        <f>SUM(F246:K246)</f>
        <v>553686.25144134567</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9621818.7623769995</v>
      </c>
      <c r="G248" s="41">
        <f t="shared" si="5"/>
        <v>4495437.993618777</v>
      </c>
      <c r="H248" s="41">
        <f t="shared" si="5"/>
        <v>4384123.6267740875</v>
      </c>
      <c r="I248" s="41">
        <f t="shared" si="5"/>
        <v>1031182.2725732033</v>
      </c>
      <c r="J248" s="41">
        <f t="shared" si="5"/>
        <v>116560.04658836398</v>
      </c>
      <c r="K248" s="41">
        <f t="shared" si="5"/>
        <v>69165.073805342239</v>
      </c>
      <c r="L248" s="41">
        <f t="shared" si="5"/>
        <v>19718287.775736772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9">
        <f t="shared" ref="L251:L256" si="6">SUM(F251:K251)</f>
        <v>0</v>
      </c>
      <c r="M251" s="8"/>
      <c r="N251" s="266"/>
    </row>
    <row r="252" spans="1:14" s="3" customFormat="1" ht="12.2" customHeight="1" x14ac:dyDescent="0.15">
      <c r="A252" s="1" t="s">
        <v>353</v>
      </c>
      <c r="B252" s="2" t="s">
        <v>352</v>
      </c>
      <c r="C252" s="2" t="s">
        <v>309</v>
      </c>
      <c r="D252" s="2" t="s">
        <v>431</v>
      </c>
      <c r="E252" s="6">
        <v>1600</v>
      </c>
      <c r="F252" s="18">
        <v>134782.47999999998</v>
      </c>
      <c r="G252" s="18">
        <v>69212.75</v>
      </c>
      <c r="H252" s="18">
        <v>0</v>
      </c>
      <c r="I252" s="18">
        <v>0</v>
      </c>
      <c r="J252" s="18">
        <v>0</v>
      </c>
      <c r="K252" s="18">
        <v>0</v>
      </c>
      <c r="L252" s="19">
        <f t="shared" si="6"/>
        <v>203995.22999999998</v>
      </c>
      <c r="M252" s="8"/>
      <c r="N252" s="266"/>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9">
        <f t="shared" si="6"/>
        <v>0</v>
      </c>
      <c r="M253" s="8"/>
      <c r="N253" s="266"/>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9">
        <f t="shared" si="6"/>
        <v>0</v>
      </c>
      <c r="M254" s="8"/>
      <c r="N254" s="266"/>
    </row>
    <row r="255" spans="1:14" s="3" customFormat="1" ht="12.2" customHeight="1" x14ac:dyDescent="0.15">
      <c r="A255" s="1" t="s">
        <v>391</v>
      </c>
      <c r="B255" s="2" t="s">
        <v>352</v>
      </c>
      <c r="C255" s="2" t="s">
        <v>324</v>
      </c>
      <c r="D255" s="2" t="s">
        <v>431</v>
      </c>
      <c r="E255" s="6">
        <v>2750</v>
      </c>
      <c r="F255" s="18">
        <v>3133.89</v>
      </c>
      <c r="G255" s="18">
        <v>1492.5</v>
      </c>
      <c r="H255" s="18">
        <v>0</v>
      </c>
      <c r="I255" s="18">
        <v>0</v>
      </c>
      <c r="J255" s="18">
        <v>0</v>
      </c>
      <c r="K255" s="18">
        <v>0</v>
      </c>
      <c r="L255" s="19">
        <f t="shared" si="6"/>
        <v>4626.3899999999994</v>
      </c>
      <c r="M255" s="8"/>
      <c r="N255" s="266"/>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137916.37</v>
      </c>
      <c r="G257" s="41">
        <f t="shared" si="7"/>
        <v>70705.25</v>
      </c>
      <c r="H257" s="41">
        <f t="shared" si="7"/>
        <v>0</v>
      </c>
      <c r="I257" s="41">
        <f t="shared" si="7"/>
        <v>0</v>
      </c>
      <c r="J257" s="41">
        <f t="shared" si="7"/>
        <v>0</v>
      </c>
      <c r="K257" s="41">
        <f t="shared" si="7"/>
        <v>0</v>
      </c>
      <c r="L257" s="41">
        <f>SUM(F257:K257)</f>
        <v>208621.62</v>
      </c>
      <c r="M257" s="8"/>
      <c r="N257" s="266"/>
    </row>
    <row r="258" spans="1:14" s="3" customFormat="1" ht="12.2" customHeight="1" thickTop="1" x14ac:dyDescent="0.15">
      <c r="A258" s="38" t="s">
        <v>462</v>
      </c>
      <c r="B258" s="40">
        <v>10</v>
      </c>
      <c r="C258" s="40">
        <v>8</v>
      </c>
      <c r="D258" s="39" t="s">
        <v>431</v>
      </c>
      <c r="E258" s="40"/>
      <c r="F258" s="41">
        <f t="shared" ref="F258:L258" si="8">F212+F230+F248+F257</f>
        <v>27797220.830000002</v>
      </c>
      <c r="G258" s="41">
        <f t="shared" si="8"/>
        <v>12822149.629999999</v>
      </c>
      <c r="H258" s="41">
        <f t="shared" si="8"/>
        <v>11968190.48</v>
      </c>
      <c r="I258" s="41">
        <f t="shared" si="8"/>
        <v>2377398.7199999997</v>
      </c>
      <c r="J258" s="41">
        <f t="shared" si="8"/>
        <v>378058.37</v>
      </c>
      <c r="K258" s="41">
        <f t="shared" si="8"/>
        <v>110652.1</v>
      </c>
      <c r="L258" s="41">
        <f t="shared" si="8"/>
        <v>55453670.129999995</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2261730.38</v>
      </c>
      <c r="L261" s="19">
        <f>SUM(F261:K261)</f>
        <v>2261730.38</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4228317.07</v>
      </c>
      <c r="L262" s="19">
        <f>SUM(F262:K262)</f>
        <v>4228317.07</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0</v>
      </c>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21447</v>
      </c>
      <c r="L265" s="19">
        <f t="shared" ref="L265:L271" si="9">SUM(F265:K265)</f>
        <v>21447</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379097</v>
      </c>
      <c r="L266" s="19">
        <f t="shared" si="9"/>
        <v>379097</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0</v>
      </c>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v>0</v>
      </c>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6890591.4500000002</v>
      </c>
      <c r="L271" s="41">
        <f t="shared" si="9"/>
        <v>6890591.4500000002</v>
      </c>
      <c r="M271" s="8"/>
      <c r="N271" s="266"/>
    </row>
    <row r="272" spans="1:14" s="34" customFormat="1" ht="12.2" customHeight="1" thickTop="1" x14ac:dyDescent="0.2">
      <c r="A272" s="43" t="s">
        <v>464</v>
      </c>
      <c r="B272" s="40">
        <v>10</v>
      </c>
      <c r="C272" s="40">
        <v>18</v>
      </c>
      <c r="D272" s="39" t="s">
        <v>431</v>
      </c>
      <c r="E272" s="40"/>
      <c r="F272" s="42">
        <f t="shared" ref="F272:L272" si="11">F258+F271</f>
        <v>27797220.830000002</v>
      </c>
      <c r="G272" s="42">
        <f t="shared" si="11"/>
        <v>12822149.629999999</v>
      </c>
      <c r="H272" s="42">
        <f t="shared" si="11"/>
        <v>11968190.48</v>
      </c>
      <c r="I272" s="42">
        <f t="shared" si="11"/>
        <v>2377398.7199999997</v>
      </c>
      <c r="J272" s="42">
        <f t="shared" si="11"/>
        <v>378058.37</v>
      </c>
      <c r="K272" s="42">
        <f t="shared" si="11"/>
        <v>7001243.5499999998</v>
      </c>
      <c r="L272" s="42">
        <f t="shared" si="11"/>
        <v>62344261.579999998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119532.64786892269</v>
      </c>
      <c r="G277" s="18">
        <v>64402.902092244687</v>
      </c>
      <c r="H277" s="18">
        <v>0</v>
      </c>
      <c r="I277" s="18">
        <v>1583.1776152994933</v>
      </c>
      <c r="J277" s="18">
        <v>0</v>
      </c>
      <c r="K277" s="18">
        <v>0</v>
      </c>
      <c r="L277" s="19">
        <f>SUM(F277:K277)</f>
        <v>185518.72757646689</v>
      </c>
      <c r="M277" s="8"/>
      <c r="N277" s="266"/>
    </row>
    <row r="278" spans="1:14" s="3" customFormat="1" ht="12.2" customHeight="1" x14ac:dyDescent="0.15">
      <c r="A278" s="1" t="s">
        <v>439</v>
      </c>
      <c r="B278" s="2" t="s">
        <v>357</v>
      </c>
      <c r="C278" s="2" t="s">
        <v>291</v>
      </c>
      <c r="D278" s="2" t="s">
        <v>431</v>
      </c>
      <c r="E278" s="6">
        <v>1200</v>
      </c>
      <c r="F278" s="18">
        <v>338831.46176807012</v>
      </c>
      <c r="G278" s="18">
        <v>174589.80555536016</v>
      </c>
      <c r="H278" s="18">
        <v>23141.061062963417</v>
      </c>
      <c r="I278" s="18">
        <v>2839.3269551703747</v>
      </c>
      <c r="J278" s="18">
        <v>2289.75</v>
      </c>
      <c r="K278" s="18">
        <v>0</v>
      </c>
      <c r="L278" s="19">
        <f>SUM(F278:K278)</f>
        <v>541691.4053415641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219066.41858820591</v>
      </c>
      <c r="G282" s="18">
        <v>42438.628279533696</v>
      </c>
      <c r="H282" s="18">
        <v>2983.937648522678</v>
      </c>
      <c r="I282" s="18">
        <v>1152.3476864373936</v>
      </c>
      <c r="J282" s="18">
        <v>0</v>
      </c>
      <c r="K282" s="18">
        <v>0</v>
      </c>
      <c r="L282" s="19">
        <f t="shared" ref="L282:L288" si="12">SUM(F282:K282)</f>
        <v>265641.33220269968</v>
      </c>
      <c r="M282" s="8"/>
      <c r="N282" s="266"/>
    </row>
    <row r="283" spans="1:14" s="3" customFormat="1" ht="12.2" customHeight="1" x14ac:dyDescent="0.15">
      <c r="A283" s="1" t="s">
        <v>443</v>
      </c>
      <c r="B283" s="2" t="s">
        <v>357</v>
      </c>
      <c r="C283" s="2" t="s">
        <v>295</v>
      </c>
      <c r="D283" s="2" t="s">
        <v>431</v>
      </c>
      <c r="E283" s="6">
        <v>2200</v>
      </c>
      <c r="F283" s="18">
        <v>82507.51999999999</v>
      </c>
      <c r="G283" s="18">
        <v>33923.488727422002</v>
      </c>
      <c r="H283" s="18">
        <v>35033.3172244745</v>
      </c>
      <c r="I283" s="18">
        <v>2357.1816768401518</v>
      </c>
      <c r="J283" s="18">
        <v>4172.71</v>
      </c>
      <c r="K283" s="18">
        <v>0</v>
      </c>
      <c r="L283" s="19">
        <f t="shared" si="12"/>
        <v>157994.21762873663</v>
      </c>
      <c r="M283" s="8"/>
      <c r="N283" s="266"/>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6"/>
    </row>
    <row r="285" spans="1:14" s="3" customFormat="1" ht="12.2" customHeight="1" x14ac:dyDescent="0.15">
      <c r="A285" s="1" t="s">
        <v>445</v>
      </c>
      <c r="B285" s="2" t="s">
        <v>357</v>
      </c>
      <c r="C285" s="2" t="s">
        <v>297</v>
      </c>
      <c r="D285" s="2" t="s">
        <v>431</v>
      </c>
      <c r="E285" s="6">
        <v>2400</v>
      </c>
      <c r="F285" s="18">
        <v>14066.448041540458</v>
      </c>
      <c r="G285" s="18">
        <v>7036.0696530816222</v>
      </c>
      <c r="H285" s="18">
        <v>0</v>
      </c>
      <c r="I285" s="18">
        <v>0</v>
      </c>
      <c r="J285" s="18">
        <v>0</v>
      </c>
      <c r="K285" s="18">
        <v>0</v>
      </c>
      <c r="L285" s="19">
        <f t="shared" si="12"/>
        <v>21102.517694622082</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6"/>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6"/>
    </row>
    <row r="288" spans="1:14" s="3" customFormat="1" ht="12.2" customHeight="1" x14ac:dyDescent="0.15">
      <c r="A288" s="1" t="s">
        <v>448</v>
      </c>
      <c r="B288" s="2" t="s">
        <v>357</v>
      </c>
      <c r="C288" s="2" t="s">
        <v>300</v>
      </c>
      <c r="D288" s="2" t="s">
        <v>431</v>
      </c>
      <c r="E288" s="6">
        <v>2700</v>
      </c>
      <c r="F288" s="18">
        <v>0</v>
      </c>
      <c r="G288" s="18">
        <v>0</v>
      </c>
      <c r="H288" s="18">
        <v>4073.7720668237312</v>
      </c>
      <c r="I288" s="18">
        <v>0</v>
      </c>
      <c r="J288" s="18">
        <v>0</v>
      </c>
      <c r="K288" s="18">
        <v>0</v>
      </c>
      <c r="L288" s="19">
        <f t="shared" si="12"/>
        <v>4073.7720668237312</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774004.49626673921</v>
      </c>
      <c r="G291" s="42">
        <f t="shared" si="13"/>
        <v>322390.89430764219</v>
      </c>
      <c r="H291" s="42">
        <f t="shared" si="13"/>
        <v>65232.088002784323</v>
      </c>
      <c r="I291" s="42">
        <f t="shared" si="13"/>
        <v>7932.0339337474124</v>
      </c>
      <c r="J291" s="42">
        <f t="shared" si="13"/>
        <v>6462.46</v>
      </c>
      <c r="K291" s="42">
        <f t="shared" si="13"/>
        <v>0</v>
      </c>
      <c r="L291" s="41">
        <f t="shared" si="13"/>
        <v>1176021.9725109132</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v>112655.38032126795</v>
      </c>
      <c r="G296" s="18">
        <v>25893.881186141622</v>
      </c>
      <c r="H296" s="18">
        <v>0</v>
      </c>
      <c r="I296" s="18">
        <v>722.11916184764766</v>
      </c>
      <c r="J296" s="18">
        <v>0</v>
      </c>
      <c r="K296" s="18">
        <v>0</v>
      </c>
      <c r="L296" s="19">
        <f>SUM(F296:K296)</f>
        <v>139271.38066925723</v>
      </c>
      <c r="M296" s="8"/>
      <c r="N296" s="266"/>
    </row>
    <row r="297" spans="1:14" s="3" customFormat="1" ht="12.2" customHeight="1" x14ac:dyDescent="0.15">
      <c r="A297" s="1" t="s">
        <v>439</v>
      </c>
      <c r="B297" s="2" t="s">
        <v>358</v>
      </c>
      <c r="C297" s="2" t="s">
        <v>291</v>
      </c>
      <c r="D297" s="2" t="s">
        <v>431</v>
      </c>
      <c r="E297" s="6">
        <v>1200</v>
      </c>
      <c r="F297" s="18">
        <v>246166.3030871299</v>
      </c>
      <c r="G297" s="18">
        <v>125028.81993901012</v>
      </c>
      <c r="H297" s="18">
        <v>16786.932224296015</v>
      </c>
      <c r="I297" s="18">
        <v>1985.9740711277016</v>
      </c>
      <c r="J297" s="18">
        <v>0</v>
      </c>
      <c r="K297" s="18">
        <v>0</v>
      </c>
      <c r="L297" s="19">
        <f>SUM(F297:K297)</f>
        <v>389968.02932156378</v>
      </c>
      <c r="M297" s="8"/>
      <c r="N297" s="266"/>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6"/>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v>13995.022708645676</v>
      </c>
      <c r="G301" s="18">
        <v>3039.6788666891039</v>
      </c>
      <c r="H301" s="18">
        <v>2450.5753245826068</v>
      </c>
      <c r="I301" s="18">
        <v>682.69961774214937</v>
      </c>
      <c r="J301" s="18">
        <v>0</v>
      </c>
      <c r="K301" s="18">
        <v>0</v>
      </c>
      <c r="L301" s="19">
        <f t="shared" ref="L301:L307" si="14">SUM(F301:K301)</f>
        <v>20167.976517659536</v>
      </c>
      <c r="M301" s="8"/>
      <c r="N301" s="266"/>
    </row>
    <row r="302" spans="1:14" s="3" customFormat="1" ht="12.2" customHeight="1" x14ac:dyDescent="0.15">
      <c r="A302" s="1" t="s">
        <v>443</v>
      </c>
      <c r="B302" s="2" t="s">
        <v>358</v>
      </c>
      <c r="C302" s="2" t="s">
        <v>295</v>
      </c>
      <c r="D302" s="2" t="s">
        <v>431</v>
      </c>
      <c r="E302" s="6">
        <v>2200</v>
      </c>
      <c r="F302" s="18">
        <v>0</v>
      </c>
      <c r="G302" s="18">
        <v>571.46962233169131</v>
      </c>
      <c r="H302" s="18">
        <v>20704.104470825812</v>
      </c>
      <c r="I302" s="18">
        <v>1654.7573770257729</v>
      </c>
      <c r="J302" s="18">
        <v>0</v>
      </c>
      <c r="K302" s="18">
        <v>0</v>
      </c>
      <c r="L302" s="19">
        <f t="shared" si="14"/>
        <v>22930.331470183275</v>
      </c>
      <c r="M302" s="8"/>
      <c r="N302" s="266"/>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6"/>
    </row>
    <row r="304" spans="1:14" s="3" customFormat="1" ht="12.2" customHeight="1" x14ac:dyDescent="0.15">
      <c r="A304" s="1" t="s">
        <v>445</v>
      </c>
      <c r="B304" s="2" t="s">
        <v>358</v>
      </c>
      <c r="C304" s="2" t="s">
        <v>297</v>
      </c>
      <c r="D304" s="2" t="s">
        <v>431</v>
      </c>
      <c r="E304" s="6">
        <v>2400</v>
      </c>
      <c r="F304" s="18">
        <v>11552.148380911585</v>
      </c>
      <c r="G304" s="18">
        <v>5778.4111817560597</v>
      </c>
      <c r="H304" s="18">
        <v>0</v>
      </c>
      <c r="I304" s="18">
        <v>0</v>
      </c>
      <c r="J304" s="18">
        <v>0</v>
      </c>
      <c r="K304" s="18">
        <v>0</v>
      </c>
      <c r="L304" s="19">
        <f t="shared" si="14"/>
        <v>17330.559562667644</v>
      </c>
      <c r="M304" s="8"/>
      <c r="N304" s="266"/>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6"/>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6"/>
    </row>
    <row r="307" spans="1:14" s="3" customFormat="1" ht="12.2" customHeight="1" x14ac:dyDescent="0.15">
      <c r="A307" s="1" t="s">
        <v>448</v>
      </c>
      <c r="B307" s="2" t="s">
        <v>358</v>
      </c>
      <c r="C307" s="2" t="s">
        <v>300</v>
      </c>
      <c r="D307" s="2" t="s">
        <v>431</v>
      </c>
      <c r="E307" s="6">
        <v>2700</v>
      </c>
      <c r="F307" s="18">
        <v>0</v>
      </c>
      <c r="G307" s="18">
        <v>0</v>
      </c>
      <c r="H307" s="18">
        <v>60.58571856928679</v>
      </c>
      <c r="I307" s="18">
        <v>0</v>
      </c>
      <c r="J307" s="18">
        <v>0</v>
      </c>
      <c r="K307" s="18">
        <v>0</v>
      </c>
      <c r="L307" s="19">
        <f t="shared" si="14"/>
        <v>60.58571856928679</v>
      </c>
      <c r="M307" s="8"/>
      <c r="N307" s="266"/>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384368.85449795506</v>
      </c>
      <c r="G310" s="42">
        <f t="shared" si="15"/>
        <v>160312.2607959286</v>
      </c>
      <c r="H310" s="42">
        <f t="shared" si="15"/>
        <v>40002.197738273724</v>
      </c>
      <c r="I310" s="42">
        <f t="shared" si="15"/>
        <v>5045.5502277432715</v>
      </c>
      <c r="J310" s="42">
        <f t="shared" si="15"/>
        <v>0</v>
      </c>
      <c r="K310" s="42">
        <f t="shared" si="15"/>
        <v>0</v>
      </c>
      <c r="L310" s="41">
        <f t="shared" si="15"/>
        <v>589728.86325990071</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738.70180980938107</v>
      </c>
      <c r="G315" s="18">
        <v>1764.9567216136832</v>
      </c>
      <c r="H315" s="18">
        <v>0</v>
      </c>
      <c r="I315" s="18">
        <v>291.4632228528593</v>
      </c>
      <c r="J315" s="18">
        <v>0</v>
      </c>
      <c r="K315" s="18">
        <v>0</v>
      </c>
      <c r="L315" s="19">
        <f>SUM(F315:K315)</f>
        <v>2795.1217542759236</v>
      </c>
      <c r="M315" s="8"/>
      <c r="N315" s="266"/>
    </row>
    <row r="316" spans="1:14" s="3" customFormat="1" ht="12.2" customHeight="1" x14ac:dyDescent="0.15">
      <c r="A316" s="1" t="s">
        <v>439</v>
      </c>
      <c r="B316" s="2" t="s">
        <v>359</v>
      </c>
      <c r="C316" s="2" t="s">
        <v>291</v>
      </c>
      <c r="D316" s="2" t="s">
        <v>431</v>
      </c>
      <c r="E316" s="6">
        <v>1200</v>
      </c>
      <c r="F316" s="18">
        <v>326383.69514480006</v>
      </c>
      <c r="G316" s="18">
        <v>163485.5845056299</v>
      </c>
      <c r="H316" s="18">
        <v>21889.726712740568</v>
      </c>
      <c r="I316" s="18">
        <v>2589.6589737019249</v>
      </c>
      <c r="J316" s="18">
        <v>0</v>
      </c>
      <c r="K316" s="18">
        <v>0</v>
      </c>
      <c r="L316" s="19">
        <f>SUM(F316:K316)</f>
        <v>514348.66533687245</v>
      </c>
      <c r="M316" s="8"/>
      <c r="N316" s="266"/>
    </row>
    <row r="317" spans="1:14" s="3" customFormat="1" ht="12.2" customHeight="1" x14ac:dyDescent="0.15">
      <c r="A317" s="1" t="s">
        <v>440</v>
      </c>
      <c r="B317" s="2" t="s">
        <v>359</v>
      </c>
      <c r="C317" s="2" t="s">
        <v>292</v>
      </c>
      <c r="D317" s="2" t="s">
        <v>431</v>
      </c>
      <c r="E317" s="6">
        <v>1300</v>
      </c>
      <c r="F317" s="18">
        <v>0</v>
      </c>
      <c r="G317" s="18">
        <v>0</v>
      </c>
      <c r="H317" s="18">
        <v>0</v>
      </c>
      <c r="I317" s="18">
        <v>18414.379999999997</v>
      </c>
      <c r="J317" s="18">
        <v>51641.56</v>
      </c>
      <c r="K317" s="18">
        <v>1830</v>
      </c>
      <c r="L317" s="19">
        <f>SUM(F317:K317)</f>
        <v>71885.94</v>
      </c>
      <c r="M317" s="8"/>
      <c r="N317" s="266"/>
    </row>
    <row r="318" spans="1:14" s="3" customFormat="1" ht="12.2" customHeight="1" x14ac:dyDescent="0.15">
      <c r="A318" s="1" t="s">
        <v>441</v>
      </c>
      <c r="B318" s="2" t="s">
        <v>359</v>
      </c>
      <c r="C318" s="2" t="s">
        <v>293</v>
      </c>
      <c r="D318" s="2" t="s">
        <v>431</v>
      </c>
      <c r="E318" s="6">
        <v>1400</v>
      </c>
      <c r="F318" s="18">
        <v>0</v>
      </c>
      <c r="G318" s="18">
        <v>0</v>
      </c>
      <c r="H318" s="18">
        <v>0</v>
      </c>
      <c r="I318" s="18">
        <v>3946.28</v>
      </c>
      <c r="J318" s="18">
        <v>0</v>
      </c>
      <c r="K318" s="18">
        <v>2500</v>
      </c>
      <c r="L318" s="19">
        <f>SUM(F318:K318)</f>
        <v>6446.2800000000007</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v>18249.148703148425</v>
      </c>
      <c r="G320" s="18">
        <v>3963.6628537771926</v>
      </c>
      <c r="H320" s="18">
        <v>3543.5170268947159</v>
      </c>
      <c r="I320" s="18">
        <v>890.22269582045715</v>
      </c>
      <c r="J320" s="18">
        <v>0</v>
      </c>
      <c r="K320" s="18">
        <v>0</v>
      </c>
      <c r="L320" s="19">
        <f t="shared" ref="L320:L326" si="16">SUM(F320:K320)</f>
        <v>26646.551279640789</v>
      </c>
      <c r="M320" s="8"/>
      <c r="N320" s="266"/>
    </row>
    <row r="321" spans="1:14" s="3" customFormat="1" ht="12.2" customHeight="1" x14ac:dyDescent="0.15">
      <c r="A321" s="1" t="s">
        <v>443</v>
      </c>
      <c r="B321" s="2" t="s">
        <v>359</v>
      </c>
      <c r="C321" s="2" t="s">
        <v>295</v>
      </c>
      <c r="D321" s="2" t="s">
        <v>431</v>
      </c>
      <c r="E321" s="6">
        <v>2200</v>
      </c>
      <c r="F321" s="18">
        <v>21740.16</v>
      </c>
      <c r="G321" s="18">
        <v>15550.201650246308</v>
      </c>
      <c r="H321" s="18">
        <v>61732.938304699695</v>
      </c>
      <c r="I321" s="18">
        <v>11930.690946134077</v>
      </c>
      <c r="J321" s="18">
        <v>1587.52</v>
      </c>
      <c r="K321" s="18">
        <v>2212.44</v>
      </c>
      <c r="L321" s="19">
        <f t="shared" si="16"/>
        <v>114753.95090108008</v>
      </c>
      <c r="M321" s="8"/>
      <c r="N321" s="266"/>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6"/>
    </row>
    <row r="323" spans="1:14" s="3" customFormat="1" ht="12.2" customHeight="1" x14ac:dyDescent="0.15">
      <c r="A323" s="1" t="s">
        <v>445</v>
      </c>
      <c r="B323" s="2" t="s">
        <v>359</v>
      </c>
      <c r="C323" s="2" t="s">
        <v>297</v>
      </c>
      <c r="D323" s="2" t="s">
        <v>431</v>
      </c>
      <c r="E323" s="6">
        <v>2400</v>
      </c>
      <c r="F323" s="18">
        <v>15063.703577547962</v>
      </c>
      <c r="G323" s="18">
        <v>7534.8991651623164</v>
      </c>
      <c r="H323" s="18">
        <v>0</v>
      </c>
      <c r="I323" s="18">
        <v>0</v>
      </c>
      <c r="J323" s="18">
        <v>0</v>
      </c>
      <c r="K323" s="18">
        <v>0</v>
      </c>
      <c r="L323" s="19">
        <f t="shared" si="16"/>
        <v>22598.602742710278</v>
      </c>
      <c r="M323" s="8"/>
      <c r="N323" s="266"/>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6"/>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6"/>
    </row>
    <row r="326" spans="1:14" s="3" customFormat="1" ht="12.2" customHeight="1" x14ac:dyDescent="0.15">
      <c r="A326" s="1" t="s">
        <v>448</v>
      </c>
      <c r="B326" s="2" t="s">
        <v>359</v>
      </c>
      <c r="C326" s="2" t="s">
        <v>300</v>
      </c>
      <c r="D326" s="2" t="s">
        <v>431</v>
      </c>
      <c r="E326" s="6">
        <v>2700</v>
      </c>
      <c r="F326" s="18">
        <v>0</v>
      </c>
      <c r="G326" s="18">
        <v>0</v>
      </c>
      <c r="H326" s="18">
        <v>79.002214606982236</v>
      </c>
      <c r="I326" s="18">
        <v>0</v>
      </c>
      <c r="J326" s="18">
        <v>0</v>
      </c>
      <c r="K326" s="18">
        <v>0</v>
      </c>
      <c r="L326" s="19">
        <f t="shared" si="16"/>
        <v>79.002214606982236</v>
      </c>
      <c r="M326" s="8"/>
      <c r="N326" s="266"/>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382175.40923530579</v>
      </c>
      <c r="G329" s="42">
        <f t="shared" si="17"/>
        <v>192299.30489642941</v>
      </c>
      <c r="H329" s="42">
        <f t="shared" si="17"/>
        <v>87245.184258941954</v>
      </c>
      <c r="I329" s="42">
        <f t="shared" si="17"/>
        <v>38062.695838509317</v>
      </c>
      <c r="J329" s="42">
        <f t="shared" si="17"/>
        <v>53229.079999999994</v>
      </c>
      <c r="K329" s="42">
        <f t="shared" si="17"/>
        <v>6542.4400000000005</v>
      </c>
      <c r="L329" s="41">
        <f t="shared" si="17"/>
        <v>759554.11422918644</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v>60082.759999999995</v>
      </c>
      <c r="G333" s="18">
        <v>16769.240000000002</v>
      </c>
      <c r="H333" s="18">
        <v>44816.32</v>
      </c>
      <c r="I333" s="18">
        <v>1678.21</v>
      </c>
      <c r="J333" s="18">
        <v>3812.6400000000003</v>
      </c>
      <c r="K333" s="18">
        <v>3250</v>
      </c>
      <c r="L333" s="19">
        <f t="shared" ref="L333:L338" si="18">SUM(F333:K333)</f>
        <v>130409.17000000001</v>
      </c>
      <c r="M333" s="8"/>
      <c r="N333" s="266"/>
    </row>
    <row r="334" spans="1:14" s="3" customFormat="1" ht="12.2" customHeight="1" x14ac:dyDescent="0.15">
      <c r="A334" s="1" t="s">
        <v>353</v>
      </c>
      <c r="B334" s="6">
        <v>14</v>
      </c>
      <c r="C334" s="2" t="s">
        <v>309</v>
      </c>
      <c r="D334" s="2" t="s">
        <v>431</v>
      </c>
      <c r="E334" s="6">
        <v>1600</v>
      </c>
      <c r="F334" s="18">
        <v>677921.86</v>
      </c>
      <c r="G334" s="18">
        <v>133443.18000000002</v>
      </c>
      <c r="H334" s="18">
        <v>77111.489999999991</v>
      </c>
      <c r="I334" s="18">
        <v>58282.869999999995</v>
      </c>
      <c r="J334" s="18">
        <v>14748.9</v>
      </c>
      <c r="K334" s="18">
        <v>24374.36</v>
      </c>
      <c r="L334" s="19">
        <f t="shared" si="18"/>
        <v>985882.66</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738004.62</v>
      </c>
      <c r="G338" s="41">
        <f t="shared" si="19"/>
        <v>150212.42000000001</v>
      </c>
      <c r="H338" s="41">
        <f t="shared" si="19"/>
        <v>121927.81</v>
      </c>
      <c r="I338" s="41">
        <f t="shared" si="19"/>
        <v>59961.079999999994</v>
      </c>
      <c r="J338" s="41">
        <f t="shared" si="19"/>
        <v>18561.54</v>
      </c>
      <c r="K338" s="41">
        <f t="shared" si="19"/>
        <v>27624.36</v>
      </c>
      <c r="L338" s="41">
        <f t="shared" si="18"/>
        <v>1116291.8300000003</v>
      </c>
      <c r="M338" s="8"/>
      <c r="N338" s="266"/>
    </row>
    <row r="339" spans="1:43" s="3" customFormat="1" ht="12.2" customHeight="1" thickTop="1" x14ac:dyDescent="0.15">
      <c r="A339" s="38" t="s">
        <v>468</v>
      </c>
      <c r="B339" s="40">
        <v>14</v>
      </c>
      <c r="C339" s="40">
        <v>7</v>
      </c>
      <c r="D339" s="39" t="s">
        <v>431</v>
      </c>
      <c r="E339" s="40"/>
      <c r="F339" s="41">
        <f t="shared" ref="F339:L339" si="20">F291+F310+F329+F338</f>
        <v>2278553.38</v>
      </c>
      <c r="G339" s="41">
        <f t="shared" si="20"/>
        <v>825214.88000000024</v>
      </c>
      <c r="H339" s="41">
        <f t="shared" si="20"/>
        <v>314407.28000000003</v>
      </c>
      <c r="I339" s="41">
        <f t="shared" si="20"/>
        <v>111001.35999999999</v>
      </c>
      <c r="J339" s="41">
        <f t="shared" si="20"/>
        <v>78253.079999999987</v>
      </c>
      <c r="K339" s="41">
        <f t="shared" si="20"/>
        <v>34166.800000000003</v>
      </c>
      <c r="L339" s="41">
        <f t="shared" si="20"/>
        <v>3641596.7800000003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77087.66</v>
      </c>
      <c r="L345" s="19">
        <f t="shared" ref="L345:L351" si="21">SUM(F345:K345)</f>
        <v>77087.66</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77087.66</v>
      </c>
      <c r="L352" s="41">
        <f>SUM(L342:L351)</f>
        <v>77087.66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2278553.38</v>
      </c>
      <c r="G353" s="41">
        <f>G339</f>
        <v>825214.88000000024</v>
      </c>
      <c r="H353" s="41">
        <f>H339</f>
        <v>314407.28000000003</v>
      </c>
      <c r="I353" s="41">
        <f>I339</f>
        <v>111001.35999999999</v>
      </c>
      <c r="J353" s="41">
        <f>J339</f>
        <v>78253.079999999987</v>
      </c>
      <c r="K353" s="47">
        <f>K339+K352</f>
        <v>111254.46</v>
      </c>
      <c r="L353" s="41">
        <f>L339+L352</f>
        <v>3718684.4400000004</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10305.351957898603</v>
      </c>
      <c r="G359" s="18">
        <v>4072.2623463778323</v>
      </c>
      <c r="H359" s="18">
        <v>461816.50259388174</v>
      </c>
      <c r="I359" s="18">
        <v>32520.155750033147</v>
      </c>
      <c r="J359" s="18">
        <v>4627.8936653866949</v>
      </c>
      <c r="K359" s="18">
        <v>775.3570081030914</v>
      </c>
      <c r="L359" s="13">
        <f>SUM(F359:K359)</f>
        <v>514117.52332168113</v>
      </c>
      <c r="M359" s="8"/>
      <c r="N359" s="266"/>
    </row>
    <row r="360" spans="1:22" s="3" customFormat="1" ht="12.2" customHeight="1" x14ac:dyDescent="0.15">
      <c r="A360" s="1" t="s">
        <v>542</v>
      </c>
      <c r="B360" s="2" t="s">
        <v>366</v>
      </c>
      <c r="C360" s="6">
        <v>2</v>
      </c>
      <c r="D360" s="2" t="s">
        <v>431</v>
      </c>
      <c r="E360" s="6"/>
      <c r="F360" s="18">
        <v>8463.3273861028665</v>
      </c>
      <c r="G360" s="18">
        <v>3344.368011912411</v>
      </c>
      <c r="H360" s="18">
        <v>379269.36117512675</v>
      </c>
      <c r="I360" s="18">
        <v>26707.358068312777</v>
      </c>
      <c r="J360" s="18">
        <v>3800.6833107935827</v>
      </c>
      <c r="K360" s="18">
        <v>636.76623830941662</v>
      </c>
      <c r="L360" s="19">
        <f>SUM(F360:K360)</f>
        <v>422221.8641905578</v>
      </c>
      <c r="M360" s="8"/>
      <c r="N360" s="266"/>
    </row>
    <row r="361" spans="1:22" s="3" customFormat="1" ht="12.2" customHeight="1" x14ac:dyDescent="0.15">
      <c r="A361" s="3" t="s">
        <v>543</v>
      </c>
      <c r="B361" s="2" t="s">
        <v>366</v>
      </c>
      <c r="C361" s="6">
        <v>3</v>
      </c>
      <c r="D361" s="2" t="s">
        <v>431</v>
      </c>
      <c r="E361" s="6"/>
      <c r="F361" s="18">
        <v>11035.960655998531</v>
      </c>
      <c r="G361" s="18">
        <v>4360.9696417097575</v>
      </c>
      <c r="H361" s="18">
        <v>494557.4662309917</v>
      </c>
      <c r="I361" s="18">
        <v>34825.706181654066</v>
      </c>
      <c r="J361" s="18">
        <v>4955.993023819723</v>
      </c>
      <c r="K361" s="18">
        <v>830.32675358749191</v>
      </c>
      <c r="L361" s="19">
        <f>SUM(F361:K361)</f>
        <v>550566.42248776136</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v>0</v>
      </c>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29804.639999999999</v>
      </c>
      <c r="G363" s="47">
        <f t="shared" si="22"/>
        <v>11777.600000000002</v>
      </c>
      <c r="H363" s="47">
        <f t="shared" si="22"/>
        <v>1335643.3300000003</v>
      </c>
      <c r="I363" s="47">
        <f t="shared" si="22"/>
        <v>94053.219999999987</v>
      </c>
      <c r="J363" s="47">
        <f t="shared" si="22"/>
        <v>13384.57</v>
      </c>
      <c r="K363" s="47">
        <f t="shared" si="22"/>
        <v>2242.4499999999998</v>
      </c>
      <c r="L363" s="47">
        <f t="shared" si="22"/>
        <v>1486905.8100000003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32162.434036782783</v>
      </c>
      <c r="G368" s="18">
        <v>26413.577129561334</v>
      </c>
      <c r="H368" s="18">
        <v>34442.623413655871</v>
      </c>
      <c r="I368" s="56">
        <f>SUM(F368:H368)</f>
        <v>93018.634579999984</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357.72171325036459</v>
      </c>
      <c r="G369" s="63">
        <v>293.78093875144054</v>
      </c>
      <c r="H369" s="63">
        <v>383.0827679981947</v>
      </c>
      <c r="I369" s="56">
        <f>SUM(F369:H369)</f>
        <v>1034.5854199999999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32520.155750033147</v>
      </c>
      <c r="G370" s="47">
        <f>SUM(G368:G369)</f>
        <v>26707.358068312773</v>
      </c>
      <c r="H370" s="47">
        <f>SUM(H368:H369)</f>
        <v>34825.706181654066</v>
      </c>
      <c r="I370" s="47">
        <f>SUM(I368:I369)</f>
        <v>94053.219999999987</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266"/>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266"/>
    </row>
    <row r="377" spans="1:14" s="3" customFormat="1" ht="12.2" customHeight="1" x14ac:dyDescent="0.15">
      <c r="A377" s="1" t="s">
        <v>546</v>
      </c>
      <c r="B377" s="2" t="s">
        <v>366</v>
      </c>
      <c r="C377" s="2" t="s">
        <v>300</v>
      </c>
      <c r="D377" s="2" t="s">
        <v>431</v>
      </c>
      <c r="E377" s="6">
        <v>4300</v>
      </c>
      <c r="F377" s="18">
        <v>0</v>
      </c>
      <c r="G377" s="18">
        <v>0</v>
      </c>
      <c r="H377" s="18">
        <v>87904.76</v>
      </c>
      <c r="I377" s="18">
        <v>0</v>
      </c>
      <c r="J377" s="18">
        <v>0</v>
      </c>
      <c r="K377" s="18">
        <v>0</v>
      </c>
      <c r="L377" s="13">
        <f t="shared" si="23"/>
        <v>87904.76</v>
      </c>
      <c r="M377" s="8"/>
      <c r="N377" s="266"/>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266"/>
    </row>
    <row r="379" spans="1:14" s="3" customFormat="1" ht="12.2" customHeight="1" x14ac:dyDescent="0.15">
      <c r="A379" s="1" t="s">
        <v>548</v>
      </c>
      <c r="B379" s="2" t="s">
        <v>366</v>
      </c>
      <c r="C379" s="2" t="s">
        <v>344</v>
      </c>
      <c r="D379" s="2" t="s">
        <v>431</v>
      </c>
      <c r="E379" s="6">
        <v>4500</v>
      </c>
      <c r="F379" s="18">
        <v>0</v>
      </c>
      <c r="G379" s="18">
        <v>0</v>
      </c>
      <c r="H379" s="18">
        <v>3002109.2</v>
      </c>
      <c r="I379" s="18">
        <v>0</v>
      </c>
      <c r="J379" s="18">
        <v>0</v>
      </c>
      <c r="K379" s="18">
        <v>0</v>
      </c>
      <c r="L379" s="13">
        <f t="shared" si="23"/>
        <v>3002109.2</v>
      </c>
      <c r="M379" s="8"/>
      <c r="N379" s="266"/>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266"/>
    </row>
    <row r="381" spans="1:14" s="3" customFormat="1" ht="12.2" customHeight="1" x14ac:dyDescent="0.15">
      <c r="A381" s="1" t="s">
        <v>510</v>
      </c>
      <c r="B381" s="2" t="s">
        <v>366</v>
      </c>
      <c r="C381" s="2" t="s">
        <v>347</v>
      </c>
      <c r="D381" s="2" t="s">
        <v>431</v>
      </c>
      <c r="E381" s="6">
        <v>4900</v>
      </c>
      <c r="F381" s="18">
        <v>9641.76</v>
      </c>
      <c r="G381" s="18">
        <v>4598.2800000000007</v>
      </c>
      <c r="H381" s="18">
        <v>0</v>
      </c>
      <c r="I381" s="18">
        <v>0</v>
      </c>
      <c r="J381" s="18">
        <v>3111345.78</v>
      </c>
      <c r="K381" s="18">
        <v>0</v>
      </c>
      <c r="L381" s="13">
        <f t="shared" si="23"/>
        <v>3125585.82</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0</v>
      </c>
      <c r="L382" s="13">
        <f t="shared" si="23"/>
        <v>0</v>
      </c>
      <c r="M382" s="8"/>
      <c r="N382" s="266"/>
    </row>
    <row r="383" spans="1:14" s="3" customFormat="1" ht="12.2" customHeight="1" thickTop="1" x14ac:dyDescent="0.15">
      <c r="A383" s="46" t="s">
        <v>469</v>
      </c>
      <c r="B383" s="39" t="s">
        <v>366</v>
      </c>
      <c r="C383" s="39" t="s">
        <v>349</v>
      </c>
      <c r="D383" s="39" t="s">
        <v>431</v>
      </c>
      <c r="E383" s="39"/>
      <c r="F383" s="139">
        <f>SUM(F375:F382)</f>
        <v>9641.76</v>
      </c>
      <c r="G383" s="139">
        <f t="shared" ref="G383:L383" si="24">SUM(G375:G382)</f>
        <v>4598.2800000000007</v>
      </c>
      <c r="H383" s="139">
        <f t="shared" si="24"/>
        <v>3090013.96</v>
      </c>
      <c r="I383" s="41">
        <f t="shared" si="24"/>
        <v>0</v>
      </c>
      <c r="J383" s="47">
        <f t="shared" si="24"/>
        <v>3111345.78</v>
      </c>
      <c r="K383" s="47">
        <f t="shared" si="24"/>
        <v>0</v>
      </c>
      <c r="L383" s="47">
        <f t="shared" si="24"/>
        <v>6215599.7799999993</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c r="G466" s="18">
        <v>333384.37999999989</v>
      </c>
      <c r="H466" s="18">
        <v>619617.83000000007</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64376497.099999994</v>
      </c>
      <c r="G469" s="18">
        <v>1399656.83</v>
      </c>
      <c r="H469" s="18">
        <v>4550940.96</v>
      </c>
      <c r="I469" s="18">
        <v>6594696.7799999993</v>
      </c>
      <c r="J469" s="18"/>
      <c r="K469" s="24" t="s">
        <v>288</v>
      </c>
      <c r="L469" s="24" t="s">
        <v>288</v>
      </c>
      <c r="N469" s="265"/>
    </row>
    <row r="470" spans="1:14" s="52" customFormat="1" ht="12.2" customHeight="1" x14ac:dyDescent="0.2">
      <c r="A470" s="93" t="s">
        <v>611</v>
      </c>
      <c r="B470" s="75">
        <v>19</v>
      </c>
      <c r="C470" s="80">
        <v>3</v>
      </c>
      <c r="D470" s="2" t="s">
        <v>432</v>
      </c>
      <c r="E470" s="80"/>
      <c r="F470" s="18"/>
      <c r="G470" s="18">
        <v>98766.720000000321</v>
      </c>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64376497.099999994</v>
      </c>
      <c r="G471" s="53">
        <f>SUM(G469:G470)</f>
        <v>1498423.5500000003</v>
      </c>
      <c r="H471" s="53">
        <f>SUM(H469:H470)</f>
        <v>4550940.96</v>
      </c>
      <c r="I471" s="53">
        <f>SUM(I469:I470)</f>
        <v>6594696.7799999993</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62344261.579999998</v>
      </c>
      <c r="G473" s="18">
        <v>1486905.8100000003</v>
      </c>
      <c r="H473" s="18">
        <v>3718684.4400000004</v>
      </c>
      <c r="I473" s="18">
        <v>6215599.7799999993</v>
      </c>
      <c r="J473" s="18"/>
      <c r="K473" s="24" t="s">
        <v>288</v>
      </c>
      <c r="L473" s="24" t="s">
        <v>288</v>
      </c>
      <c r="N473" s="265"/>
    </row>
    <row r="474" spans="1:14" s="52" customFormat="1" ht="12.2" customHeight="1" x14ac:dyDescent="0.2">
      <c r="A474" s="93" t="s">
        <v>613</v>
      </c>
      <c r="B474" s="75">
        <v>19</v>
      </c>
      <c r="C474" s="80">
        <v>6</v>
      </c>
      <c r="D474" s="2" t="s">
        <v>432</v>
      </c>
      <c r="E474" s="80"/>
      <c r="F474" s="18">
        <v>2032235.5199999958</v>
      </c>
      <c r="G474" s="18"/>
      <c r="H474" s="18"/>
      <c r="I474" s="18">
        <v>379097</v>
      </c>
      <c r="J474" s="18"/>
      <c r="K474" s="24" t="s">
        <v>288</v>
      </c>
      <c r="L474" s="24" t="s">
        <v>288</v>
      </c>
      <c r="N474" s="265"/>
    </row>
    <row r="475" spans="1:14" s="52" customFormat="1" ht="12.2" customHeight="1" x14ac:dyDescent="0.2">
      <c r="A475" s="92" t="s">
        <v>426</v>
      </c>
      <c r="B475" s="75">
        <v>19</v>
      </c>
      <c r="C475" s="80">
        <v>7</v>
      </c>
      <c r="D475" s="2" t="s">
        <v>432</v>
      </c>
      <c r="E475" s="80"/>
      <c r="F475" s="53">
        <f>SUM(F473:F474)</f>
        <v>64376497.099999994</v>
      </c>
      <c r="G475" s="53">
        <f>SUM(G473:G474)</f>
        <v>1486905.8100000003</v>
      </c>
      <c r="H475" s="53">
        <f>SUM(H473:H474)</f>
        <v>3718684.4400000004</v>
      </c>
      <c r="I475" s="53">
        <f>SUM(I473:I474)</f>
        <v>6594696.7799999993</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0</v>
      </c>
      <c r="G477" s="53">
        <f>(G466+G471)- G475</f>
        <v>344902.11999999988</v>
      </c>
      <c r="H477" s="53">
        <f>(H466+H471)- H475</f>
        <v>1451874.3499999996</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74" t="s">
        <v>1643</v>
      </c>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1642</v>
      </c>
      <c r="B484" s="112"/>
      <c r="C484" s="112"/>
      <c r="D484" s="112"/>
      <c r="E484" s="112"/>
      <c r="F484" s="112"/>
      <c r="G484" s="112"/>
      <c r="H484" s="112"/>
      <c r="I484" s="112" t="s">
        <v>18</v>
      </c>
      <c r="J484" s="112"/>
      <c r="K484" s="95"/>
      <c r="L484" s="95"/>
      <c r="N484" s="265"/>
    </row>
    <row r="485" spans="1:14" s="52" customFormat="1" ht="12.2" customHeight="1" x14ac:dyDescent="0.2">
      <c r="A485" s="174" t="s">
        <v>1644</v>
      </c>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90945368.810000002</v>
      </c>
      <c r="G496" s="18"/>
      <c r="H496" s="18"/>
      <c r="I496" s="18"/>
      <c r="J496" s="18"/>
      <c r="K496" s="53">
        <f>SUM(F496:J496)</f>
        <v>90945368.810000002</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2261730.38</v>
      </c>
      <c r="G498" s="18"/>
      <c r="H498" s="18"/>
      <c r="I498" s="18"/>
      <c r="J498" s="18"/>
      <c r="K498" s="53">
        <f t="shared" si="35"/>
        <v>2261730.38</v>
      </c>
      <c r="L498" s="24" t="s">
        <v>288</v>
      </c>
      <c r="N498" s="265"/>
    </row>
    <row r="499" spans="1:14" s="52" customFormat="1" ht="12.2" customHeight="1" x14ac:dyDescent="0.2">
      <c r="A499" s="200" t="s">
        <v>622</v>
      </c>
      <c r="B499" s="201">
        <v>20</v>
      </c>
      <c r="C499" s="202">
        <v>9</v>
      </c>
      <c r="D499" s="203" t="s">
        <v>432</v>
      </c>
      <c r="E499" s="202"/>
      <c r="F499" s="204">
        <v>88683638.430000007</v>
      </c>
      <c r="G499" s="204"/>
      <c r="H499" s="204"/>
      <c r="I499" s="204"/>
      <c r="J499" s="204"/>
      <c r="K499" s="205">
        <f t="shared" si="35"/>
        <v>88683638.430000007</v>
      </c>
      <c r="L499" s="206" t="s">
        <v>288</v>
      </c>
      <c r="N499" s="265"/>
    </row>
    <row r="500" spans="1:14" s="52" customFormat="1" ht="12.2" customHeight="1" thickBot="1" x14ac:dyDescent="0.25">
      <c r="A500" s="22" t="s">
        <v>623</v>
      </c>
      <c r="B500" s="75">
        <v>20</v>
      </c>
      <c r="C500" s="115">
        <v>10</v>
      </c>
      <c r="D500" s="2" t="s">
        <v>432</v>
      </c>
      <c r="E500" s="115"/>
      <c r="F500" s="18">
        <v>36249587.439999998</v>
      </c>
      <c r="G500" s="18"/>
      <c r="H500" s="18"/>
      <c r="I500" s="18"/>
      <c r="J500" s="18"/>
      <c r="K500" s="53">
        <f t="shared" si="35"/>
        <v>36249587.439999998</v>
      </c>
      <c r="L500" s="24" t="s">
        <v>288</v>
      </c>
      <c r="N500" s="265"/>
    </row>
    <row r="501" spans="1:14" s="52" customFormat="1" ht="12.2" customHeight="1" thickTop="1" x14ac:dyDescent="0.2">
      <c r="A501" s="139" t="s">
        <v>624</v>
      </c>
      <c r="B501" s="44">
        <v>20</v>
      </c>
      <c r="C501" s="195">
        <v>11</v>
      </c>
      <c r="D501" s="39" t="s">
        <v>432</v>
      </c>
      <c r="E501" s="195"/>
      <c r="F501" s="42">
        <f>SUM(F499:F500)</f>
        <v>124933225.87</v>
      </c>
      <c r="G501" s="42">
        <f>SUM(G499:G500)</f>
        <v>0</v>
      </c>
      <c r="H501" s="42">
        <f>SUM(H499:H500)</f>
        <v>0</v>
      </c>
      <c r="I501" s="42">
        <f>SUM(I499:I500)</f>
        <v>0</v>
      </c>
      <c r="J501" s="42">
        <f>SUM(J499:J500)</f>
        <v>0</v>
      </c>
      <c r="K501" s="42">
        <f t="shared" si="35"/>
        <v>124933225.87</v>
      </c>
      <c r="L501" s="45" t="s">
        <v>288</v>
      </c>
      <c r="N501" s="265"/>
    </row>
    <row r="502" spans="1:14" s="52" customFormat="1" ht="12.2" customHeight="1" x14ac:dyDescent="0.2">
      <c r="A502" s="200" t="s">
        <v>651</v>
      </c>
      <c r="B502" s="201">
        <v>20</v>
      </c>
      <c r="C502" s="202">
        <v>12</v>
      </c>
      <c r="D502" s="203" t="s">
        <v>432</v>
      </c>
      <c r="E502" s="202"/>
      <c r="F502" s="204">
        <v>3140332.83</v>
      </c>
      <c r="G502" s="204"/>
      <c r="H502" s="204"/>
      <c r="I502" s="204"/>
      <c r="J502" s="204"/>
      <c r="K502" s="205">
        <f t="shared" si="35"/>
        <v>3140332.83</v>
      </c>
      <c r="L502" s="206" t="s">
        <v>288</v>
      </c>
      <c r="N502" s="265"/>
    </row>
    <row r="503" spans="1:14" s="52" customFormat="1" ht="12.2" customHeight="1" thickBot="1" x14ac:dyDescent="0.25">
      <c r="A503" s="22" t="s">
        <v>625</v>
      </c>
      <c r="B503" s="75">
        <v>20</v>
      </c>
      <c r="C503" s="115">
        <v>13</v>
      </c>
      <c r="D503" s="2" t="s">
        <v>432</v>
      </c>
      <c r="E503" s="115"/>
      <c r="F503" s="18">
        <v>3253323.1099999994</v>
      </c>
      <c r="G503" s="18"/>
      <c r="H503" s="18"/>
      <c r="I503" s="18"/>
      <c r="J503" s="18"/>
      <c r="K503" s="53">
        <f t="shared" si="35"/>
        <v>3253323.1099999994</v>
      </c>
      <c r="L503" s="24" t="s">
        <v>288</v>
      </c>
      <c r="N503" s="265"/>
    </row>
    <row r="504" spans="1:14" s="52" customFormat="1" ht="12.2" customHeight="1" thickTop="1" x14ac:dyDescent="0.2">
      <c r="A504" s="139" t="s">
        <v>626</v>
      </c>
      <c r="B504" s="44">
        <v>20</v>
      </c>
      <c r="C504" s="195">
        <v>14</v>
      </c>
      <c r="D504" s="39" t="s">
        <v>432</v>
      </c>
      <c r="E504" s="195"/>
      <c r="F504" s="42">
        <f>SUM(F502:F503)</f>
        <v>6393655.9399999995</v>
      </c>
      <c r="G504" s="42">
        <f>SUM(G502:G503)</f>
        <v>0</v>
      </c>
      <c r="H504" s="42">
        <f>SUM(H502:H503)</f>
        <v>0</v>
      </c>
      <c r="I504" s="42">
        <f>SUM(I502:I503)</f>
        <v>0</v>
      </c>
      <c r="J504" s="42">
        <f>SUM(J502:J503)</f>
        <v>0</v>
      </c>
      <c r="K504" s="42">
        <f t="shared" si="35"/>
        <v>6393655.9399999995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2984425.9436328528</v>
      </c>
      <c r="G522" s="18">
        <v>1027685.6326567059</v>
      </c>
      <c r="H522" s="18">
        <v>960812.25305469008</v>
      </c>
      <c r="I522" s="18">
        <v>22692.920792693316</v>
      </c>
      <c r="J522" s="18">
        <v>10620.66442119579</v>
      </c>
      <c r="K522" s="18">
        <v>12268.632304027798</v>
      </c>
      <c r="L522" s="88">
        <f>SUM(F522:K522)</f>
        <v>5018506.0468621654</v>
      </c>
      <c r="N522" s="265"/>
    </row>
    <row r="523" spans="1:14" s="52" customFormat="1" ht="12.2" customHeight="1" x14ac:dyDescent="0.2">
      <c r="A523" s="22" t="s">
        <v>634</v>
      </c>
      <c r="B523" s="105">
        <v>21</v>
      </c>
      <c r="C523" s="115">
        <v>2</v>
      </c>
      <c r="D523" s="2" t="s">
        <v>432</v>
      </c>
      <c r="E523" s="115"/>
      <c r="F523" s="18">
        <v>1865103.5274211983</v>
      </c>
      <c r="G523" s="18">
        <v>641707.79778708308</v>
      </c>
      <c r="H523" s="18">
        <v>1808417.7487879139</v>
      </c>
      <c r="I523" s="18">
        <v>14820.632031612351</v>
      </c>
      <c r="J523" s="18">
        <v>6109.3590125857199</v>
      </c>
      <c r="K523" s="18">
        <v>9532.531491969823</v>
      </c>
      <c r="L523" s="88">
        <f>SUM(F523:K523)</f>
        <v>4345691.5965323634</v>
      </c>
      <c r="N523" s="265"/>
    </row>
    <row r="524" spans="1:14" s="52" customFormat="1" ht="12.2" customHeight="1" thickBot="1" x14ac:dyDescent="0.25">
      <c r="A524" s="22" t="s">
        <v>635</v>
      </c>
      <c r="B524" s="105">
        <v>21</v>
      </c>
      <c r="C524" s="115">
        <v>3</v>
      </c>
      <c r="D524" s="2" t="s">
        <v>432</v>
      </c>
      <c r="E524" s="115"/>
      <c r="F524" s="18">
        <v>1622409.5389459492</v>
      </c>
      <c r="G524" s="18">
        <v>607768.60955621139</v>
      </c>
      <c r="H524" s="18">
        <v>1538061.5281573962</v>
      </c>
      <c r="I524" s="18">
        <v>23652.727175694337</v>
      </c>
      <c r="J524" s="18">
        <v>6599.4165662184932</v>
      </c>
      <c r="K524" s="18">
        <v>10386.176204002379</v>
      </c>
      <c r="L524" s="88">
        <f>SUM(F524:K524)</f>
        <v>3808877.9966054726</v>
      </c>
      <c r="N524" s="265"/>
    </row>
    <row r="525" spans="1:14" s="52" customFormat="1" ht="12.2" customHeight="1" thickTop="1" x14ac:dyDescent="0.2">
      <c r="A525" s="139" t="s">
        <v>63</v>
      </c>
      <c r="B525" s="107">
        <v>21</v>
      </c>
      <c r="C525" s="195">
        <v>4</v>
      </c>
      <c r="D525" s="196" t="s">
        <v>432</v>
      </c>
      <c r="E525" s="195"/>
      <c r="F525" s="108">
        <f>SUM(F522:F524)</f>
        <v>6471939.0099999998</v>
      </c>
      <c r="G525" s="108">
        <f t="shared" ref="G525:L525" si="36">SUM(G522:G524)</f>
        <v>2277162.04</v>
      </c>
      <c r="H525" s="108">
        <f t="shared" si="36"/>
        <v>4307291.53</v>
      </c>
      <c r="I525" s="108">
        <f t="shared" si="36"/>
        <v>61166.280000000006</v>
      </c>
      <c r="J525" s="108">
        <f t="shared" si="36"/>
        <v>23329.440000000002</v>
      </c>
      <c r="K525" s="108">
        <f t="shared" si="36"/>
        <v>32187.34</v>
      </c>
      <c r="L525" s="89">
        <f t="shared" si="36"/>
        <v>13173075.640000002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546830.27</v>
      </c>
      <c r="G527" s="18">
        <v>316005.95999999996</v>
      </c>
      <c r="H527" s="18">
        <v>136077.59779064677</v>
      </c>
      <c r="I527" s="18">
        <v>0</v>
      </c>
      <c r="J527" s="18">
        <v>0</v>
      </c>
      <c r="K527" s="18">
        <v>0</v>
      </c>
      <c r="L527" s="88">
        <f>SUM(F527:K527)</f>
        <v>998913.82779064681</v>
      </c>
      <c r="M527" s="8"/>
      <c r="N527" s="266"/>
    </row>
    <row r="528" spans="1:14" s="3" customFormat="1" ht="12.2" customHeight="1" x14ac:dyDescent="0.15">
      <c r="A528" s="22" t="s">
        <v>634</v>
      </c>
      <c r="B528" s="105">
        <v>21</v>
      </c>
      <c r="C528" s="115">
        <v>6</v>
      </c>
      <c r="D528" s="2" t="s">
        <v>432</v>
      </c>
      <c r="E528" s="115"/>
      <c r="F528" s="18">
        <v>147349.20000000001</v>
      </c>
      <c r="G528" s="18">
        <v>71548.7</v>
      </c>
      <c r="H528" s="18">
        <v>11712.966282325751</v>
      </c>
      <c r="I528" s="18">
        <v>0</v>
      </c>
      <c r="J528" s="18">
        <v>0</v>
      </c>
      <c r="K528" s="18">
        <v>0</v>
      </c>
      <c r="L528" s="88">
        <f>SUM(F528:K528)</f>
        <v>230610.86628232576</v>
      </c>
      <c r="M528" s="8"/>
      <c r="N528" s="266"/>
    </row>
    <row r="529" spans="1:14" s="3" customFormat="1" ht="12.2" customHeight="1" thickBot="1" x14ac:dyDescent="0.2">
      <c r="A529" s="22" t="s">
        <v>635</v>
      </c>
      <c r="B529" s="118">
        <v>21</v>
      </c>
      <c r="C529" s="118">
        <v>7</v>
      </c>
      <c r="D529" s="2" t="s">
        <v>432</v>
      </c>
      <c r="E529" s="118"/>
      <c r="F529" s="18">
        <v>98952</v>
      </c>
      <c r="G529" s="18">
        <v>47899.579999999994</v>
      </c>
      <c r="H529" s="18">
        <v>43287.94592702746</v>
      </c>
      <c r="I529" s="18">
        <v>0</v>
      </c>
      <c r="J529" s="18">
        <v>0</v>
      </c>
      <c r="K529" s="18">
        <v>0</v>
      </c>
      <c r="L529" s="88">
        <f>SUM(F529:K529)</f>
        <v>190139.52592702745</v>
      </c>
      <c r="M529" s="8"/>
      <c r="N529" s="266"/>
    </row>
    <row r="530" spans="1:14" s="3" customFormat="1" ht="12.2" customHeight="1" thickTop="1" x14ac:dyDescent="0.15">
      <c r="A530" s="139" t="s">
        <v>65</v>
      </c>
      <c r="B530" s="107">
        <v>21</v>
      </c>
      <c r="C530" s="107">
        <v>8</v>
      </c>
      <c r="D530" s="158" t="s">
        <v>432</v>
      </c>
      <c r="E530" s="107"/>
      <c r="F530" s="89">
        <f>SUM(F527:F529)</f>
        <v>793131.47</v>
      </c>
      <c r="G530" s="89">
        <f t="shared" ref="G530:L530" si="37">SUM(G527:G529)</f>
        <v>435454.24</v>
      </c>
      <c r="H530" s="89">
        <f t="shared" si="37"/>
        <v>191078.50999999998</v>
      </c>
      <c r="I530" s="89">
        <f t="shared" si="37"/>
        <v>0</v>
      </c>
      <c r="J530" s="89">
        <f t="shared" si="37"/>
        <v>0</v>
      </c>
      <c r="K530" s="89">
        <f t="shared" si="37"/>
        <v>0</v>
      </c>
      <c r="L530" s="89">
        <f t="shared" si="37"/>
        <v>1419664.22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81593.758355235404</v>
      </c>
      <c r="G532" s="18">
        <v>42417.74869774621</v>
      </c>
      <c r="H532" s="18">
        <v>0</v>
      </c>
      <c r="I532" s="18">
        <v>0</v>
      </c>
      <c r="J532" s="18">
        <v>0</v>
      </c>
      <c r="K532" s="18">
        <v>0</v>
      </c>
      <c r="L532" s="88">
        <f>SUM(F532:K532)</f>
        <v>124011.50705298161</v>
      </c>
      <c r="M532" s="8"/>
      <c r="N532" s="266"/>
    </row>
    <row r="533" spans="1:14" s="3" customFormat="1" ht="12.2" customHeight="1" x14ac:dyDescent="0.15">
      <c r="A533" s="22" t="s">
        <v>634</v>
      </c>
      <c r="B533" s="105">
        <v>21</v>
      </c>
      <c r="C533" s="105">
        <v>10</v>
      </c>
      <c r="D533" s="2" t="s">
        <v>432</v>
      </c>
      <c r="E533" s="105"/>
      <c r="F533" s="18">
        <v>63397.047999727482</v>
      </c>
      <c r="G533" s="18">
        <v>32957.9137478087</v>
      </c>
      <c r="H533" s="18">
        <v>0</v>
      </c>
      <c r="I533" s="18">
        <v>0</v>
      </c>
      <c r="J533" s="18">
        <v>0</v>
      </c>
      <c r="K533" s="18">
        <v>0</v>
      </c>
      <c r="L533" s="88">
        <f>SUM(F533:K533)</f>
        <v>96354.961747536174</v>
      </c>
      <c r="M533" s="8"/>
      <c r="N533" s="266"/>
    </row>
    <row r="534" spans="1:14" s="3" customFormat="1" ht="12.2" customHeight="1" thickBot="1" x14ac:dyDescent="0.2">
      <c r="A534" s="22" t="s">
        <v>635</v>
      </c>
      <c r="B534" s="105">
        <v>21</v>
      </c>
      <c r="C534" s="105">
        <v>11</v>
      </c>
      <c r="D534" s="2" t="s">
        <v>432</v>
      </c>
      <c r="E534" s="105"/>
      <c r="F534" s="18">
        <v>163274.08364503714</v>
      </c>
      <c r="G534" s="18">
        <v>87921.357554445101</v>
      </c>
      <c r="H534" s="18">
        <v>0</v>
      </c>
      <c r="I534" s="18">
        <v>0</v>
      </c>
      <c r="J534" s="18">
        <v>0</v>
      </c>
      <c r="K534" s="18">
        <v>0</v>
      </c>
      <c r="L534" s="88">
        <f>SUM(F534:K534)</f>
        <v>251195.44119948224</v>
      </c>
      <c r="M534" s="8"/>
      <c r="N534" s="266"/>
    </row>
    <row r="535" spans="1:14" s="3" customFormat="1" ht="12.2" customHeight="1" thickTop="1" x14ac:dyDescent="0.15">
      <c r="A535" s="139" t="s">
        <v>67</v>
      </c>
      <c r="B535" s="107">
        <v>21</v>
      </c>
      <c r="C535" s="107">
        <v>12</v>
      </c>
      <c r="D535" s="158" t="s">
        <v>432</v>
      </c>
      <c r="E535" s="107"/>
      <c r="F535" s="89">
        <f>SUM(F532:F534)</f>
        <v>308264.89</v>
      </c>
      <c r="G535" s="89">
        <f t="shared" ref="G535:L535" si="38">SUM(G532:G534)</f>
        <v>163297.02000000002</v>
      </c>
      <c r="H535" s="89">
        <f t="shared" si="38"/>
        <v>0</v>
      </c>
      <c r="I535" s="89">
        <f t="shared" si="38"/>
        <v>0</v>
      </c>
      <c r="J535" s="89">
        <f t="shared" si="38"/>
        <v>0</v>
      </c>
      <c r="K535" s="89">
        <f t="shared" si="38"/>
        <v>0</v>
      </c>
      <c r="L535" s="89">
        <f t="shared" si="38"/>
        <v>471561.91000000003</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v>0</v>
      </c>
      <c r="G537" s="18">
        <v>0</v>
      </c>
      <c r="H537" s="18">
        <v>13384.58136265372</v>
      </c>
      <c r="I537" s="18">
        <v>0</v>
      </c>
      <c r="J537" s="18">
        <v>0</v>
      </c>
      <c r="K537" s="18">
        <v>0</v>
      </c>
      <c r="L537" s="88">
        <f>SUM(F537:K537)</f>
        <v>13384.58136265372</v>
      </c>
      <c r="M537" s="8"/>
      <c r="N537" s="266"/>
    </row>
    <row r="538" spans="1:14" s="3" customFormat="1" ht="12.2" customHeight="1" x14ac:dyDescent="0.15">
      <c r="A538" s="22" t="s">
        <v>634</v>
      </c>
      <c r="B538" s="105">
        <v>21</v>
      </c>
      <c r="C538" s="105">
        <v>14</v>
      </c>
      <c r="D538" s="2" t="s">
        <v>432</v>
      </c>
      <c r="E538" s="105"/>
      <c r="F538" s="18">
        <v>0</v>
      </c>
      <c r="G538" s="18">
        <v>0</v>
      </c>
      <c r="H538" s="18">
        <v>10399.606099894399</v>
      </c>
      <c r="I538" s="18">
        <v>0</v>
      </c>
      <c r="J538" s="18">
        <v>0</v>
      </c>
      <c r="K538" s="18">
        <v>0</v>
      </c>
      <c r="L538" s="88">
        <f>SUM(F538:K538)</f>
        <v>10399.606099894399</v>
      </c>
      <c r="M538" s="8"/>
      <c r="N538" s="266"/>
    </row>
    <row r="539" spans="1:14" s="3" customFormat="1" ht="12.2" customHeight="1" thickBot="1" x14ac:dyDescent="0.2">
      <c r="A539" s="22" t="s">
        <v>635</v>
      </c>
      <c r="B539" s="105">
        <v>21</v>
      </c>
      <c r="C539" s="105">
        <v>15</v>
      </c>
      <c r="D539" s="2" t="s">
        <v>432</v>
      </c>
      <c r="E539" s="105"/>
      <c r="F539" s="18">
        <v>0</v>
      </c>
      <c r="G539" s="18">
        <v>0</v>
      </c>
      <c r="H539" s="18">
        <v>11233.802537451884</v>
      </c>
      <c r="I539" s="18">
        <v>0</v>
      </c>
      <c r="J539" s="18">
        <v>0</v>
      </c>
      <c r="K539" s="18">
        <v>0</v>
      </c>
      <c r="L539" s="88">
        <f>SUM(F539:K539)</f>
        <v>11233.802537451884</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35017.990000000005</v>
      </c>
      <c r="I540" s="89">
        <f t="shared" si="39"/>
        <v>0</v>
      </c>
      <c r="J540" s="89">
        <f t="shared" si="39"/>
        <v>0</v>
      </c>
      <c r="K540" s="89">
        <f t="shared" si="39"/>
        <v>0</v>
      </c>
      <c r="L540" s="89">
        <f t="shared" si="39"/>
        <v>35017.990000000005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v>0</v>
      </c>
      <c r="G542" s="18">
        <v>0</v>
      </c>
      <c r="H542" s="18">
        <v>328790.2992521415</v>
      </c>
      <c r="I542" s="18">
        <v>0</v>
      </c>
      <c r="J542" s="18">
        <v>0</v>
      </c>
      <c r="K542" s="18">
        <v>0</v>
      </c>
      <c r="L542" s="88">
        <f>SUM(F542:K542)</f>
        <v>328790.2992521415</v>
      </c>
      <c r="M542" s="8"/>
      <c r="N542" s="266"/>
    </row>
    <row r="543" spans="1:14" s="3" customFormat="1" ht="12.2" customHeight="1" x14ac:dyDescent="0.15">
      <c r="A543" s="22" t="s">
        <v>634</v>
      </c>
      <c r="B543" s="105">
        <v>21</v>
      </c>
      <c r="C543" s="105">
        <v>18</v>
      </c>
      <c r="D543" s="2" t="s">
        <v>432</v>
      </c>
      <c r="E543" s="105"/>
      <c r="F543" s="18">
        <v>0</v>
      </c>
      <c r="G543" s="18">
        <v>0</v>
      </c>
      <c r="H543" s="18">
        <v>449234.68563841801</v>
      </c>
      <c r="I543" s="18">
        <v>0</v>
      </c>
      <c r="J543" s="18">
        <v>0</v>
      </c>
      <c r="K543" s="18">
        <v>0</v>
      </c>
      <c r="L543" s="88">
        <f>SUM(F543:K543)</f>
        <v>449234.68563841801</v>
      </c>
      <c r="M543" s="8"/>
      <c r="N543" s="266"/>
    </row>
    <row r="544" spans="1:14" s="3" customFormat="1" ht="12.2" customHeight="1" thickBot="1" x14ac:dyDescent="0.2">
      <c r="A544" s="22" t="s">
        <v>635</v>
      </c>
      <c r="B544" s="105">
        <v>21</v>
      </c>
      <c r="C544" s="105">
        <v>19</v>
      </c>
      <c r="D544" s="2" t="s">
        <v>432</v>
      </c>
      <c r="E544" s="105"/>
      <c r="F544" s="18">
        <v>0</v>
      </c>
      <c r="G544" s="18">
        <v>0</v>
      </c>
      <c r="H544" s="18">
        <v>221964.01510944049</v>
      </c>
      <c r="I544" s="18">
        <v>0</v>
      </c>
      <c r="J544" s="18">
        <v>0</v>
      </c>
      <c r="K544" s="18">
        <v>0</v>
      </c>
      <c r="L544" s="88">
        <f>SUM(F544:K544)</f>
        <v>221964.01510944049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999989</v>
      </c>
      <c r="I545" s="193">
        <f t="shared" si="40"/>
        <v>0</v>
      </c>
      <c r="J545" s="193">
        <f t="shared" si="40"/>
        <v>0</v>
      </c>
      <c r="K545" s="193">
        <f t="shared" si="40"/>
        <v>0</v>
      </c>
      <c r="L545" s="193">
        <f t="shared" si="40"/>
        <v>999989</v>
      </c>
      <c r="M545" s="8"/>
      <c r="N545" s="266"/>
    </row>
    <row r="546" spans="1:14" s="3" customFormat="1" ht="12.2" customHeight="1" thickTop="1" x14ac:dyDescent="0.15">
      <c r="A546" s="98" t="s">
        <v>72</v>
      </c>
      <c r="B546" s="107">
        <v>21</v>
      </c>
      <c r="C546" s="107">
        <v>21</v>
      </c>
      <c r="D546" s="158" t="s">
        <v>432</v>
      </c>
      <c r="E546" s="107"/>
      <c r="F546" s="89">
        <f>F525+F530+F535+F540+F545</f>
        <v>7573335.3699999992</v>
      </c>
      <c r="G546" s="89">
        <f t="shared" ref="G546:L546" si="41">G525+G530+G535+G540+G545</f>
        <v>2875913.3000000003</v>
      </c>
      <c r="H546" s="89">
        <f t="shared" si="41"/>
        <v>5533377.0300000003</v>
      </c>
      <c r="I546" s="89">
        <f t="shared" si="41"/>
        <v>61166.280000000006</v>
      </c>
      <c r="J546" s="89">
        <f t="shared" si="41"/>
        <v>23329.440000000002</v>
      </c>
      <c r="K546" s="89">
        <f t="shared" si="41"/>
        <v>32187.34</v>
      </c>
      <c r="L546" s="89">
        <f t="shared" si="41"/>
        <v>16099308.760000004</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5018506.0468621654</v>
      </c>
      <c r="G550" s="87">
        <f>L527</f>
        <v>998913.82779064681</v>
      </c>
      <c r="H550" s="87">
        <f>L532</f>
        <v>124011.50705298161</v>
      </c>
      <c r="I550" s="87">
        <f>L537</f>
        <v>13384.58136265372</v>
      </c>
      <c r="J550" s="87">
        <f>L542</f>
        <v>328790.2992521415</v>
      </c>
      <c r="K550" s="87">
        <f>SUM(F550:J550)</f>
        <v>6483606.2623205883</v>
      </c>
      <c r="L550" s="24" t="s">
        <v>288</v>
      </c>
      <c r="M550" s="8"/>
      <c r="N550" s="266"/>
    </row>
    <row r="551" spans="1:14" s="3" customFormat="1" ht="12.2" customHeight="1" x14ac:dyDescent="0.15">
      <c r="A551" s="22" t="s">
        <v>634</v>
      </c>
      <c r="B551" s="75">
        <v>21</v>
      </c>
      <c r="C551" s="75">
        <v>23</v>
      </c>
      <c r="D551" s="2" t="s">
        <v>432</v>
      </c>
      <c r="E551" s="75"/>
      <c r="F551" s="87">
        <f>L523</f>
        <v>4345691.5965323634</v>
      </c>
      <c r="G551" s="87">
        <f>L528</f>
        <v>230610.86628232576</v>
      </c>
      <c r="H551" s="87">
        <f>L533</f>
        <v>96354.961747536174</v>
      </c>
      <c r="I551" s="87">
        <f>L538</f>
        <v>10399.606099894399</v>
      </c>
      <c r="J551" s="87">
        <f>L543</f>
        <v>449234.68563841801</v>
      </c>
      <c r="K551" s="87">
        <f>SUM(F551:J551)</f>
        <v>5132291.7163005387</v>
      </c>
      <c r="L551" s="24" t="s">
        <v>288</v>
      </c>
      <c r="M551" s="8"/>
      <c r="N551" s="266"/>
    </row>
    <row r="552" spans="1:14" s="3" customFormat="1" ht="12.2" customHeight="1" thickBot="1" x14ac:dyDescent="0.2">
      <c r="A552" s="22" t="s">
        <v>635</v>
      </c>
      <c r="B552" s="75">
        <v>21</v>
      </c>
      <c r="C552" s="75">
        <v>24</v>
      </c>
      <c r="D552" s="2" t="s">
        <v>432</v>
      </c>
      <c r="E552" s="75"/>
      <c r="F552" s="87">
        <f>L524</f>
        <v>3808877.9966054726</v>
      </c>
      <c r="G552" s="87">
        <f>L529</f>
        <v>190139.52592702745</v>
      </c>
      <c r="H552" s="87">
        <f>L534</f>
        <v>251195.44119948224</v>
      </c>
      <c r="I552" s="87">
        <f>L539</f>
        <v>11233.802537451884</v>
      </c>
      <c r="J552" s="87">
        <f>L544</f>
        <v>221964.01510944049</v>
      </c>
      <c r="K552" s="87">
        <f>SUM(F552:J552)</f>
        <v>4483410.7813788746</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13173075.640000002</v>
      </c>
      <c r="G553" s="89">
        <f t="shared" si="42"/>
        <v>1419664.22</v>
      </c>
      <c r="H553" s="89">
        <f t="shared" si="42"/>
        <v>471561.91000000003</v>
      </c>
      <c r="I553" s="89">
        <f t="shared" si="42"/>
        <v>35017.990000000005</v>
      </c>
      <c r="J553" s="89">
        <f t="shared" si="42"/>
        <v>999989</v>
      </c>
      <c r="K553" s="89">
        <f t="shared" si="42"/>
        <v>16099308.760000002</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0</v>
      </c>
      <c r="G576" s="18">
        <v>0</v>
      </c>
      <c r="H576" s="18">
        <v>0</v>
      </c>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v>0</v>
      </c>
      <c r="G577" s="18">
        <v>0</v>
      </c>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v>0</v>
      </c>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0</v>
      </c>
      <c r="G579" s="18">
        <v>0</v>
      </c>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v>37025.589999999997</v>
      </c>
      <c r="G580" s="18">
        <v>0</v>
      </c>
      <c r="H580" s="18">
        <v>17194.23</v>
      </c>
      <c r="I580" s="87">
        <f t="shared" si="47"/>
        <v>54219.819999999992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v>0</v>
      </c>
      <c r="G581" s="18">
        <v>0</v>
      </c>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v>20134.09</v>
      </c>
      <c r="I582" s="87">
        <f t="shared" si="47"/>
        <v>20134.09</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390272.38</v>
      </c>
      <c r="G583" s="18">
        <v>1684659.6</v>
      </c>
      <c r="H583" s="18">
        <v>1406359.88</v>
      </c>
      <c r="I583" s="87">
        <f t="shared" si="47"/>
        <v>3481291.86</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v>0</v>
      </c>
      <c r="G584" s="18">
        <v>0</v>
      </c>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v>0</v>
      </c>
      <c r="G585" s="18">
        <v>0</v>
      </c>
      <c r="H585" s="18">
        <v>2216</v>
      </c>
      <c r="I585" s="87">
        <f t="shared" si="47"/>
        <v>2216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v>0</v>
      </c>
      <c r="G586" s="18">
        <v>0</v>
      </c>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v>0</v>
      </c>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v>0</v>
      </c>
      <c r="G588" s="18">
        <v>0</v>
      </c>
      <c r="H588" s="18">
        <v>0</v>
      </c>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530817.79596607317</v>
      </c>
      <c r="I592" s="18">
        <v>435937.05561770132</v>
      </c>
      <c r="J592" s="18">
        <v>568450.67841622559</v>
      </c>
      <c r="K592" s="104">
        <f t="shared" ref="K592:K598" si="48">SUM(H592:J592)</f>
        <v>1535205.53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327604.72390845395</v>
      </c>
      <c r="I593" s="18">
        <v>448811.31117675855</v>
      </c>
      <c r="J593" s="18">
        <v>223572.9649147875</v>
      </c>
      <c r="K593" s="104">
        <f t="shared" si="48"/>
        <v>999989</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50178.73</v>
      </c>
      <c r="K594" s="104">
        <f t="shared" si="48"/>
        <v>50178.73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0</v>
      </c>
      <c r="I595" s="18">
        <v>11530.78</v>
      </c>
      <c r="J595" s="18">
        <v>73767.14</v>
      </c>
      <c r="K595" s="104">
        <f t="shared" si="48"/>
        <v>85297.919999999998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0</v>
      </c>
      <c r="I596" s="18">
        <v>0</v>
      </c>
      <c r="J596" s="18">
        <v>9672.8799999999992</v>
      </c>
      <c r="K596" s="104">
        <f t="shared" si="48"/>
        <v>9672.8799999999992</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18947.156947929099</v>
      </c>
      <c r="I598" s="18">
        <v>15560.457608950626</v>
      </c>
      <c r="J598" s="18">
        <v>20290.435443120277</v>
      </c>
      <c r="K598" s="104">
        <f t="shared" si="48"/>
        <v>54798.05</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877369.67682245618</v>
      </c>
      <c r="I599" s="108">
        <f>SUM(I592:I598)</f>
        <v>911839.60440341057</v>
      </c>
      <c r="J599" s="108">
        <f>SUM(J592:J598)</f>
        <v>945932.82877413346</v>
      </c>
      <c r="K599" s="108">
        <f>SUM(K592:K598)</f>
        <v>2735142.11</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33999.79</v>
      </c>
      <c r="J604" s="18">
        <v>0</v>
      </c>
      <c r="K604" s="104">
        <f>SUM(H604:J604)</f>
        <v>33999.79</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185138.464266183+524.05275-151.31039</f>
        <v>185511.206626183</v>
      </c>
      <c r="I605" s="18">
        <f>57251.1061216331+430.38123</f>
        <v>57681.487351633099</v>
      </c>
      <c r="J605" s="18">
        <f>174745.12+3812.64+561.20602</f>
        <v>179118.96602000002</v>
      </c>
      <c r="K605" s="104">
        <f>SUM(H605:J605)</f>
        <v>422311.65999781608</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185511.206626183</v>
      </c>
      <c r="I606" s="108">
        <f>SUM(I603:I605)</f>
        <v>91681.277351633093</v>
      </c>
      <c r="J606" s="108">
        <f>SUM(J603:J605)</f>
        <v>179118.96602000002</v>
      </c>
      <c r="K606" s="108">
        <f>SUM(K603:K605)</f>
        <v>456311.44999781606</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47717.428806107157</v>
      </c>
      <c r="G612" s="18">
        <v>7641.9020830146183</v>
      </c>
      <c r="H612" s="18">
        <v>0</v>
      </c>
      <c r="I612" s="18">
        <v>0</v>
      </c>
      <c r="J612" s="18">
        <v>0</v>
      </c>
      <c r="K612" s="18">
        <v>0</v>
      </c>
      <c r="L612" s="88">
        <f>SUM(F612:K612)</f>
        <v>55359.330889121775</v>
      </c>
      <c r="M612" s="8"/>
      <c r="N612" s="266"/>
    </row>
    <row r="613" spans="1:14" s="3" customFormat="1" ht="12.2" customHeight="1" x14ac:dyDescent="0.15">
      <c r="A613" s="22" t="s">
        <v>634</v>
      </c>
      <c r="B613" s="75">
        <v>23</v>
      </c>
      <c r="C613" s="75">
        <v>14</v>
      </c>
      <c r="D613" s="2" t="s">
        <v>432</v>
      </c>
      <c r="E613" s="75"/>
      <c r="F613" s="18">
        <v>39775.947940213569</v>
      </c>
      <c r="G613" s="18">
        <v>6319.16062519761</v>
      </c>
      <c r="H613" s="18">
        <v>0</v>
      </c>
      <c r="I613" s="18">
        <v>0</v>
      </c>
      <c r="J613" s="18">
        <v>0</v>
      </c>
      <c r="K613" s="18">
        <v>0</v>
      </c>
      <c r="L613" s="88">
        <f>SUM(F613:K613)</f>
        <v>46095.108565411181</v>
      </c>
      <c r="M613" s="8"/>
      <c r="N613" s="266"/>
    </row>
    <row r="614" spans="1:14" s="3" customFormat="1" ht="12.2" customHeight="1" thickBot="1" x14ac:dyDescent="0.2">
      <c r="A614" s="22" t="s">
        <v>645</v>
      </c>
      <c r="B614" s="75">
        <v>23</v>
      </c>
      <c r="C614" s="75">
        <v>15</v>
      </c>
      <c r="D614" s="2" t="s">
        <v>432</v>
      </c>
      <c r="E614" s="75"/>
      <c r="F614" s="18">
        <v>58943.803253679282</v>
      </c>
      <c r="G614" s="18">
        <v>9958.5672917877819</v>
      </c>
      <c r="H614" s="18">
        <v>0</v>
      </c>
      <c r="I614" s="18">
        <v>0</v>
      </c>
      <c r="J614" s="18">
        <v>0</v>
      </c>
      <c r="K614" s="18">
        <v>0</v>
      </c>
      <c r="L614" s="88">
        <f>SUM(F614:K614)</f>
        <v>68902.370545467071</v>
      </c>
      <c r="M614" s="8"/>
      <c r="N614" s="266"/>
    </row>
    <row r="615" spans="1:14" s="3" customFormat="1" ht="12.2" customHeight="1" thickTop="1" x14ac:dyDescent="0.15">
      <c r="A615" s="98" t="s">
        <v>340</v>
      </c>
      <c r="B615" s="107">
        <v>23</v>
      </c>
      <c r="C615" s="107">
        <v>16</v>
      </c>
      <c r="D615" s="39" t="s">
        <v>432</v>
      </c>
      <c r="E615" s="107"/>
      <c r="F615" s="108">
        <f t="shared" ref="F615:L615" si="49">SUM(F612:F614)</f>
        <v>146437.18</v>
      </c>
      <c r="G615" s="108">
        <f t="shared" si="49"/>
        <v>23919.630000000012</v>
      </c>
      <c r="H615" s="108">
        <f t="shared" si="49"/>
        <v>0</v>
      </c>
      <c r="I615" s="108">
        <f t="shared" si="49"/>
        <v>0</v>
      </c>
      <c r="J615" s="108">
        <f t="shared" si="49"/>
        <v>0</v>
      </c>
      <c r="K615" s="108">
        <f t="shared" si="49"/>
        <v>0</v>
      </c>
      <c r="L615" s="89">
        <f t="shared" si="49"/>
        <v>170356.81000000003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0</v>
      </c>
      <c r="H618" s="109">
        <f>SUM(F52)</f>
        <v>0</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425634.18</v>
      </c>
      <c r="H619" s="109">
        <f>SUM(G52)</f>
        <v>425634.18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1451874.3499999996</v>
      </c>
      <c r="H620" s="109">
        <f>SUM(H52)</f>
        <v>1451874.3499999996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0</v>
      </c>
      <c r="H623" s="109">
        <f>F477</f>
        <v>0</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344902.12</v>
      </c>
      <c r="H624" s="109">
        <f>G477</f>
        <v>344902.11999999988</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1451874.3499999996</v>
      </c>
      <c r="H625" s="109">
        <f>H477</f>
        <v>1451874.3499999996</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64376497.099999994</v>
      </c>
      <c r="H628" s="104">
        <f>SUM(F469)</f>
        <v>64376497.099999994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1399656.83</v>
      </c>
      <c r="H629" s="104">
        <f>SUM(G469)</f>
        <v>1399656.83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4550940.96</v>
      </c>
      <c r="H630" s="104">
        <f>SUM(H469)</f>
        <v>4550940.96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6594696.7799999993</v>
      </c>
      <c r="H631" s="104">
        <f>SUM(I469)</f>
        <v>6594696.7799999993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62344261.579999998</v>
      </c>
      <c r="H633" s="104">
        <f>SUM(F473)</f>
        <v>62344261.579999998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3718684.4400000004</v>
      </c>
      <c r="H634" s="104">
        <f>SUM(H473)</f>
        <v>3718684.4400000004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94053.219999999987</v>
      </c>
      <c r="H635" s="104">
        <f>I370</f>
        <v>94053.219999999987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1486905.8100000003</v>
      </c>
      <c r="H636" s="104">
        <f>SUM(G473)</f>
        <v>1486905.8100000003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6215599.7799999993</v>
      </c>
      <c r="H637" s="104">
        <f>SUM(I473)</f>
        <v>6215599.7799999993</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2735142.11</v>
      </c>
      <c r="H648" s="104">
        <f>L209+L227+L245</f>
        <v>2735142.11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456311.44999781606</v>
      </c>
      <c r="H649" s="104">
        <f>(J258+J339)-(J256+J337)</f>
        <v>456311.44999999995</v>
      </c>
      <c r="I649" s="140" t="s">
        <v>699</v>
      </c>
      <c r="J649" s="109">
        <f t="shared" si="50"/>
        <v>-2.1838932298123837E-6</v>
      </c>
      <c r="K649" s="85"/>
      <c r="L649" s="88"/>
      <c r="M649" s="8"/>
    </row>
    <row r="650" spans="1:13" s="3" customFormat="1" ht="12.2" customHeight="1" x14ac:dyDescent="0.15">
      <c r="A650" s="22"/>
      <c r="B650" s="105"/>
      <c r="C650" s="105"/>
      <c r="D650" s="105"/>
      <c r="E650" s="105"/>
      <c r="F650" s="120" t="s">
        <v>387</v>
      </c>
      <c r="G650" s="109">
        <f>L209</f>
        <v>877369.67682245618</v>
      </c>
      <c r="H650" s="104">
        <f>H599</f>
        <v>877369.67682245618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911839.60440341057</v>
      </c>
      <c r="H651" s="104">
        <f>I599</f>
        <v>911839.60440341057</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945932.82877413335</v>
      </c>
      <c r="H652" s="104">
        <f>J599</f>
        <v>945932.82877413346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21447</v>
      </c>
      <c r="H654" s="104">
        <f>K265</f>
        <v>21447</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379097</v>
      </c>
      <c r="H655" s="104">
        <f>K266+K347</f>
        <v>379097</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-2.1755695343017578E-6</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22173802.691700734</v>
      </c>
      <c r="G661" s="19">
        <f>(L230+L310+L360)</f>
        <v>16055048.265845546</v>
      </c>
      <c r="H661" s="19">
        <f>(L248+L329+L361)</f>
        <v>21028408.312453721</v>
      </c>
      <c r="I661" s="19">
        <f>SUM(F661:H661)</f>
        <v>59257259.269999996</v>
      </c>
      <c r="J661" s="13"/>
      <c r="K661" s="13"/>
      <c r="L661" s="13"/>
      <c r="M661" s="9"/>
    </row>
    <row r="662" spans="1:13" s="3" customFormat="1" ht="12.2" customHeight="1" x14ac:dyDescent="0.2">
      <c r="A662" s="1" t="s">
        <v>127</v>
      </c>
      <c r="F662" s="19">
        <f>(L359/IF(SUM(L359:L361)=0,1,SUM(L359:L361))*(SUM(G97:G110)))</f>
        <v>310706.18311675801</v>
      </c>
      <c r="G662" s="19">
        <f>(L360/IF(SUM(L359:L361)=0,1,SUM(L359:L361))*(SUM(G97:G110)))</f>
        <v>255169.17416761001</v>
      </c>
      <c r="H662" s="19">
        <f>(L361/IF(SUM(L359:L361)=0,1,SUM(L359:L361))*(SUM(G97:G110)))</f>
        <v>332734.02271563199</v>
      </c>
      <c r="I662" s="19">
        <f>SUM(F662:H662)</f>
        <v>898609.38</v>
      </c>
      <c r="J662"/>
      <c r="K662" s="13"/>
      <c r="L662" s="13"/>
      <c r="M662" s="8"/>
    </row>
    <row r="663" spans="1:13" s="3" customFormat="1" ht="12.2" customHeight="1" x14ac:dyDescent="0.2">
      <c r="A663" s="1" t="s">
        <v>128</v>
      </c>
      <c r="F663" s="19">
        <f>(L209+L288)-(J209+J288)</f>
        <v>881443.44888927997</v>
      </c>
      <c r="G663" s="19">
        <f>(L227+L307)-(J227+J307)</f>
        <v>911900.1901219798</v>
      </c>
      <c r="H663" s="19">
        <f>(L245+L326)-(J245+J326)</f>
        <v>946011.83098874032</v>
      </c>
      <c r="I663" s="19">
        <f>SUM(F663:H663)</f>
        <v>2739355.4699999997</v>
      </c>
      <c r="J663"/>
      <c r="K663" s="13"/>
      <c r="L663" s="13"/>
      <c r="M663" s="9"/>
    </row>
    <row r="664" spans="1:13" s="3" customFormat="1" ht="12.2" customHeight="1" x14ac:dyDescent="0.15">
      <c r="A664" s="198" t="s">
        <v>129</v>
      </c>
      <c r="B664" s="169"/>
      <c r="C664" s="169"/>
      <c r="D664" s="169"/>
      <c r="E664" s="169"/>
      <c r="F664" s="199">
        <f>SUM(F576:F588)+SUM(H603:H605)+SUM(L612)</f>
        <v>668168.50751530472</v>
      </c>
      <c r="G664" s="199">
        <f>SUM(G576:G588)+SUM(I603:I605)+L613</f>
        <v>1822435.9859170443</v>
      </c>
      <c r="H664" s="199">
        <f>SUM(H576:H588)+SUM(J603:J605)+L614</f>
        <v>1693925.536565467</v>
      </c>
      <c r="I664" s="19">
        <f>SUM(F664:H664)</f>
        <v>4184530.0299978163</v>
      </c>
      <c r="J664" s="13"/>
      <c r="K664" s="13"/>
      <c r="L664" s="13"/>
      <c r="M664" s="9"/>
    </row>
    <row r="665" spans="1:13" s="3" customFormat="1" ht="12.2" customHeight="1" x14ac:dyDescent="0.15">
      <c r="A665" s="1" t="s">
        <v>130</v>
      </c>
      <c r="F665" s="19">
        <f>F661-SUM(F662:F664)</f>
        <v>20313484.552179392</v>
      </c>
      <c r="G665" s="19">
        <f>G661-SUM(G662:G664)</f>
        <v>13065542.915638912</v>
      </c>
      <c r="H665" s="19">
        <f>H661-SUM(H662:H664)</f>
        <v>18055736.922183882</v>
      </c>
      <c r="I665" s="19">
        <f>I661-SUM(I662:I664)</f>
        <v>51434764.390002176</v>
      </c>
      <c r="J665" s="13"/>
      <c r="K665" s="13"/>
      <c r="L665" s="13"/>
      <c r="M665" s="8"/>
    </row>
    <row r="666" spans="1:13" s="3" customFormat="1" ht="12.2" customHeight="1" x14ac:dyDescent="0.2">
      <c r="A666" s="1" t="s">
        <v>131</v>
      </c>
      <c r="F666" s="246">
        <f>22.16+271.48+1062.43</f>
        <v>1356.0700000000002</v>
      </c>
      <c r="G666" s="247">
        <v>1113.68</v>
      </c>
      <c r="H666" s="247">
        <v>1452.21</v>
      </c>
      <c r="I666" s="19">
        <f>SUM(F666:H666)</f>
        <v>3921.96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14979.67</v>
      </c>
      <c r="G668" s="19">
        <f>ROUND(G665/G666,2)</f>
        <v>11731.86</v>
      </c>
      <c r="H668" s="19">
        <f>ROUND(H665/H666,2)</f>
        <v>12433.28</v>
      </c>
      <c r="I668" s="19">
        <f>ROUND(I665/I666,2)</f>
        <v>13114.56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36.47</v>
      </c>
      <c r="I671" s="19">
        <f>SUM(F671:H671)</f>
        <v>36.47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14979.67</v>
      </c>
      <c r="G673" s="19">
        <f>ROUND((G665+G670)/(G666+G671),2)</f>
        <v>11731.86</v>
      </c>
      <c r="H673" s="19">
        <f>ROUND((H665+H670)/(H666+H671),2)</f>
        <v>12128.69</v>
      </c>
      <c r="I673" s="19">
        <f>ROUND((I665+I670)/(I666+I671),2)</f>
        <v>12993.73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Dover School District</v>
      </c>
      <c r="C5" s="344"/>
      <c r="D5" s="344"/>
      <c r="E5" s="344"/>
      <c r="F5" s="344"/>
    </row>
    <row r="8" spans="1:9" ht="18" x14ac:dyDescent="0.25">
      <c r="A8" s="323" t="s">
        <v>1591</v>
      </c>
      <c r="F8" s="330" t="s">
        <v>1609</v>
      </c>
    </row>
    <row r="9" spans="1:9" ht="15" x14ac:dyDescent="0.2">
      <c r="A9" s="321" t="s">
        <v>1592</v>
      </c>
      <c r="B9" s="324">
        <f>'DOE25'!G97</f>
        <v>898609.38</v>
      </c>
      <c r="F9" s="321" t="s">
        <v>1605</v>
      </c>
    </row>
    <row r="10" spans="1:9" ht="15" x14ac:dyDescent="0.2">
      <c r="A10" s="321" t="s">
        <v>1593</v>
      </c>
      <c r="B10" s="324">
        <f>'DOE25'!G112-'DOE25'!G97</f>
        <v>0</v>
      </c>
      <c r="F10" s="321" t="s">
        <v>1606</v>
      </c>
    </row>
    <row r="11" spans="1:9" ht="15" x14ac:dyDescent="0.2">
      <c r="A11" s="321" t="s">
        <v>1594</v>
      </c>
      <c r="B11" s="324">
        <f>'DOE25'!G140</f>
        <v>22107.41</v>
      </c>
      <c r="F11" s="321" t="s">
        <v>1607</v>
      </c>
    </row>
    <row r="12" spans="1:9" ht="15" x14ac:dyDescent="0.2">
      <c r="A12" s="321" t="s">
        <v>1595</v>
      </c>
      <c r="B12" s="324">
        <f>'DOE25'!G170</f>
        <v>478940.04</v>
      </c>
      <c r="F12" s="321" t="s">
        <v>1608</v>
      </c>
    </row>
    <row r="13" spans="1:9" ht="15" x14ac:dyDescent="0.2">
      <c r="A13" s="321" t="s">
        <v>1596</v>
      </c>
      <c r="B13" s="324">
        <f>'DOE25'!G193-'DOE25'!G180</f>
        <v>0</v>
      </c>
      <c r="F13" s="321" t="s">
        <v>1618</v>
      </c>
    </row>
    <row r="14" spans="1:9" ht="18" x14ac:dyDescent="0.25">
      <c r="A14" s="323" t="s">
        <v>732</v>
      </c>
      <c r="B14" s="325">
        <f>SUM(B9:B13)</f>
        <v>1399656.83</v>
      </c>
    </row>
    <row r="16" spans="1:9" ht="18" x14ac:dyDescent="0.25">
      <c r="A16" s="323" t="s">
        <v>786</v>
      </c>
      <c r="F16" s="330" t="s">
        <v>1610</v>
      </c>
    </row>
    <row r="17" spans="1:6" ht="15" x14ac:dyDescent="0.2">
      <c r="A17" s="321" t="s">
        <v>1597</v>
      </c>
      <c r="B17" s="324">
        <f>'DOE25'!L363-'DOE25'!L362</f>
        <v>1486905.8100000003</v>
      </c>
      <c r="F17" s="321" t="s">
        <v>1611</v>
      </c>
    </row>
    <row r="18" spans="1:6" ht="15" x14ac:dyDescent="0.2">
      <c r="A18" s="321" t="s">
        <v>1598</v>
      </c>
      <c r="B18" s="338"/>
      <c r="F18" s="330" t="s">
        <v>1637</v>
      </c>
    </row>
    <row r="19" spans="1:6" ht="18" x14ac:dyDescent="0.25">
      <c r="A19" s="323" t="s">
        <v>725</v>
      </c>
      <c r="B19" s="325">
        <f>SUM(B17:B18)</f>
        <v>1486905.8100000003</v>
      </c>
    </row>
    <row r="21" spans="1:6" ht="18.75" thickBot="1" x14ac:dyDescent="0.3">
      <c r="A21" s="323" t="s">
        <v>1599</v>
      </c>
    </row>
    <row r="22" spans="1:6" ht="18.75" thickTop="1" x14ac:dyDescent="0.25">
      <c r="A22" s="323" t="s">
        <v>1600</v>
      </c>
      <c r="B22" s="329">
        <f>B14-B19</f>
        <v>-87248.980000000214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333384.37999999989</v>
      </c>
      <c r="F31" s="321" t="s">
        <v>1615</v>
      </c>
    </row>
    <row r="33" spans="1:6" ht="15" x14ac:dyDescent="0.2">
      <c r="A33" s="321" t="s">
        <v>1641</v>
      </c>
      <c r="B33" s="324">
        <f>'DOE25'!G477</f>
        <v>344902.11999999988</v>
      </c>
      <c r="F33" s="321" t="s">
        <v>1616</v>
      </c>
    </row>
    <row r="36" spans="1:6" ht="15" x14ac:dyDescent="0.2">
      <c r="A36" s="321" t="s">
        <v>1602</v>
      </c>
      <c r="B36" s="341">
        <v>100789.36</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E26" sqref="E2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Dover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14497763.9</v>
      </c>
      <c r="C9" s="229">
        <f>'DOE25'!G198+'DOE25'!G216+'DOE25'!G234+'DOE25'!G277+'DOE25'!G296+'DOE25'!G315</f>
        <v>7134469.5599999996</v>
      </c>
    </row>
    <row r="10" spans="1:3" x14ac:dyDescent="0.2">
      <c r="A10" t="s">
        <v>775</v>
      </c>
      <c r="B10" s="240">
        <v>12895373.789999999</v>
      </c>
      <c r="C10" s="240">
        <v>6702836.29</v>
      </c>
    </row>
    <row r="11" spans="1:3" x14ac:dyDescent="0.2">
      <c r="A11" t="s">
        <v>776</v>
      </c>
      <c r="B11" s="240">
        <v>738305.46</v>
      </c>
      <c r="C11" s="240">
        <v>181637.03</v>
      </c>
    </row>
    <row r="12" spans="1:3" x14ac:dyDescent="0.2">
      <c r="A12" t="s">
        <v>777</v>
      </c>
      <c r="B12" s="240">
        <v>864084.65000000037</v>
      </c>
      <c r="C12" s="240">
        <v>249996.23999999929</v>
      </c>
    </row>
    <row r="13" spans="1:3" x14ac:dyDescent="0.2">
      <c r="A13" t="str">
        <f>IF(B9=B13,IF(C9=C13,"Check Total OK","Check Total Error"),"Check Total Error")</f>
        <v>Check Total OK</v>
      </c>
      <c r="B13" s="231">
        <f>SUM(B10:B12)</f>
        <v>14497763.9</v>
      </c>
      <c r="C13" s="231">
        <f>SUM(C10:C12)</f>
        <v>7134469.5599999996</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6780203.9000000004</v>
      </c>
      <c r="C18" s="229">
        <f>'DOE25'!G199+'DOE25'!G217+'DOE25'!G235+'DOE25'!G278+'DOE25'!G297+'DOE25'!G316</f>
        <v>2440459.06</v>
      </c>
    </row>
    <row r="19" spans="1:3" x14ac:dyDescent="0.2">
      <c r="A19" t="s">
        <v>775</v>
      </c>
      <c r="B19" s="240">
        <v>1083330.94</v>
      </c>
      <c r="C19" s="240">
        <v>566310.02</v>
      </c>
    </row>
    <row r="20" spans="1:3" x14ac:dyDescent="0.2">
      <c r="A20" t="s">
        <v>776</v>
      </c>
      <c r="B20" s="240">
        <v>2579357.4500000002</v>
      </c>
      <c r="C20" s="240">
        <v>390473.42</v>
      </c>
    </row>
    <row r="21" spans="1:3" x14ac:dyDescent="0.2">
      <c r="A21" t="s">
        <v>777</v>
      </c>
      <c r="B21" s="240">
        <v>3117515.5100000002</v>
      </c>
      <c r="C21" s="240">
        <v>1483675.62</v>
      </c>
    </row>
    <row r="22" spans="1:3" x14ac:dyDescent="0.2">
      <c r="A22" t="str">
        <f>IF(B18=B22,IF(C18=C22,"Check Total OK","Check Total Error"),"Check Total Error")</f>
        <v>Check Total OK</v>
      </c>
      <c r="B22" s="231">
        <f>SUM(B19:B21)</f>
        <v>6780203.9000000004</v>
      </c>
      <c r="C22" s="231">
        <f>SUM(C19:C21)</f>
        <v>2440459.06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1205763.21</v>
      </c>
      <c r="C27" s="234">
        <f>'DOE25'!G200+'DOE25'!G218+'DOE25'!G236+'DOE25'!G279+'DOE25'!G298+'DOE25'!G317</f>
        <v>548361.53</v>
      </c>
    </row>
    <row r="28" spans="1:3" x14ac:dyDescent="0.2">
      <c r="A28" t="s">
        <v>775</v>
      </c>
      <c r="B28" s="240">
        <v>966681.59</v>
      </c>
      <c r="C28" s="240">
        <v>464769.44</v>
      </c>
    </row>
    <row r="29" spans="1:3" x14ac:dyDescent="0.2">
      <c r="A29" t="s">
        <v>776</v>
      </c>
      <c r="B29" s="240"/>
      <c r="C29" s="240"/>
    </row>
    <row r="30" spans="1:3" x14ac:dyDescent="0.2">
      <c r="A30" t="s">
        <v>777</v>
      </c>
      <c r="B30" s="240">
        <v>239081.62</v>
      </c>
      <c r="C30" s="240">
        <v>83592.090000000026</v>
      </c>
    </row>
    <row r="31" spans="1:3" x14ac:dyDescent="0.2">
      <c r="A31" t="str">
        <f>IF(B27=B31,IF(C27=C31,"Check Total OK","Check Total Error"),"Check Total Error")</f>
        <v>Check Total OK</v>
      </c>
      <c r="B31" s="231">
        <f>SUM(B28:B30)</f>
        <v>1205763.21</v>
      </c>
      <c r="C31" s="231">
        <f>SUM(C28:C30)</f>
        <v>548361.53</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317206.84000000003</v>
      </c>
      <c r="C36" s="235">
        <f>'DOE25'!G201+'DOE25'!G219+'DOE25'!G237+'DOE25'!G280+'DOE25'!G299+'DOE25'!G318</f>
        <v>112193.18000000001</v>
      </c>
    </row>
    <row r="37" spans="1:3" x14ac:dyDescent="0.2">
      <c r="A37" t="s">
        <v>775</v>
      </c>
      <c r="B37" s="240"/>
      <c r="C37" s="240"/>
    </row>
    <row r="38" spans="1:3" x14ac:dyDescent="0.2">
      <c r="A38" t="s">
        <v>776</v>
      </c>
      <c r="B38" s="240"/>
      <c r="C38" s="240"/>
    </row>
    <row r="39" spans="1:3" x14ac:dyDescent="0.2">
      <c r="A39" t="s">
        <v>777</v>
      </c>
      <c r="B39" s="240">
        <v>317206.84000000003</v>
      </c>
      <c r="C39" s="240">
        <v>112193.18000000001</v>
      </c>
    </row>
    <row r="40" spans="1:3" x14ac:dyDescent="0.2">
      <c r="A40" t="str">
        <f>IF(B36=B40,IF(C36=C40,"Check Total OK","Check Total Error"),"Check Total Error")</f>
        <v>Check Total OK</v>
      </c>
      <c r="B40" s="231">
        <f>SUM(B37:B39)</f>
        <v>317206.84000000003</v>
      </c>
      <c r="C40" s="231">
        <f>SUM(C37:C39)</f>
        <v>112193.18000000001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Dover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36279205.880000003</v>
      </c>
      <c r="D5" s="20">
        <f>SUM('DOE25'!L198:L201)+SUM('DOE25'!L216:L219)+SUM('DOE25'!L234:L237)-F5-G5-H5</f>
        <v>36145344.800000004</v>
      </c>
      <c r="E5" s="243"/>
      <c r="F5" s="244">
        <v>0</v>
      </c>
      <c r="G5" s="53">
        <f>SUM('DOE25'!J198:J201)+SUM('DOE25'!J216:J219)+SUM('DOE25'!J234:J237)</f>
        <v>55715.47</v>
      </c>
      <c r="H5" s="53">
        <f>SUM('DOE25'!K198:K201)+SUM('DOE25'!K216:K219)+SUM('DOE25'!K234:K237)</f>
        <v>78145.61</v>
      </c>
      <c r="I5" s="256"/>
    </row>
    <row r="6" spans="1:9" x14ac:dyDescent="0.2">
      <c r="A6" s="32">
        <v>2100</v>
      </c>
      <c r="B6" t="s">
        <v>796</v>
      </c>
      <c r="C6" s="276">
        <f t="shared" si="0"/>
        <v>4051705.3699999996</v>
      </c>
      <c r="D6" s="20">
        <f>'DOE25'!L203+'DOE25'!L221+'DOE25'!L239-F6-G6-H6</f>
        <v>3958425.3699999996</v>
      </c>
      <c r="E6" s="243"/>
      <c r="F6" s="244">
        <v>93280</v>
      </c>
      <c r="G6" s="53">
        <f>'DOE25'!J203+'DOE25'!J221+'DOE25'!J239</f>
        <v>0</v>
      </c>
      <c r="H6" s="53">
        <f>'DOE25'!K203+'DOE25'!K221+'DOE25'!K239</f>
        <v>0</v>
      </c>
      <c r="I6" s="256"/>
    </row>
    <row r="7" spans="1:9" x14ac:dyDescent="0.2">
      <c r="A7" s="32">
        <v>2200</v>
      </c>
      <c r="B7" t="s">
        <v>821</v>
      </c>
      <c r="C7" s="276">
        <f t="shared" si="0"/>
        <v>1621359.95</v>
      </c>
      <c r="D7" s="20">
        <f>'DOE25'!L204+'DOE25'!L222+'DOE25'!L240-F7-G7-H7</f>
        <v>1620701.95</v>
      </c>
      <c r="E7" s="243"/>
      <c r="F7" s="244">
        <v>0</v>
      </c>
      <c r="G7" s="53">
        <f>'DOE25'!J204+'DOE25'!J222+'DOE25'!J240</f>
        <v>0</v>
      </c>
      <c r="H7" s="53">
        <f>'DOE25'!K204+'DOE25'!K222+'DOE25'!K240</f>
        <v>658</v>
      </c>
      <c r="I7" s="256"/>
    </row>
    <row r="8" spans="1:9" x14ac:dyDescent="0.2">
      <c r="A8" s="32">
        <v>2300</v>
      </c>
      <c r="B8" t="s">
        <v>797</v>
      </c>
      <c r="C8" s="276">
        <f t="shared" si="0"/>
        <v>1085615.5</v>
      </c>
      <c r="D8" s="243"/>
      <c r="E8" s="20">
        <f>'DOE25'!L205+'DOE25'!L223+'DOE25'!L241-F8-G8-H8-D9-D11</f>
        <v>1022491.94</v>
      </c>
      <c r="F8" s="244">
        <v>44000</v>
      </c>
      <c r="G8" s="53">
        <f>'DOE25'!J205+'DOE25'!J223+'DOE25'!J241</f>
        <v>4759.96</v>
      </c>
      <c r="H8" s="53">
        <f>'DOE25'!K205+'DOE25'!K223+'DOE25'!K241</f>
        <v>14363.6</v>
      </c>
      <c r="I8" s="256"/>
    </row>
    <row r="9" spans="1:9" ht="14.25" x14ac:dyDescent="0.2">
      <c r="A9" s="32">
        <v>2310</v>
      </c>
      <c r="B9" s="185" t="s">
        <v>890</v>
      </c>
      <c r="C9" s="276">
        <f t="shared" si="0"/>
        <v>145046.84</v>
      </c>
      <c r="D9" s="244">
        <v>145046.84</v>
      </c>
      <c r="E9" s="243"/>
      <c r="F9" s="253"/>
      <c r="G9" s="253"/>
      <c r="H9" s="253"/>
      <c r="I9" s="256"/>
    </row>
    <row r="10" spans="1:9" ht="14.25" x14ac:dyDescent="0.2">
      <c r="A10" s="32">
        <v>2317</v>
      </c>
      <c r="B10" s="185" t="s">
        <v>891</v>
      </c>
      <c r="C10" s="276">
        <f t="shared" si="0"/>
        <v>30143.26</v>
      </c>
      <c r="D10" s="243"/>
      <c r="E10" s="244">
        <v>30143.26</v>
      </c>
      <c r="F10" s="253"/>
      <c r="G10" s="253"/>
      <c r="H10" s="253"/>
      <c r="I10" s="256"/>
    </row>
    <row r="11" spans="1:9" ht="14.25" x14ac:dyDescent="0.2">
      <c r="A11" s="32">
        <v>2321</v>
      </c>
      <c r="B11" s="185" t="s">
        <v>892</v>
      </c>
      <c r="C11" s="276">
        <f t="shared" si="0"/>
        <v>287497.17</v>
      </c>
      <c r="D11" s="244">
        <f>49896.17+35072.19+155723.88+46804.93</f>
        <v>287497.17</v>
      </c>
      <c r="E11" s="243"/>
      <c r="F11" s="253"/>
      <c r="G11" s="253"/>
      <c r="H11" s="253"/>
      <c r="I11" s="256"/>
    </row>
    <row r="12" spans="1:9" x14ac:dyDescent="0.2">
      <c r="A12" s="32">
        <v>2400</v>
      </c>
      <c r="B12" t="s">
        <v>711</v>
      </c>
      <c r="C12" s="276">
        <f t="shared" si="0"/>
        <v>2762320.68</v>
      </c>
      <c r="D12" s="20">
        <f>'DOE25'!L206+'DOE25'!L224+'DOE25'!L242-F12-G12-H12</f>
        <v>2746160.85</v>
      </c>
      <c r="E12" s="243"/>
      <c r="F12" s="244">
        <v>0</v>
      </c>
      <c r="G12" s="53">
        <f>'DOE25'!J206+'DOE25'!J224+'DOE25'!J242</f>
        <v>2398.34</v>
      </c>
      <c r="H12" s="53">
        <f>'DOE25'!K206+'DOE25'!K224+'DOE25'!K242</f>
        <v>13761.49</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4930687.370000001</v>
      </c>
      <c r="D14" s="20">
        <f>'DOE25'!L208+'DOE25'!L226+'DOE25'!L244-F14-G14-H14</f>
        <v>1537617.5700000003</v>
      </c>
      <c r="E14" s="243"/>
      <c r="F14" s="244">
        <v>3218591.4</v>
      </c>
      <c r="G14" s="53">
        <f>'DOE25'!J208+'DOE25'!J226+'DOE25'!J244</f>
        <v>173675.5</v>
      </c>
      <c r="H14" s="53">
        <f>'DOE25'!K208+'DOE25'!K226+'DOE25'!K244</f>
        <v>802.9</v>
      </c>
      <c r="I14" s="256"/>
    </row>
    <row r="15" spans="1:9" x14ac:dyDescent="0.2">
      <c r="A15" s="32">
        <v>2700</v>
      </c>
      <c r="B15" t="s">
        <v>799</v>
      </c>
      <c r="C15" s="276">
        <f t="shared" si="0"/>
        <v>2735142.11</v>
      </c>
      <c r="D15" s="20">
        <f>'DOE25'!L209+'DOE25'!L227+'DOE25'!L245-F15-G15-H15</f>
        <v>464247.35000000009</v>
      </c>
      <c r="E15" s="243"/>
      <c r="F15" s="244">
        <v>2270894.7599999998</v>
      </c>
      <c r="G15" s="53">
        <f>'DOE25'!J209+'DOE25'!J227+'DOE25'!J245</f>
        <v>0</v>
      </c>
      <c r="H15" s="53">
        <f>'DOE25'!K209+'DOE25'!K227+'DOE25'!K245</f>
        <v>0</v>
      </c>
      <c r="I15" s="256"/>
    </row>
    <row r="16" spans="1:9" x14ac:dyDescent="0.2">
      <c r="A16" s="32">
        <v>2800</v>
      </c>
      <c r="B16" t="s">
        <v>800</v>
      </c>
      <c r="C16" s="276">
        <f t="shared" si="0"/>
        <v>1346467.6400000001</v>
      </c>
      <c r="D16" s="243"/>
      <c r="E16" s="20">
        <f>'DOE25'!L210+'DOE25'!L228+'DOE25'!L246-F16-G16-H16</f>
        <v>1202038.04</v>
      </c>
      <c r="F16" s="244">
        <v>0</v>
      </c>
      <c r="G16" s="53">
        <f>'DOE25'!J210+'DOE25'!J228+'DOE25'!J246</f>
        <v>141509.1</v>
      </c>
      <c r="H16" s="53">
        <f>'DOE25'!K210+'DOE25'!K228+'DOE25'!K246</f>
        <v>2920.5000000000005</v>
      </c>
      <c r="I16" s="256"/>
    </row>
    <row r="17" spans="1:9" x14ac:dyDescent="0.2">
      <c r="A17" s="32">
        <v>1600</v>
      </c>
      <c r="B17" t="s">
        <v>801</v>
      </c>
      <c r="C17" s="276">
        <f t="shared" si="0"/>
        <v>203995.22999999998</v>
      </c>
      <c r="D17" s="20">
        <f>'DOE25'!L252-F17-G17-H17</f>
        <v>203995.22999999998</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6490047.4500000002</v>
      </c>
      <c r="D25" s="243"/>
      <c r="E25" s="243"/>
      <c r="F25" s="255"/>
      <c r="G25" s="253"/>
      <c r="H25" s="253"/>
      <c r="I25" s="254">
        <f>'DOE25'!L261+'DOE25'!L262+'DOE25'!L342+'DOE25'!L343</f>
        <v>6490047.4500000002</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1393887.1754200002</v>
      </c>
      <c r="D29" s="284">
        <f>'DOE25'!L359+'DOE25'!L360+'DOE25'!L361-'DOE25'!I368-F29-G29-H29</f>
        <v>52887.655420000454</v>
      </c>
      <c r="E29" s="243"/>
      <c r="F29" s="244">
        <v>1325372.4999999998</v>
      </c>
      <c r="G29" s="53">
        <f>'DOE25'!J359+'DOE25'!J360+'DOE25'!J361</f>
        <v>13384.57</v>
      </c>
      <c r="H29" s="53">
        <f>'DOE25'!K359+'DOE25'!K360+'DOE25'!K361</f>
        <v>2242.4499999999998</v>
      </c>
      <c r="I29" s="256"/>
    </row>
    <row r="30" spans="1:9" x14ac:dyDescent="0.2">
      <c r="A30" s="32"/>
      <c r="C30" s="277"/>
      <c r="D30" s="20"/>
      <c r="E30" s="281"/>
      <c r="F30" s="271"/>
      <c r="G30" s="53"/>
      <c r="H30" s="53"/>
      <c r="I30" s="256"/>
    </row>
    <row r="31" spans="1:9" x14ac:dyDescent="0.2">
      <c r="A31" s="32" t="s">
        <v>818</v>
      </c>
      <c r="B31" t="s">
        <v>817</v>
      </c>
      <c r="C31" s="276">
        <f>SUM(D31:I31)</f>
        <v>3511187.6100000003</v>
      </c>
      <c r="D31" s="20">
        <f>'DOE25'!L291+'DOE25'!L310+'DOE25'!L329+'DOE25'!L334+'DOE25'!L335+'DOE25'!L336-F31-G31-H31</f>
        <v>3405830.3700000006</v>
      </c>
      <c r="E31" s="243"/>
      <c r="F31" s="244">
        <v>0</v>
      </c>
      <c r="G31" s="53">
        <f>'DOE25'!J291+'DOE25'!J310+'DOE25'!J329+'DOE25'!J334+'DOE25'!J335+'DOE25'!J336</f>
        <v>74440.439999999988</v>
      </c>
      <c r="H31" s="53">
        <f>'DOE25'!K291+'DOE25'!K310+'DOE25'!K329+'DOE25'!K334+'DOE25'!K335+'DOE25'!K336</f>
        <v>30916.800000000003</v>
      </c>
      <c r="I31" s="256"/>
    </row>
    <row r="32" spans="1:9" ht="12" thickBot="1" x14ac:dyDescent="0.25">
      <c r="C32" s="277"/>
      <c r="G32" s="251"/>
      <c r="H32" s="251"/>
      <c r="I32" s="258"/>
    </row>
    <row r="33" spans="1:9" ht="12" thickTop="1" x14ac:dyDescent="0.2">
      <c r="B33" t="s">
        <v>809</v>
      </c>
      <c r="D33" s="245">
        <f t="shared" ref="D33:I33" si="1">SUM(D5:D31)</f>
        <v>50567755.155420005</v>
      </c>
      <c r="E33" s="245">
        <f t="shared" si="1"/>
        <v>2254673.2400000002</v>
      </c>
      <c r="F33" s="245">
        <f t="shared" si="1"/>
        <v>6952138.6600000001</v>
      </c>
      <c r="G33" s="245">
        <f t="shared" si="1"/>
        <v>465883.38</v>
      </c>
      <c r="H33" s="245">
        <f t="shared" si="1"/>
        <v>143811.35</v>
      </c>
      <c r="I33" s="245">
        <f t="shared" si="1"/>
        <v>6490047.4500000002</v>
      </c>
    </row>
    <row r="35" spans="1:9" ht="12" thickBot="1" x14ac:dyDescent="0.25">
      <c r="B35" s="251" t="s">
        <v>831</v>
      </c>
      <c r="D35" s="252">
        <f>E33</f>
        <v>2254673.2400000002</v>
      </c>
      <c r="E35" s="248"/>
    </row>
    <row r="36" spans="1:9" ht="12" thickTop="1" x14ac:dyDescent="0.2">
      <c r="B36" t="s">
        <v>810</v>
      </c>
      <c r="D36" s="20">
        <f>D33</f>
        <v>50567755.155420005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7" sqref="D37: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Dover School District</v>
      </c>
      <c r="B2" s="126">
        <f>'DOE25'!B2</f>
        <v>141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21659685.168379053</v>
      </c>
      <c r="G4" s="303">
        <f>'DOE25'!L212+'DOE25'!L291</f>
        <v>21659685.168379053</v>
      </c>
      <c r="H4" s="337">
        <f>F4-G4</f>
        <v>0</v>
      </c>
      <c r="I4" s="309" t="str">
        <f>IF(H4=0,"","Does not match DOE25 page 7 and 11 Totals!!")</f>
        <v/>
      </c>
      <c r="N4"/>
    </row>
    <row r="5" spans="1:18" x14ac:dyDescent="0.2">
      <c r="A5" s="21" t="s">
        <v>1013</v>
      </c>
      <c r="B5" s="304">
        <f>IFERROR(VLOOKUP(A5,'School Tables'!$C$3:$D$365,2,FALSE),"")</f>
        <v>20430</v>
      </c>
      <c r="C5" s="297" t="str">
        <f>IFERROR(INDEX('School Tables'!$B$3:$B$365,MATCH('School Level Expenditures'!B5,'School Tables'!$D$3:$D$365,0)),"")</f>
        <v>Dover</v>
      </c>
      <c r="D5" s="294">
        <v>6491424.2753260974</v>
      </c>
      <c r="E5" s="294">
        <v>372690.05585944827</v>
      </c>
      <c r="F5" s="312">
        <f>D5+E5</f>
        <v>6864114.3311855458</v>
      </c>
      <c r="G5" s="297"/>
      <c r="H5" s="297"/>
      <c r="I5" s="126"/>
      <c r="N5"/>
    </row>
    <row r="6" spans="1:18" x14ac:dyDescent="0.2">
      <c r="A6" s="21" t="s">
        <v>1015</v>
      </c>
      <c r="B6" s="304">
        <f>IFERROR(VLOOKUP(A6,'School Tables'!$C$3:$D$365,2,FALSE),"")</f>
        <v>20445</v>
      </c>
      <c r="C6" s="297" t="str">
        <f>IFERROR(INDEX('School Tables'!$B$3:$B$365,MATCH('School Level Expenditures'!B6,'School Tables'!$D$3:$D$365,0)),"")</f>
        <v>Dover</v>
      </c>
      <c r="D6" s="294">
        <v>6891699.7668341408</v>
      </c>
      <c r="E6" s="294">
        <v>395670.94402236328</v>
      </c>
      <c r="F6" s="307">
        <f t="shared" ref="F6:F20" si="0">D6+E6</f>
        <v>7287370.7108565038</v>
      </c>
      <c r="G6" s="297"/>
      <c r="H6" s="297"/>
      <c r="I6" s="126"/>
      <c r="N6"/>
    </row>
    <row r="7" spans="1:18" x14ac:dyDescent="0.2">
      <c r="A7" s="21" t="s">
        <v>1017</v>
      </c>
      <c r="B7" s="304">
        <f>IFERROR(VLOOKUP(A7,'School Tables'!$C$3:$D$365,2,FALSE),"")</f>
        <v>20460</v>
      </c>
      <c r="C7" s="297" t="str">
        <f>IFERROR(INDEX('School Tables'!$B$3:$B$365,MATCH('School Level Expenditures'!B7,'School Tables'!$D$3:$D$365,0)),"")</f>
        <v>Dover</v>
      </c>
      <c r="D7" s="294">
        <v>7100539.1537079029</v>
      </c>
      <c r="E7" s="294">
        <v>407660.9726291016</v>
      </c>
      <c r="F7" s="307">
        <f t="shared" si="0"/>
        <v>7508200.1263370048</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15632826.401654989</v>
      </c>
      <c r="G24" s="303">
        <f>'DOE25'!L230+'DOE25'!L310</f>
        <v>15632826.401654989</v>
      </c>
      <c r="H24" s="337">
        <f>F24-G24</f>
        <v>0</v>
      </c>
      <c r="I24" s="309" t="str">
        <f>IF(H24=0,"","Does not match DOE25 page 8 and 12 Totals!!")</f>
        <v/>
      </c>
      <c r="N24"/>
    </row>
    <row r="25" spans="1:14" x14ac:dyDescent="0.2">
      <c r="A25" s="21" t="s">
        <v>1014</v>
      </c>
      <c r="B25" s="304">
        <f>IFERROR(VLOOKUP(A25,'School Tables'!$I$3:$J$80,2,FALSE),"")</f>
        <v>20435</v>
      </c>
      <c r="C25" s="297" t="str">
        <f t="array" ref="C25">IFERROR(INDEX('School Tables'!$H$3:$H$80,MATCH('School Level Expenditures'!B25,'School Tables'!$J$3:$J$80,0)),"")</f>
        <v>Dover</v>
      </c>
      <c r="D25" s="294">
        <v>15043097.538395088</v>
      </c>
      <c r="E25" s="294">
        <v>589728.86325990071</v>
      </c>
      <c r="F25" s="307">
        <f>D25+E25</f>
        <v>15632826.401654989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20477841.889965959</v>
      </c>
      <c r="G36" s="303">
        <f>'DOE25'!L248+'DOE25'!L329</f>
        <v>20477841.889965959</v>
      </c>
      <c r="H36" s="337">
        <f>F36-G36</f>
        <v>0</v>
      </c>
      <c r="I36" s="309" t="str">
        <f>IF(H36=0,"","Does not match DOE25 page 9 and 13 Totals!!")</f>
        <v/>
      </c>
      <c r="N36"/>
    </row>
    <row r="37" spans="1:14" x14ac:dyDescent="0.2">
      <c r="A37" s="21" t="s">
        <v>1016</v>
      </c>
      <c r="B37" s="304">
        <f>IFERROR(VLOOKUP(A37,'School Tables'!$O$3:$P$118,2,FALSE),"")</f>
        <v>20455</v>
      </c>
      <c r="C37" s="297" t="str">
        <f t="array" ref="C37">IFERROR(INDEX('School Tables'!$N$3:$N$118,MATCH('School Level Expenditures'!B37,'School Tables'!$P$3:$P$118,0)),"")</f>
        <v>Dover</v>
      </c>
      <c r="D37" s="294">
        <v>19718287.775736772</v>
      </c>
      <c r="E37" s="294">
        <v>759554.11422918644</v>
      </c>
      <c r="F37" s="307">
        <f>D37+E37</f>
        <v>20477841.889965959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I18" sqref="I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Dover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337904.36</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52703.58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35026.240000000005</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1451874.3499999996</v>
      </c>
      <c r="F17" s="95">
        <f>'DOE25'!I18</f>
        <v>0</v>
      </c>
      <c r="G17" s="95">
        <f>'DOE25'!J18</f>
        <v>0</v>
      </c>
      <c r="H17" s="124"/>
      <c r="I17" s="124"/>
    </row>
    <row r="18" spans="1:9" ht="12" thickTop="1" x14ac:dyDescent="0.2">
      <c r="A18" s="38" t="s">
        <v>149</v>
      </c>
      <c r="B18" s="39"/>
      <c r="C18" s="41">
        <f>SUM(C8:C17)</f>
        <v>0</v>
      </c>
      <c r="D18" s="41">
        <f>SUM(D8:D17)</f>
        <v>425634.18</v>
      </c>
      <c r="E18" s="41">
        <f>SUM(E8:E17)</f>
        <v>1451874.3499999996</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591.65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80140.41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0</v>
      </c>
      <c r="D31" s="41">
        <f>SUM(D21:D30)</f>
        <v>80732.06</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35026.240000000005</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309875.88</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1451874.3499999996</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0</v>
      </c>
      <c r="D50" s="41">
        <f>SUM(D34:D49)</f>
        <v>344902.12</v>
      </c>
      <c r="E50" s="41">
        <f>SUM(E34:E49)</f>
        <v>1451874.3499999996</v>
      </c>
      <c r="F50" s="41">
        <f>SUM(F34:F49)</f>
        <v>0</v>
      </c>
      <c r="G50" s="41">
        <f>SUM(G34:G49)</f>
        <v>0</v>
      </c>
      <c r="H50" s="124"/>
      <c r="I50" s="124"/>
    </row>
    <row r="51" spans="1:9" ht="12" thickTop="1" x14ac:dyDescent="0.2">
      <c r="A51" s="38" t="s">
        <v>885</v>
      </c>
      <c r="B51" s="2"/>
      <c r="C51" s="41">
        <f>C50+C31</f>
        <v>0</v>
      </c>
      <c r="D51" s="41">
        <f>D50+D31</f>
        <v>425634.18</v>
      </c>
      <c r="E51" s="41">
        <f>E50+E31</f>
        <v>1451874.3499999996</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41159771</v>
      </c>
      <c r="D56" s="95">
        <f>'DOE25'!G60</f>
        <v>0</v>
      </c>
      <c r="E56" s="95">
        <f>'DOE25'!H60</f>
        <v>0</v>
      </c>
      <c r="F56" s="95">
        <f>'DOE25'!I60</f>
        <v>0</v>
      </c>
      <c r="G56" s="95">
        <f>'DOE25'!J60</f>
        <v>0</v>
      </c>
      <c r="H56"/>
      <c r="I56"/>
    </row>
    <row r="57" spans="1:9" x14ac:dyDescent="0.2">
      <c r="A57" s="1" t="s">
        <v>164</v>
      </c>
      <c r="B57" s="6" t="s">
        <v>165</v>
      </c>
      <c r="C57" s="95">
        <f>'DOE25'!F79</f>
        <v>4393616.9399999995</v>
      </c>
      <c r="D57" s="24" t="s">
        <v>288</v>
      </c>
      <c r="E57" s="95">
        <f>'DOE25'!H79</f>
        <v>195302.74</v>
      </c>
      <c r="F57" s="24" t="s">
        <v>288</v>
      </c>
      <c r="G57" s="24" t="s">
        <v>288</v>
      </c>
      <c r="H57"/>
      <c r="I57"/>
    </row>
    <row r="58" spans="1:9" x14ac:dyDescent="0.2">
      <c r="A58" s="1" t="s">
        <v>166</v>
      </c>
      <c r="B58" s="6" t="s">
        <v>167</v>
      </c>
      <c r="C58" s="95">
        <f>'DOE25'!F94</f>
        <v>47330.19</v>
      </c>
      <c r="D58" s="24" t="s">
        <v>288</v>
      </c>
      <c r="E58" s="95">
        <f>'DOE25'!H94</f>
        <v>929.27</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898609.38</v>
      </c>
      <c r="E60" s="24" t="s">
        <v>288</v>
      </c>
      <c r="F60" s="24" t="s">
        <v>288</v>
      </c>
      <c r="G60" s="24" t="s">
        <v>288</v>
      </c>
      <c r="H60"/>
      <c r="I60"/>
    </row>
    <row r="61" spans="1:9" ht="12" thickBot="1" x14ac:dyDescent="0.25">
      <c r="A61" s="1" t="s">
        <v>172</v>
      </c>
      <c r="B61" s="118" t="s">
        <v>173</v>
      </c>
      <c r="C61" s="95">
        <f>SUM('DOE25'!F98:F110)</f>
        <v>0</v>
      </c>
      <c r="D61" s="95">
        <f>SUM('DOE25'!G98:G110)</f>
        <v>0</v>
      </c>
      <c r="E61" s="95">
        <f>SUM('DOE25'!H98:H110)</f>
        <v>173069.51</v>
      </c>
      <c r="F61" s="95">
        <f>SUM('DOE25'!I98:I110)</f>
        <v>0</v>
      </c>
      <c r="G61" s="95">
        <f>SUM('DOE25'!J98:J110)</f>
        <v>0</v>
      </c>
      <c r="H61"/>
      <c r="I61"/>
    </row>
    <row r="62" spans="1:9" ht="12.75" thickTop="1" thickBot="1" x14ac:dyDescent="0.25">
      <c r="A62" s="29" t="s">
        <v>174</v>
      </c>
      <c r="B62" s="6"/>
      <c r="C62" s="130">
        <f>SUM(C57:C61)</f>
        <v>4440947.13</v>
      </c>
      <c r="D62" s="130">
        <f>SUM(D57:D61)</f>
        <v>898609.38</v>
      </c>
      <c r="E62" s="130">
        <f>SUM(E57:E61)</f>
        <v>369301.52</v>
      </c>
      <c r="F62" s="130">
        <f>SUM(F57:F61)</f>
        <v>0</v>
      </c>
      <c r="G62" s="130">
        <f>SUM(G57:G61)</f>
        <v>0</v>
      </c>
      <c r="H62"/>
      <c r="I62"/>
    </row>
    <row r="63" spans="1:9" ht="12" thickTop="1" x14ac:dyDescent="0.2">
      <c r="A63" s="29" t="s">
        <v>175</v>
      </c>
      <c r="B63" s="6"/>
      <c r="C63" s="22">
        <f>C56+C62</f>
        <v>45600718.130000003</v>
      </c>
      <c r="D63" s="22">
        <f>D56+D62</f>
        <v>898609.38</v>
      </c>
      <c r="E63" s="22">
        <f>E56+E62</f>
        <v>369301.52</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10034450.880000001</v>
      </c>
      <c r="D66" s="24" t="s">
        <v>288</v>
      </c>
      <c r="E66" s="24" t="s">
        <v>288</v>
      </c>
      <c r="F66" s="24" t="s">
        <v>288</v>
      </c>
      <c r="G66" s="24" t="s">
        <v>288</v>
      </c>
      <c r="H66"/>
      <c r="I66"/>
    </row>
    <row r="67" spans="1:9" x14ac:dyDescent="0.2">
      <c r="A67" s="1" t="s">
        <v>770</v>
      </c>
      <c r="B67" s="6">
        <v>3112</v>
      </c>
      <c r="C67" s="95">
        <f>'DOE25'!F118</f>
        <v>7036198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22876.47</v>
      </c>
      <c r="D69" s="95">
        <f>'DOE25'!G120</f>
        <v>0</v>
      </c>
      <c r="E69" s="95">
        <f>'DOE25'!H120</f>
        <v>0</v>
      </c>
      <c r="F69" s="95">
        <f>'DOE25'!I120</f>
        <v>0</v>
      </c>
      <c r="G69" s="95">
        <f>'DOE25'!J120</f>
        <v>0</v>
      </c>
      <c r="H69"/>
      <c r="I69"/>
    </row>
    <row r="70" spans="1:9" ht="12" thickTop="1" x14ac:dyDescent="0.2">
      <c r="A70" s="29" t="s">
        <v>252</v>
      </c>
      <c r="B70" s="2"/>
      <c r="C70" s="139">
        <f>SUM(C66:C69)</f>
        <v>17093525.350000001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529088.13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572853.43999999994</v>
      </c>
      <c r="D75" s="24" t="s">
        <v>288</v>
      </c>
      <c r="E75" s="24" t="s">
        <v>288</v>
      </c>
      <c r="F75" s="24" t="s">
        <v>288</v>
      </c>
      <c r="G75" s="24" t="s">
        <v>288</v>
      </c>
      <c r="H75"/>
      <c r="I75"/>
    </row>
    <row r="76" spans="1:9" x14ac:dyDescent="0.2">
      <c r="A76" s="1" t="s">
        <v>257</v>
      </c>
      <c r="B76" s="6" t="s">
        <v>179</v>
      </c>
      <c r="C76" s="95">
        <f>SUM('DOE25'!F127:F130)</f>
        <v>375670.72</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22107.41</v>
      </c>
      <c r="E77" s="95">
        <f>SUM('DOE25'!H131:H135)</f>
        <v>624370.65999999992</v>
      </c>
      <c r="F77" s="95">
        <f>SUM('DOE25'!I131:I135)</f>
        <v>0</v>
      </c>
      <c r="G77" s="95">
        <f>SUM('DOE25'!J131:J135)</f>
        <v>0</v>
      </c>
      <c r="H77"/>
      <c r="I77"/>
    </row>
    <row r="78" spans="1:9" ht="12.75" thickTop="1" thickBot="1" x14ac:dyDescent="0.25">
      <c r="A78" s="29" t="s">
        <v>259</v>
      </c>
      <c r="B78" s="6"/>
      <c r="C78" s="130">
        <f>SUM(C72:C77)</f>
        <v>1477612.2899999998</v>
      </c>
      <c r="D78" s="130">
        <f>SUM(D72:D77)</f>
        <v>22107.41</v>
      </c>
      <c r="E78" s="130">
        <f>SUM(E72:E77)</f>
        <v>624370.65999999992</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18571137.640000001</v>
      </c>
      <c r="D81" s="130">
        <f>SUM(D79:D80)+D78+D70</f>
        <v>22107.41</v>
      </c>
      <c r="E81" s="130">
        <f>SUM(E79:E80)+E78+E70</f>
        <v>624370.65999999992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146947.02000000002</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635.78</v>
      </c>
      <c r="D87" s="24" t="s">
        <v>288</v>
      </c>
      <c r="E87" s="95">
        <f>SUM('DOE25'!H149:H152)</f>
        <v>0</v>
      </c>
      <c r="F87" s="95">
        <f>SUM('DOE25'!I149:I152)</f>
        <v>0</v>
      </c>
      <c r="G87" s="24" t="s">
        <v>288</v>
      </c>
    </row>
    <row r="88" spans="1:9" x14ac:dyDescent="0.2">
      <c r="A88" s="291" t="s">
        <v>747</v>
      </c>
      <c r="B88" s="339" t="s">
        <v>184</v>
      </c>
      <c r="C88" s="340">
        <f>SUM('DOE25'!F153:F162)</f>
        <v>57058.53</v>
      </c>
      <c r="D88" s="340">
        <f>SUM('DOE25'!G153:G162)</f>
        <v>478940.04</v>
      </c>
      <c r="E88" s="340">
        <f>SUM('DOE25'!H153:H162)</f>
        <v>3535821.7800000003</v>
      </c>
      <c r="F88" s="340">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204641.33000000002</v>
      </c>
      <c r="D91" s="131">
        <f>SUM(D85:D90)</f>
        <v>478940.04</v>
      </c>
      <c r="E91" s="131">
        <f>SUM(E85:E90)</f>
        <v>3535821.7800000003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6215599.7799999993</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21447</v>
      </c>
      <c r="F96" s="95">
        <f>'DOE25'!I180</f>
        <v>379097</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21447</v>
      </c>
      <c r="F103" s="86">
        <f>SUM(F93:F102)</f>
        <v>6594696.7799999993</v>
      </c>
      <c r="G103" s="86">
        <f>SUM(G93:G102)</f>
        <v>0</v>
      </c>
    </row>
    <row r="104" spans="1:7" ht="12.75" thickTop="1" thickBot="1" x14ac:dyDescent="0.25">
      <c r="A104" s="33" t="s">
        <v>761</v>
      </c>
      <c r="C104" s="86">
        <f>C63+C81+C91+C103</f>
        <v>64376497.100000001</v>
      </c>
      <c r="D104" s="86">
        <f>D63+D81+D91+D103</f>
        <v>1399656.83</v>
      </c>
      <c r="E104" s="86">
        <f>E63+E81+E91+E103</f>
        <v>4550940.96</v>
      </c>
      <c r="F104" s="86">
        <f>F63+F81+F91+F103</f>
        <v>6594696.7799999993</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21602350.18</v>
      </c>
      <c r="D109" s="24" t="s">
        <v>288</v>
      </c>
      <c r="E109" s="95">
        <f>('DOE25'!L277)+('DOE25'!L296)+('DOE25'!L315)</f>
        <v>327585.23000000004</v>
      </c>
      <c r="F109" s="24" t="s">
        <v>288</v>
      </c>
      <c r="G109" s="24" t="s">
        <v>288</v>
      </c>
    </row>
    <row r="110" spans="1:7" x14ac:dyDescent="0.2">
      <c r="A110" t="s">
        <v>198</v>
      </c>
      <c r="B110" s="32" t="s">
        <v>199</v>
      </c>
      <c r="C110" s="95">
        <f>('DOE25'!L199)+('DOE25'!L217)+('DOE25'!L235)</f>
        <v>12198629.450000001</v>
      </c>
      <c r="D110" s="24" t="s">
        <v>288</v>
      </c>
      <c r="E110" s="95">
        <f>('DOE25'!L278)+('DOE25'!L297)+('DOE25'!L316)</f>
        <v>1446008.1000000003</v>
      </c>
      <c r="F110" s="24" t="s">
        <v>288</v>
      </c>
      <c r="G110" s="24" t="s">
        <v>288</v>
      </c>
    </row>
    <row r="111" spans="1:7" x14ac:dyDescent="0.2">
      <c r="A111" t="s">
        <v>200</v>
      </c>
      <c r="B111" s="32" t="s">
        <v>165</v>
      </c>
      <c r="C111" s="95">
        <f>('DOE25'!L200)+('DOE25'!L218)+('DOE25'!L236)</f>
        <v>1919436.6</v>
      </c>
      <c r="D111" s="24" t="s">
        <v>288</v>
      </c>
      <c r="E111" s="95">
        <f>('DOE25'!L279)+('DOE25'!L298)+('DOE25'!L317)</f>
        <v>71885.94</v>
      </c>
      <c r="F111" s="24" t="s">
        <v>288</v>
      </c>
      <c r="G111" s="24" t="s">
        <v>288</v>
      </c>
    </row>
    <row r="112" spans="1:7" x14ac:dyDescent="0.2">
      <c r="A112" t="s">
        <v>201</v>
      </c>
      <c r="B112" s="32" t="s">
        <v>167</v>
      </c>
      <c r="C112" s="95">
        <f>('DOE25'!L201)+('DOE25'!L219)+('DOE25'!L237)</f>
        <v>558789.65</v>
      </c>
      <c r="D112" s="24" t="s">
        <v>288</v>
      </c>
      <c r="E112" s="95">
        <f>+('DOE25'!L280)+('DOE25'!L299)+('DOE25'!L318)</f>
        <v>6446.2800000000007</v>
      </c>
      <c r="F112" s="24" t="s">
        <v>288</v>
      </c>
      <c r="G112" s="24" t="s">
        <v>288</v>
      </c>
    </row>
    <row r="113" spans="1:7" x14ac:dyDescent="0.2">
      <c r="A113" t="s">
        <v>202</v>
      </c>
      <c r="B113" s="32" t="s">
        <v>169</v>
      </c>
      <c r="C113" s="95">
        <f>'DOE25'!L251</f>
        <v>0</v>
      </c>
      <c r="D113" s="24" t="s">
        <v>288</v>
      </c>
      <c r="E113" s="95">
        <f>+'DOE25'!L333</f>
        <v>130409.17000000001</v>
      </c>
      <c r="F113" s="24" t="s">
        <v>288</v>
      </c>
      <c r="G113" s="24" t="s">
        <v>288</v>
      </c>
    </row>
    <row r="114" spans="1:7" ht="12" thickBot="1" x14ac:dyDescent="0.25">
      <c r="A114" t="s">
        <v>203</v>
      </c>
      <c r="B114" s="32" t="s">
        <v>204</v>
      </c>
      <c r="C114" s="95">
        <f>SUM('DOE25'!L252:L254)</f>
        <v>203995.22999999998</v>
      </c>
      <c r="D114" s="24" t="s">
        <v>288</v>
      </c>
      <c r="E114" s="95">
        <f>+ SUM('DOE25'!L334:L336)</f>
        <v>985882.66</v>
      </c>
      <c r="F114" s="24" t="s">
        <v>288</v>
      </c>
      <c r="G114" s="24" t="s">
        <v>288</v>
      </c>
    </row>
    <row r="115" spans="1:7" ht="12.75" thickTop="1" thickBot="1" x14ac:dyDescent="0.25">
      <c r="A115" s="33" t="s">
        <v>205</v>
      </c>
      <c r="C115" s="86">
        <f>SUM(C109:C114)</f>
        <v>36483201.109999999</v>
      </c>
      <c r="D115" s="86">
        <f>SUM(D109:D114)</f>
        <v>0</v>
      </c>
      <c r="E115" s="86">
        <f>SUM(E109:E114)</f>
        <v>2968217.3800000004</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4051705.3699999996</v>
      </c>
      <c r="D118" s="24" t="s">
        <v>288</v>
      </c>
      <c r="E118" s="95">
        <f>+('DOE25'!L282)+('DOE25'!L301)+('DOE25'!L320)</f>
        <v>312455.86000000004</v>
      </c>
      <c r="F118" s="24" t="s">
        <v>288</v>
      </c>
      <c r="G118" s="24" t="s">
        <v>288</v>
      </c>
    </row>
    <row r="119" spans="1:7" x14ac:dyDescent="0.2">
      <c r="A119" t="s">
        <v>208</v>
      </c>
      <c r="B119" s="32" t="s">
        <v>209</v>
      </c>
      <c r="C119" s="95">
        <f>('DOE25'!L204)+('DOE25'!L222)+('DOE25'!L240)</f>
        <v>1621359.95</v>
      </c>
      <c r="D119" s="24" t="s">
        <v>288</v>
      </c>
      <c r="E119" s="95">
        <f>+('DOE25'!L283)+('DOE25'!L302)+('DOE25'!L321)</f>
        <v>295678.5</v>
      </c>
      <c r="F119" s="24" t="s">
        <v>288</v>
      </c>
      <c r="G119" s="24" t="s">
        <v>288</v>
      </c>
    </row>
    <row r="120" spans="1:7" x14ac:dyDescent="0.2">
      <c r="A120" t="s">
        <v>210</v>
      </c>
      <c r="B120" s="32" t="s">
        <v>211</v>
      </c>
      <c r="C120" s="95">
        <f>('DOE25'!L205)+('DOE25'!L223)+('DOE25'!L241)</f>
        <v>1518159.51</v>
      </c>
      <c r="D120" s="24" t="s">
        <v>288</v>
      </c>
      <c r="E120" s="95">
        <f>+('DOE25'!L284)+('DOE25'!L303)+('DOE25'!L322)</f>
        <v>0</v>
      </c>
      <c r="F120" s="24" t="s">
        <v>288</v>
      </c>
      <c r="G120" s="24" t="s">
        <v>288</v>
      </c>
    </row>
    <row r="121" spans="1:7" x14ac:dyDescent="0.2">
      <c r="A121" t="s">
        <v>212</v>
      </c>
      <c r="B121" s="32" t="s">
        <v>213</v>
      </c>
      <c r="C121" s="95">
        <f>('DOE25'!L206)+('DOE25'!L224)+('DOE25'!L242)</f>
        <v>2762320.68</v>
      </c>
      <c r="D121" s="24" t="s">
        <v>288</v>
      </c>
      <c r="E121" s="95">
        <f>+('DOE25'!L285)+('DOE25'!L304)+('DOE25'!L323)</f>
        <v>61031.680000000008</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4930687.37</v>
      </c>
      <c r="D123" s="24" t="s">
        <v>288</v>
      </c>
      <c r="E123" s="95">
        <f>+('DOE25'!L287)+('DOE25'!L306)+('DOE25'!L325)</f>
        <v>0</v>
      </c>
      <c r="F123" s="24" t="s">
        <v>288</v>
      </c>
      <c r="G123" s="24" t="s">
        <v>288</v>
      </c>
    </row>
    <row r="124" spans="1:7" x14ac:dyDescent="0.2">
      <c r="A124" t="s">
        <v>218</v>
      </c>
      <c r="B124" s="32" t="s">
        <v>219</v>
      </c>
      <c r="C124" s="95">
        <f>('DOE25'!L209)+('DOE25'!L227)+('DOE25'!L245+'DOE25'!L255)</f>
        <v>2739768.5</v>
      </c>
      <c r="D124" s="24" t="s">
        <v>288</v>
      </c>
      <c r="E124" s="95">
        <f>+('DOE25'!L288)+('DOE25'!L307)+('DOE25'!L326)</f>
        <v>4213.3600000000006</v>
      </c>
      <c r="F124" s="24" t="s">
        <v>288</v>
      </c>
      <c r="G124" s="24" t="s">
        <v>288</v>
      </c>
    </row>
    <row r="125" spans="1:7" x14ac:dyDescent="0.2">
      <c r="A125" t="s">
        <v>220</v>
      </c>
      <c r="B125" s="32" t="s">
        <v>221</v>
      </c>
      <c r="C125" s="95">
        <f>('DOE25'!L210)+('DOE25'!L228)+('DOE25'!L246)</f>
        <v>1346467.6400000001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1486905.8100000003</v>
      </c>
      <c r="E127" s="24" t="s">
        <v>288</v>
      </c>
      <c r="F127" s="24" t="s">
        <v>288</v>
      </c>
      <c r="G127" s="24" t="s">
        <v>288</v>
      </c>
    </row>
    <row r="128" spans="1:7" ht="12.75" thickTop="1" thickBot="1" x14ac:dyDescent="0.25">
      <c r="A128" s="33" t="s">
        <v>226</v>
      </c>
      <c r="C128" s="86">
        <f>SUM(C118:C127)</f>
        <v>18970469.02</v>
      </c>
      <c r="D128" s="86">
        <f>SUM(D118:D127)</f>
        <v>1486905.8100000003</v>
      </c>
      <c r="E128" s="86">
        <f>SUM(E118:E127)</f>
        <v>673379.40000000014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6215599.7799999993</v>
      </c>
      <c r="G130" s="24" t="s">
        <v>288</v>
      </c>
    </row>
    <row r="131" spans="1:7" x14ac:dyDescent="0.2">
      <c r="A131" t="s">
        <v>229</v>
      </c>
      <c r="B131" s="32">
        <v>5110</v>
      </c>
      <c r="C131" s="95">
        <f>'DOE25'!L261</f>
        <v>2261730.38</v>
      </c>
      <c r="D131" s="24" t="s">
        <v>288</v>
      </c>
      <c r="E131" s="129">
        <f>'DOE25'!L342</f>
        <v>0</v>
      </c>
      <c r="F131" s="24" t="s">
        <v>288</v>
      </c>
      <c r="G131" s="24" t="s">
        <v>288</v>
      </c>
    </row>
    <row r="132" spans="1:7" x14ac:dyDescent="0.2">
      <c r="A132" t="s">
        <v>230</v>
      </c>
      <c r="B132" s="32">
        <v>5120</v>
      </c>
      <c r="C132" s="95">
        <f>'DOE25'!L262</f>
        <v>4228317.07</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77087.66</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21447</v>
      </c>
      <c r="D136" s="24" t="s">
        <v>288</v>
      </c>
      <c r="E136" s="24" t="s">
        <v>288</v>
      </c>
      <c r="F136" s="24" t="s">
        <v>288</v>
      </c>
      <c r="G136" s="24" t="s">
        <v>288</v>
      </c>
    </row>
    <row r="137" spans="1:7" x14ac:dyDescent="0.2">
      <c r="A137" t="s">
        <v>237</v>
      </c>
      <c r="B137" s="32" t="s">
        <v>189</v>
      </c>
      <c r="C137" s="95">
        <f>'DOE25'!L266</f>
        <v>379097</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6890591.4500000002</v>
      </c>
      <c r="D144" s="141">
        <f>SUM(D130:D143)</f>
        <v>0</v>
      </c>
      <c r="E144" s="141">
        <f>SUM(E130:E143)</f>
        <v>77087.66</v>
      </c>
      <c r="F144" s="141">
        <f>SUM(F130:F143)</f>
        <v>6215599.7799999993</v>
      </c>
      <c r="G144" s="141">
        <f>SUM(G130:G143)</f>
        <v>0</v>
      </c>
    </row>
    <row r="145" spans="1:9" ht="12.75" thickTop="1" thickBot="1" x14ac:dyDescent="0.25">
      <c r="A145" s="33" t="s">
        <v>244</v>
      </c>
      <c r="C145" s="86">
        <f>(C115+C128+C144)</f>
        <v>62344261.579999998</v>
      </c>
      <c r="D145" s="86">
        <f>(D115+D128+D144)</f>
        <v>1486905.8100000003</v>
      </c>
      <c r="E145" s="86">
        <f>(E115+E128+E144)</f>
        <v>3718684.4400000004</v>
      </c>
      <c r="F145" s="86">
        <f>(F115+F128+F144)</f>
        <v>6215599.7799999993</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90945368.810000002</v>
      </c>
      <c r="C156" s="137">
        <f>'DOE25'!G496</f>
        <v>0</v>
      </c>
      <c r="D156" s="137">
        <f>'DOE25'!H496</f>
        <v>0</v>
      </c>
      <c r="E156" s="137">
        <f>'DOE25'!I496</f>
        <v>0</v>
      </c>
      <c r="F156" s="137">
        <f>'DOE25'!J496</f>
        <v>0</v>
      </c>
      <c r="G156" s="138">
        <f>SUM(B156:F156)</f>
        <v>90945368.810000002</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2261730.38</v>
      </c>
      <c r="C158" s="137">
        <f>'DOE25'!G498</f>
        <v>0</v>
      </c>
      <c r="D158" s="137">
        <f>'DOE25'!H498</f>
        <v>0</v>
      </c>
      <c r="E158" s="137">
        <f>'DOE25'!I498</f>
        <v>0</v>
      </c>
      <c r="F158" s="137">
        <f>'DOE25'!J498</f>
        <v>0</v>
      </c>
      <c r="G158" s="138">
        <f t="shared" si="0"/>
        <v>2261730.38</v>
      </c>
    </row>
    <row r="159" spans="1:9" x14ac:dyDescent="0.2">
      <c r="A159" s="22" t="s">
        <v>35</v>
      </c>
      <c r="B159" s="137">
        <f>'DOE25'!F499</f>
        <v>88683638.430000007</v>
      </c>
      <c r="C159" s="137">
        <f>'DOE25'!G499</f>
        <v>0</v>
      </c>
      <c r="D159" s="137">
        <f>'DOE25'!H499</f>
        <v>0</v>
      </c>
      <c r="E159" s="137">
        <f>'DOE25'!I499</f>
        <v>0</v>
      </c>
      <c r="F159" s="137">
        <f>'DOE25'!J499</f>
        <v>0</v>
      </c>
      <c r="G159" s="138">
        <f t="shared" si="0"/>
        <v>88683638.430000007</v>
      </c>
    </row>
    <row r="160" spans="1:9" x14ac:dyDescent="0.2">
      <c r="A160" s="22" t="s">
        <v>36</v>
      </c>
      <c r="B160" s="137">
        <f>'DOE25'!F500</f>
        <v>36249587.439999998</v>
      </c>
      <c r="C160" s="137">
        <f>'DOE25'!G500</f>
        <v>0</v>
      </c>
      <c r="D160" s="137">
        <f>'DOE25'!H500</f>
        <v>0</v>
      </c>
      <c r="E160" s="137">
        <f>'DOE25'!I500</f>
        <v>0</v>
      </c>
      <c r="F160" s="137">
        <f>'DOE25'!J500</f>
        <v>0</v>
      </c>
      <c r="G160" s="138">
        <f t="shared" si="0"/>
        <v>36249587.439999998</v>
      </c>
    </row>
    <row r="161" spans="1:7" x14ac:dyDescent="0.2">
      <c r="A161" s="22" t="s">
        <v>37</v>
      </c>
      <c r="B161" s="137">
        <f>'DOE25'!F501</f>
        <v>124933225.87</v>
      </c>
      <c r="C161" s="137">
        <f>'DOE25'!G501</f>
        <v>0</v>
      </c>
      <c r="D161" s="137">
        <f>'DOE25'!H501</f>
        <v>0</v>
      </c>
      <c r="E161" s="137">
        <f>'DOE25'!I501</f>
        <v>0</v>
      </c>
      <c r="F161" s="137">
        <f>'DOE25'!J501</f>
        <v>0</v>
      </c>
      <c r="G161" s="138">
        <f t="shared" si="0"/>
        <v>124933225.87</v>
      </c>
    </row>
    <row r="162" spans="1:7" x14ac:dyDescent="0.2">
      <c r="A162" s="22" t="s">
        <v>38</v>
      </c>
      <c r="B162" s="137">
        <f>'DOE25'!F502</f>
        <v>3140332.83</v>
      </c>
      <c r="C162" s="137">
        <f>'DOE25'!G502</f>
        <v>0</v>
      </c>
      <c r="D162" s="137">
        <f>'DOE25'!H502</f>
        <v>0</v>
      </c>
      <c r="E162" s="137">
        <f>'DOE25'!I502</f>
        <v>0</v>
      </c>
      <c r="F162" s="137">
        <f>'DOE25'!J502</f>
        <v>0</v>
      </c>
      <c r="G162" s="138">
        <f t="shared" si="0"/>
        <v>3140332.83</v>
      </c>
    </row>
    <row r="163" spans="1:7" x14ac:dyDescent="0.2">
      <c r="A163" s="22" t="s">
        <v>39</v>
      </c>
      <c r="B163" s="137">
        <f>'DOE25'!F503</f>
        <v>3253323.1099999994</v>
      </c>
      <c r="C163" s="137">
        <f>'DOE25'!G503</f>
        <v>0</v>
      </c>
      <c r="D163" s="137">
        <f>'DOE25'!H503</f>
        <v>0</v>
      </c>
      <c r="E163" s="137">
        <f>'DOE25'!I503</f>
        <v>0</v>
      </c>
      <c r="F163" s="137">
        <f>'DOE25'!J503</f>
        <v>0</v>
      </c>
      <c r="G163" s="138">
        <f t="shared" si="0"/>
        <v>3253323.1099999994</v>
      </c>
    </row>
    <row r="164" spans="1:7" x14ac:dyDescent="0.2">
      <c r="A164" s="22" t="s">
        <v>246</v>
      </c>
      <c r="B164" s="137">
        <f>'DOE25'!F504</f>
        <v>6393655.9399999995</v>
      </c>
      <c r="C164" s="137">
        <f>'DOE25'!G504</f>
        <v>0</v>
      </c>
      <c r="D164" s="137">
        <f>'DOE25'!H504</f>
        <v>0</v>
      </c>
      <c r="E164" s="137">
        <f>'DOE25'!I504</f>
        <v>0</v>
      </c>
      <c r="F164" s="137">
        <f>'DOE25'!J504</f>
        <v>0</v>
      </c>
      <c r="G164" s="138">
        <f t="shared" si="0"/>
        <v>6393655.9399999995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Dover School District</v>
      </c>
    </row>
    <row r="3" spans="1:4" x14ac:dyDescent="0.2">
      <c r="B3" s="188" t="s">
        <v>1587</v>
      </c>
    </row>
    <row r="4" spans="1:4" x14ac:dyDescent="0.2">
      <c r="B4" t="s">
        <v>61</v>
      </c>
      <c r="C4" s="179">
        <f>IF('DOE25'!F666+'DOE25'!F671=0,0,ROUND('DOE25'!F673,0))</f>
        <v>14980</v>
      </c>
    </row>
    <row r="5" spans="1:4" x14ac:dyDescent="0.2">
      <c r="B5" t="s">
        <v>700</v>
      </c>
      <c r="C5" s="179">
        <f>IF('DOE25'!G666+'DOE25'!G671=0,0,ROUND('DOE25'!G673,0))</f>
        <v>11732</v>
      </c>
    </row>
    <row r="6" spans="1:4" x14ac:dyDescent="0.2">
      <c r="B6" t="s">
        <v>62</v>
      </c>
      <c r="C6" s="179">
        <f>IF('DOE25'!H666+'DOE25'!H671=0,0,ROUND('DOE25'!H673,0))</f>
        <v>12129</v>
      </c>
    </row>
    <row r="7" spans="1:4" x14ac:dyDescent="0.2">
      <c r="B7" t="s">
        <v>701</v>
      </c>
      <c r="C7" s="179">
        <f>IF('DOE25'!I666+'DOE25'!I671=0,0,ROUND('DOE25'!I673,0))</f>
        <v>12994</v>
      </c>
    </row>
    <row r="9" spans="1:4" x14ac:dyDescent="0.2">
      <c r="A9" s="187" t="s">
        <v>94</v>
      </c>
      <c r="B9" s="188" t="s">
        <v>1588</v>
      </c>
      <c r="C9" s="181" t="s">
        <v>720</v>
      </c>
      <c r="D9" s="181" t="s">
        <v>721</v>
      </c>
    </row>
    <row r="10" spans="1:4" x14ac:dyDescent="0.2">
      <c r="A10">
        <v>1100</v>
      </c>
      <c r="B10" t="s">
        <v>702</v>
      </c>
      <c r="C10" s="179">
        <f>ROUND('DOE25'!L198+'DOE25'!L216+'DOE25'!L234+'DOE25'!L277+'DOE25'!L296+'DOE25'!L315,0)</f>
        <v>21929935</v>
      </c>
      <c r="D10" s="182">
        <f>ROUND((C10/$C$28)*100,1)</f>
        <v>34.299999999999997</v>
      </c>
    </row>
    <row r="11" spans="1:4" x14ac:dyDescent="0.2">
      <c r="A11">
        <v>1200</v>
      </c>
      <c r="B11" t="s">
        <v>703</v>
      </c>
      <c r="C11" s="179">
        <f>ROUND('DOE25'!L199+'DOE25'!L217+'DOE25'!L235+'DOE25'!L278+'DOE25'!L297+'DOE25'!L316,0)</f>
        <v>13644638</v>
      </c>
      <c r="D11" s="182">
        <f>ROUND((C11/$C$28)*100,1)</f>
        <v>21.3</v>
      </c>
    </row>
    <row r="12" spans="1:4" x14ac:dyDescent="0.2">
      <c r="A12">
        <v>1300</v>
      </c>
      <c r="B12" t="s">
        <v>704</v>
      </c>
      <c r="C12" s="179">
        <f>ROUND('DOE25'!L200+'DOE25'!L218+'DOE25'!L236+'DOE25'!L279+'DOE25'!L298+'DOE25'!L317,0)</f>
        <v>1991323</v>
      </c>
      <c r="D12" s="182">
        <f>ROUND((C12/$C$28)*100,1)</f>
        <v>3.1</v>
      </c>
    </row>
    <row r="13" spans="1:4" x14ac:dyDescent="0.2">
      <c r="A13">
        <v>1400</v>
      </c>
      <c r="B13" t="s">
        <v>705</v>
      </c>
      <c r="C13" s="179">
        <f>ROUND('DOE25'!L201+'DOE25'!L219+'DOE25'!L237+'DOE25'!L280+'DOE25'!L299+'DOE25'!L318,0)</f>
        <v>565236</v>
      </c>
      <c r="D13" s="182">
        <f>ROUND((C13/$C$28)*100,1)</f>
        <v>0.9</v>
      </c>
    </row>
    <row r="14" spans="1:4" x14ac:dyDescent="0.2">
      <c r="D14" s="182"/>
    </row>
    <row r="15" spans="1:4" x14ac:dyDescent="0.2">
      <c r="A15">
        <v>2100</v>
      </c>
      <c r="B15" t="s">
        <v>706</v>
      </c>
      <c r="C15" s="179">
        <f>ROUND('DOE25'!L203+'DOE25'!L221+'DOE25'!L239+'DOE25'!L282+'DOE25'!L301+'DOE25'!L320,0)</f>
        <v>4364161</v>
      </c>
      <c r="D15" s="182">
        <f t="shared" ref="D15:D27" si="0">ROUND((C15/$C$28)*100,1)</f>
        <v>6.8</v>
      </c>
    </row>
    <row r="16" spans="1:4" x14ac:dyDescent="0.2">
      <c r="A16">
        <v>2200</v>
      </c>
      <c r="B16" t="s">
        <v>707</v>
      </c>
      <c r="C16" s="179">
        <f>ROUND('DOE25'!L204+'DOE25'!L222+'DOE25'!L240+'DOE25'!L283+'DOE25'!L302+'DOE25'!L321,0)</f>
        <v>1917038</v>
      </c>
      <c r="D16" s="182">
        <f t="shared" si="0"/>
        <v>3</v>
      </c>
    </row>
    <row r="17" spans="1:4" x14ac:dyDescent="0.2">
      <c r="A17" s="183" t="s">
        <v>723</v>
      </c>
      <c r="B17" t="s">
        <v>738</v>
      </c>
      <c r="C17" s="179">
        <f>ROUND('DOE25'!L205+'DOE25'!L210+'DOE25'!L223+'DOE25'!L228+'DOE25'!L241+'DOE25'!L246+'DOE25'!L284+'DOE25'!L289+'DOE25'!L303+'DOE25'!L308+'DOE25'!L322+'DOE25'!L327,0)</f>
        <v>2864627</v>
      </c>
      <c r="D17" s="182">
        <f t="shared" si="0"/>
        <v>4.5</v>
      </c>
    </row>
    <row r="18" spans="1:4" x14ac:dyDescent="0.2">
      <c r="A18">
        <v>2400</v>
      </c>
      <c r="B18" t="s">
        <v>711</v>
      </c>
      <c r="C18" s="179">
        <f>ROUND('DOE25'!L206+'DOE25'!L224+'DOE25'!L242+'DOE25'!L285+'DOE25'!L304+'DOE25'!L323,0)</f>
        <v>2823352</v>
      </c>
      <c r="D18" s="182">
        <f t="shared" si="0"/>
        <v>4.4000000000000004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4930687</v>
      </c>
      <c r="D20" s="182">
        <f t="shared" si="0"/>
        <v>7.7</v>
      </c>
    </row>
    <row r="21" spans="1:4" x14ac:dyDescent="0.2">
      <c r="A21">
        <v>2700</v>
      </c>
      <c r="B21" t="s">
        <v>710</v>
      </c>
      <c r="C21" s="179">
        <f>ROUND('DOE25'!L209+'DOE25'!L227+'DOE25'!L245+'DOE25'!L288+'DOE25'!L307+'DOE25'!L326,0)</f>
        <v>2739355</v>
      </c>
      <c r="D21" s="182">
        <f t="shared" si="0"/>
        <v>4.3</v>
      </c>
    </row>
    <row r="22" spans="1:4" x14ac:dyDescent="0.2">
      <c r="A22">
        <v>2900</v>
      </c>
      <c r="B22" t="s">
        <v>712</v>
      </c>
      <c r="C22" s="179">
        <v>0</v>
      </c>
      <c r="D22" s="182">
        <f t="shared" si="0"/>
        <v>0</v>
      </c>
    </row>
    <row r="23" spans="1:4" x14ac:dyDescent="0.2">
      <c r="A23">
        <v>1500</v>
      </c>
      <c r="B23" t="s">
        <v>714</v>
      </c>
      <c r="C23" s="179">
        <f>ROUND('DOE25'!L251+'DOE25'!L333,0)</f>
        <v>130409</v>
      </c>
      <c r="D23" s="182">
        <f t="shared" si="0"/>
        <v>0.2</v>
      </c>
    </row>
    <row r="24" spans="1:4" x14ac:dyDescent="0.2">
      <c r="A24" s="183" t="s">
        <v>722</v>
      </c>
      <c r="B24" t="s">
        <v>715</v>
      </c>
      <c r="C24" s="179">
        <f>ROUND('DOE25'!L252+'DOE25'!L253+'DOE25'!L254+'DOE25'!L255+'DOE25'!L334+'DOE25'!L335+'DOE25'!L336,0)</f>
        <v>1194504</v>
      </c>
      <c r="D24" s="182">
        <f t="shared" si="0"/>
        <v>1.9</v>
      </c>
    </row>
    <row r="25" spans="1:4" x14ac:dyDescent="0.2">
      <c r="A25">
        <v>5120</v>
      </c>
      <c r="B25" t="s">
        <v>716</v>
      </c>
      <c r="C25" s="179">
        <f>ROUND('DOE25'!L262+'DOE25'!L343,0)</f>
        <v>4228317</v>
      </c>
      <c r="D25" s="182">
        <f t="shared" si="0"/>
        <v>6.6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588296.62</v>
      </c>
      <c r="D27" s="182">
        <f t="shared" si="0"/>
        <v>0.9</v>
      </c>
    </row>
    <row r="28" spans="1:4" x14ac:dyDescent="0.2">
      <c r="B28" s="187" t="s">
        <v>719</v>
      </c>
      <c r="C28" s="180">
        <f>SUM(C10:C27)</f>
        <v>63911878.619999997</v>
      </c>
      <c r="D28" s="184">
        <f>ROUND(SUM(D10:D27),0)</f>
        <v>100</v>
      </c>
    </row>
    <row r="29" spans="1:4" x14ac:dyDescent="0.2">
      <c r="A29">
        <v>4000</v>
      </c>
      <c r="B29" t="s">
        <v>724</v>
      </c>
      <c r="C29" s="179">
        <f>ROUND('DOE25'!L256+'DOE25'!L337+'DOE25'!L375+'DOE25'!L376+'DOE25'!L377+'DOE25'!L378+'DOE25'!L379+'DOE25'!L380+'DOE25'!L381,0)</f>
        <v>6215600</v>
      </c>
    </row>
    <row r="30" spans="1:4" x14ac:dyDescent="0.2">
      <c r="B30" s="187" t="s">
        <v>725</v>
      </c>
      <c r="C30" s="180">
        <f>SUM(C28:C29)</f>
        <v>70127478.620000005</v>
      </c>
    </row>
    <row r="31" spans="1:4" x14ac:dyDescent="0.2">
      <c r="B31" s="33"/>
      <c r="C31" s="180"/>
    </row>
    <row r="32" spans="1:4" x14ac:dyDescent="0.2">
      <c r="A32">
        <v>5100</v>
      </c>
      <c r="B32" s="33" t="s">
        <v>726</v>
      </c>
      <c r="C32" s="180">
        <f>ROUND('DOE25'!L261+'DOE25'!L342,0)</f>
        <v>2261730</v>
      </c>
    </row>
    <row r="34" spans="1:4" x14ac:dyDescent="0.2">
      <c r="A34" s="187" t="s">
        <v>94</v>
      </c>
      <c r="B34" s="188" t="s">
        <v>1589</v>
      </c>
      <c r="C34" s="181" t="s">
        <v>720</v>
      </c>
      <c r="D34" s="181" t="s">
        <v>721</v>
      </c>
    </row>
    <row r="35" spans="1:4" x14ac:dyDescent="0.2">
      <c r="A35">
        <v>1100</v>
      </c>
      <c r="B35" s="185" t="s">
        <v>727</v>
      </c>
      <c r="C35" s="179">
        <f>ROUND('DOE25'!F60+'DOE25'!G60+'DOE25'!H60+'DOE25'!I60+'DOE25'!J60,0)</f>
        <v>41159771</v>
      </c>
      <c r="D35" s="182">
        <f t="shared" ref="D35:D40" si="1">ROUND((C35/$C$41)*100,1)</f>
        <v>59.3</v>
      </c>
    </row>
    <row r="36" spans="1:4" x14ac:dyDescent="0.2">
      <c r="B36" s="185" t="s">
        <v>739</v>
      </c>
      <c r="C36" s="179">
        <f>SUM('DOE25'!F112:J112)-SUM('DOE25'!G97:G110)+('DOE25'!F175+'DOE25'!F176+'DOE25'!I175+'DOE25'!I176)-C35</f>
        <v>4810248.6499999985</v>
      </c>
      <c r="D36" s="182">
        <f t="shared" si="1"/>
        <v>6.9</v>
      </c>
    </row>
    <row r="37" spans="1:4" x14ac:dyDescent="0.2">
      <c r="A37" s="183" t="s">
        <v>835</v>
      </c>
      <c r="B37" s="185" t="s">
        <v>728</v>
      </c>
      <c r="C37" s="179">
        <f>ROUND('DOE25'!F117+'DOE25'!F118,0)</f>
        <v>17070649</v>
      </c>
      <c r="D37" s="182">
        <f t="shared" si="1"/>
        <v>24.6</v>
      </c>
    </row>
    <row r="38" spans="1:4" x14ac:dyDescent="0.2">
      <c r="A38" s="183" t="s">
        <v>734</v>
      </c>
      <c r="B38" s="185" t="s">
        <v>729</v>
      </c>
      <c r="C38" s="179">
        <f>ROUND(SUM('DOE25'!F140:J140)-SUM('DOE25'!F117:F119),0)</f>
        <v>2146967</v>
      </c>
      <c r="D38" s="182">
        <f t="shared" si="1"/>
        <v>3.1</v>
      </c>
    </row>
    <row r="39" spans="1:4" x14ac:dyDescent="0.2">
      <c r="A39">
        <v>4000</v>
      </c>
      <c r="B39" s="185" t="s">
        <v>730</v>
      </c>
      <c r="C39" s="179">
        <f>ROUND('DOE25'!F170+'DOE25'!G170+'DOE25'!H170+'DOE25'!I170,0)</f>
        <v>4219403</v>
      </c>
      <c r="D39" s="182">
        <f t="shared" si="1"/>
        <v>6.1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69407038.650000006</v>
      </c>
      <c r="D41" s="184">
        <f>SUM(D35:D40)</f>
        <v>100</v>
      </c>
    </row>
    <row r="42" spans="1:4" x14ac:dyDescent="0.2">
      <c r="A42" s="183" t="s">
        <v>737</v>
      </c>
      <c r="B42" s="185" t="s">
        <v>733</v>
      </c>
      <c r="C42" s="179">
        <f>ROUND('DOE25'!F174+'DOE25'!I174+'DOE25'!F177+'DOE25'!I177,0)</f>
        <v>6215600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Dover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2020-12-03T14:40:36Z</cp:lastPrinted>
  <dcterms:created xsi:type="dcterms:W3CDTF">1997-12-04T19:04:30Z</dcterms:created>
  <dcterms:modified xsi:type="dcterms:W3CDTF">2020-12-11T14:44:34Z</dcterms:modified>
</cp:coreProperties>
</file>