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666" i="1" l="1"/>
  <c r="F544" i="1" l="1"/>
  <c r="F543" i="1"/>
  <c r="F542" i="1"/>
  <c r="C37" i="12" l="1"/>
  <c r="C38" i="12"/>
  <c r="B37" i="12"/>
  <c r="C19" i="12"/>
  <c r="C21" i="12"/>
  <c r="C20" i="12"/>
  <c r="C10" i="12"/>
  <c r="C11" i="12"/>
  <c r="C12" i="12"/>
  <c r="G277" i="1" l="1"/>
  <c r="G283" i="1"/>
  <c r="B20" i="12"/>
  <c r="F297" i="1"/>
  <c r="F283" i="1"/>
  <c r="F282" i="1"/>
  <c r="F278" i="1"/>
  <c r="F321" i="1"/>
  <c r="F320" i="1"/>
  <c r="F316" i="1"/>
  <c r="F302" i="1"/>
  <c r="F301" i="1"/>
  <c r="B21" i="12"/>
  <c r="B19" i="12"/>
  <c r="B10" i="12"/>
  <c r="B12" i="12"/>
  <c r="G466" i="1" l="1"/>
  <c r="G469" i="1"/>
  <c r="F12" i="1"/>
  <c r="F22" i="1"/>
  <c r="F50" i="1"/>
  <c r="F49" i="1"/>
  <c r="G158" i="1"/>
  <c r="H369" i="1"/>
  <c r="G369" i="1"/>
  <c r="F369" i="1"/>
  <c r="H368" i="1"/>
  <c r="F368" i="1"/>
  <c r="G368" i="1"/>
  <c r="H605" i="1"/>
  <c r="J605" i="1"/>
  <c r="I605" i="1"/>
  <c r="J278" i="1"/>
  <c r="H469" i="1"/>
  <c r="G12" i="1"/>
  <c r="F29" i="1"/>
  <c r="F28" i="1"/>
  <c r="F24" i="1" l="1"/>
  <c r="B11" i="12" l="1"/>
  <c r="G614" i="1"/>
  <c r="F277" i="1"/>
  <c r="I315" i="1"/>
  <c r="I320" i="1"/>
  <c r="G320" i="1"/>
  <c r="J316" i="1"/>
  <c r="I321" i="1"/>
  <c r="H321" i="1"/>
  <c r="G321" i="1"/>
  <c r="I322" i="1"/>
  <c r="H320" i="1"/>
  <c r="F322" i="1"/>
  <c r="I296" i="1"/>
  <c r="I301" i="1"/>
  <c r="G301" i="1"/>
  <c r="J297" i="1"/>
  <c r="I302" i="1"/>
  <c r="H302" i="1"/>
  <c r="G302" i="1"/>
  <c r="I303" i="1"/>
  <c r="H301" i="1"/>
  <c r="G297" i="1"/>
  <c r="F303" i="1"/>
  <c r="I277" i="1"/>
  <c r="I282" i="1"/>
  <c r="G282" i="1"/>
  <c r="I284" i="1"/>
  <c r="I283" i="1"/>
  <c r="H283" i="1"/>
  <c r="I278" i="1"/>
  <c r="H282" i="1"/>
  <c r="G278" i="1"/>
  <c r="F284" i="1"/>
  <c r="K345" i="1"/>
  <c r="I565" i="1" l="1"/>
  <c r="I564" i="1"/>
  <c r="I563" i="1"/>
  <c r="G565" i="1"/>
  <c r="G564" i="1"/>
  <c r="G563" i="1"/>
  <c r="F565" i="1"/>
  <c r="F564" i="1"/>
  <c r="F563" i="1"/>
  <c r="H539" i="1"/>
  <c r="H538" i="1"/>
  <c r="H537" i="1"/>
  <c r="F524" i="1"/>
  <c r="G524" i="1"/>
  <c r="K534" i="1"/>
  <c r="K533" i="1"/>
  <c r="K532" i="1"/>
  <c r="I534" i="1"/>
  <c r="I533" i="1"/>
  <c r="I532" i="1"/>
  <c r="H534" i="1"/>
  <c r="H533" i="1"/>
  <c r="H532" i="1"/>
  <c r="G534" i="1"/>
  <c r="G533" i="1"/>
  <c r="G532" i="1"/>
  <c r="F534" i="1"/>
  <c r="F533" i="1"/>
  <c r="F532" i="1"/>
  <c r="J529" i="1"/>
  <c r="J528" i="1"/>
  <c r="J527" i="1"/>
  <c r="I529" i="1"/>
  <c r="I528" i="1"/>
  <c r="I527" i="1"/>
  <c r="H529" i="1"/>
  <c r="H528" i="1"/>
  <c r="H527" i="1"/>
  <c r="G529" i="1"/>
  <c r="G528" i="1"/>
  <c r="G527" i="1"/>
  <c r="F529" i="1"/>
  <c r="F528" i="1"/>
  <c r="F527" i="1"/>
  <c r="I524" i="1"/>
  <c r="I523" i="1"/>
  <c r="I522" i="1"/>
  <c r="G523" i="1"/>
  <c r="G522" i="1"/>
  <c r="F523" i="1"/>
  <c r="F522" i="1"/>
  <c r="J523" i="1"/>
  <c r="J522" i="1"/>
  <c r="H524" i="1"/>
  <c r="H523" i="1"/>
  <c r="H522" i="1"/>
  <c r="G503" i="1"/>
  <c r="F503" i="1"/>
  <c r="F234" i="1"/>
  <c r="G234" i="1"/>
  <c r="H245" i="1"/>
  <c r="J244" i="1"/>
  <c r="I244" i="1"/>
  <c r="H244" i="1"/>
  <c r="G244" i="1"/>
  <c r="F244" i="1"/>
  <c r="K241" i="1"/>
  <c r="I241" i="1"/>
  <c r="H241" i="1"/>
  <c r="G241" i="1"/>
  <c r="F241" i="1"/>
  <c r="K240" i="1"/>
  <c r="J240" i="1"/>
  <c r="I240" i="1"/>
  <c r="H240" i="1"/>
  <c r="G240" i="1"/>
  <c r="F240" i="1"/>
  <c r="J239" i="1"/>
  <c r="I239" i="1"/>
  <c r="H239" i="1"/>
  <c r="G239" i="1"/>
  <c r="F239" i="1"/>
  <c r="I235" i="1"/>
  <c r="G235" i="1"/>
  <c r="F235" i="1"/>
  <c r="H235" i="1"/>
  <c r="I234" i="1"/>
  <c r="H234" i="1"/>
  <c r="G216" i="1"/>
  <c r="F216" i="1"/>
  <c r="H227" i="1"/>
  <c r="J226" i="1"/>
  <c r="I226" i="1"/>
  <c r="H226" i="1"/>
  <c r="G226" i="1"/>
  <c r="F226" i="1"/>
  <c r="K223" i="1"/>
  <c r="I223" i="1"/>
  <c r="H223" i="1"/>
  <c r="G223" i="1"/>
  <c r="F223" i="1"/>
  <c r="K222" i="1"/>
  <c r="J222" i="1"/>
  <c r="I222" i="1"/>
  <c r="H222" i="1"/>
  <c r="G222" i="1"/>
  <c r="F222" i="1"/>
  <c r="J221" i="1"/>
  <c r="I221" i="1"/>
  <c r="H221" i="1"/>
  <c r="G221" i="1"/>
  <c r="F221" i="1"/>
  <c r="I217" i="1"/>
  <c r="G217" i="1"/>
  <c r="F217" i="1"/>
  <c r="H217" i="1"/>
  <c r="I216" i="1"/>
  <c r="H216" i="1"/>
  <c r="G198" i="1"/>
  <c r="F198" i="1"/>
  <c r="H209" i="1"/>
  <c r="J208" i="1"/>
  <c r="I208" i="1"/>
  <c r="H208" i="1"/>
  <c r="G208" i="1"/>
  <c r="F208" i="1"/>
  <c r="K205" i="1"/>
  <c r="I205" i="1"/>
  <c r="H205" i="1"/>
  <c r="G205" i="1"/>
  <c r="F205" i="1"/>
  <c r="K204" i="1"/>
  <c r="J204" i="1"/>
  <c r="I204" i="1"/>
  <c r="H204" i="1"/>
  <c r="G204" i="1"/>
  <c r="F204" i="1"/>
  <c r="J203" i="1"/>
  <c r="I203" i="1"/>
  <c r="H203" i="1"/>
  <c r="G203" i="1"/>
  <c r="F203" i="1"/>
  <c r="I199" i="1"/>
  <c r="G199" i="1"/>
  <c r="F199" i="1"/>
  <c r="H199" i="1"/>
  <c r="I198" i="1"/>
  <c r="H198" i="1"/>
  <c r="K242" i="1" l="1"/>
  <c r="H242" i="1"/>
  <c r="G242" i="1"/>
  <c r="F242" i="1"/>
  <c r="J237" i="1"/>
  <c r="I237" i="1"/>
  <c r="H237" i="1"/>
  <c r="G237" i="1"/>
  <c r="F237" i="1"/>
  <c r="J234" i="1"/>
  <c r="K224" i="1"/>
  <c r="H224" i="1"/>
  <c r="G224" i="1"/>
  <c r="F224" i="1"/>
  <c r="G219" i="1"/>
  <c r="F219" i="1"/>
  <c r="J216" i="1"/>
  <c r="H206" i="1"/>
  <c r="G206" i="1"/>
  <c r="F206" i="1"/>
  <c r="G201" i="1"/>
  <c r="F201" i="1"/>
  <c r="F441" i="1" l="1"/>
  <c r="I242" i="1" l="1"/>
  <c r="K237" i="1"/>
  <c r="K234" i="1"/>
  <c r="I224" i="1"/>
  <c r="J219" i="1"/>
  <c r="I219" i="1"/>
  <c r="H219" i="1"/>
  <c r="J217" i="1"/>
  <c r="J199" i="1"/>
  <c r="J198" i="1"/>
  <c r="H155" i="1"/>
  <c r="H159" i="1"/>
  <c r="H154" i="1"/>
  <c r="G132" i="1" l="1"/>
  <c r="G97" i="1"/>
  <c r="F110" i="1"/>
  <c r="F9"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63" i="1" s="1"/>
  <c r="L245" i="1"/>
  <c r="G17" i="13"/>
  <c r="H17" i="13"/>
  <c r="L252" i="1"/>
  <c r="G18" i="13"/>
  <c r="H18" i="13"/>
  <c r="L253" i="1"/>
  <c r="G19" i="13"/>
  <c r="H19" i="13"/>
  <c r="L254" i="1"/>
  <c r="G29" i="13"/>
  <c r="H29" i="13"/>
  <c r="L359" i="1"/>
  <c r="L360" i="1"/>
  <c r="L361" i="1"/>
  <c r="I368" i="1"/>
  <c r="J291" i="1"/>
  <c r="J310" i="1"/>
  <c r="J329" i="1"/>
  <c r="K291" i="1"/>
  <c r="K310" i="1"/>
  <c r="K329" i="1"/>
  <c r="L277" i="1"/>
  <c r="L278" i="1"/>
  <c r="L279" i="1"/>
  <c r="L280" i="1"/>
  <c r="L282" i="1"/>
  <c r="L283" i="1"/>
  <c r="L284" i="1"/>
  <c r="L285" i="1"/>
  <c r="E121" i="2" s="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E114" i="2" s="1"/>
  <c r="L335" i="1"/>
  <c r="L336" i="1"/>
  <c r="L261" i="1"/>
  <c r="C131" i="2" s="1"/>
  <c r="L262" i="1"/>
  <c r="C132" i="2" s="1"/>
  <c r="L342" i="1"/>
  <c r="E131" i="2" s="1"/>
  <c r="L343" i="1"/>
  <c r="E132" i="2" s="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I60" i="1"/>
  <c r="F79" i="1"/>
  <c r="C57" i="2" s="1"/>
  <c r="F94" i="1"/>
  <c r="F111" i="1"/>
  <c r="G111" i="1"/>
  <c r="H79" i="1"/>
  <c r="H94" i="1"/>
  <c r="H111" i="1"/>
  <c r="I111" i="1"/>
  <c r="I112" i="1" s="1"/>
  <c r="J111" i="1"/>
  <c r="J112" i="1" s="1"/>
  <c r="F121" i="1"/>
  <c r="F136" i="1"/>
  <c r="G121" i="1"/>
  <c r="G136" i="1"/>
  <c r="H121" i="1"/>
  <c r="H136" i="1"/>
  <c r="H140" i="1" s="1"/>
  <c r="I121" i="1"/>
  <c r="I136" i="1"/>
  <c r="J121" i="1"/>
  <c r="J136" i="1"/>
  <c r="F147" i="1"/>
  <c r="F170" i="1"/>
  <c r="G147" i="1"/>
  <c r="H147" i="1"/>
  <c r="H170" i="1"/>
  <c r="I147" i="1"/>
  <c r="C12" i="10"/>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C91" i="2" s="1"/>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3" i="2"/>
  <c r="E124" i="2"/>
  <c r="C125" i="2"/>
  <c r="E125" i="2"/>
  <c r="F128" i="2"/>
  <c r="G128" i="2"/>
  <c r="D134" i="2"/>
  <c r="D144" i="2" s="1"/>
  <c r="F134" i="2"/>
  <c r="K420" i="1"/>
  <c r="K428" i="1"/>
  <c r="K434" i="1"/>
  <c r="L264" i="1"/>
  <c r="C135" i="2" s="1"/>
  <c r="L265" i="1"/>
  <c r="C136" i="2" s="1"/>
  <c r="L266"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K353" i="1" s="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G409" i="1" s="1"/>
  <c r="H646" i="1" s="1"/>
  <c r="H408" i="1"/>
  <c r="I408" i="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H462" i="1" s="1"/>
  <c r="H642" i="1" s="1"/>
  <c r="F461" i="1"/>
  <c r="G461" i="1"/>
  <c r="H461" i="1"/>
  <c r="F471" i="1"/>
  <c r="G471" i="1"/>
  <c r="G477" i="1" s="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52" i="1"/>
  <c r="G653" i="1"/>
  <c r="H653" i="1"/>
  <c r="G654" i="1"/>
  <c r="H654" i="1"/>
  <c r="G655" i="1"/>
  <c r="H655" i="1"/>
  <c r="H656" i="1"/>
  <c r="J656" i="1" s="1"/>
  <c r="G62" i="2"/>
  <c r="I170" i="1"/>
  <c r="J140" i="1"/>
  <c r="A40" i="12" l="1"/>
  <c r="I370" i="1"/>
  <c r="H635" i="1" s="1"/>
  <c r="J635" i="1" s="1"/>
  <c r="G339" i="1"/>
  <c r="G353" i="1" s="1"/>
  <c r="E110" i="2"/>
  <c r="E120" i="2"/>
  <c r="E119" i="2"/>
  <c r="G662" i="1"/>
  <c r="G651" i="1"/>
  <c r="J651" i="1" s="1"/>
  <c r="C32" i="10"/>
  <c r="C119" i="2"/>
  <c r="F258" i="1"/>
  <c r="F272" i="1" s="1"/>
  <c r="C112" i="2"/>
  <c r="C11" i="10"/>
  <c r="G646" i="1"/>
  <c r="H409" i="1"/>
  <c r="H645" i="1" s="1"/>
  <c r="H663" i="1"/>
  <c r="C13" i="10"/>
  <c r="J258" i="1"/>
  <c r="C121" i="2"/>
  <c r="A31" i="12"/>
  <c r="D18" i="13"/>
  <c r="C18" i="13" s="1"/>
  <c r="C20" i="10"/>
  <c r="C110" i="2"/>
  <c r="D50" i="2"/>
  <c r="L257" i="1"/>
  <c r="D6" i="13"/>
  <c r="C6" i="13" s="1"/>
  <c r="E13" i="13"/>
  <c r="C13" i="13" s="1"/>
  <c r="H112" i="1"/>
  <c r="H194" i="1" s="1"/>
  <c r="G630" i="1" s="1"/>
  <c r="J630" i="1" s="1"/>
  <c r="L402" i="1"/>
  <c r="C139" i="2" s="1"/>
  <c r="J652" i="1"/>
  <c r="H193" i="1"/>
  <c r="D15" i="13"/>
  <c r="C15" i="13" s="1"/>
  <c r="C120" i="2"/>
  <c r="G553" i="1"/>
  <c r="F339" i="1"/>
  <c r="F353" i="1" s="1"/>
  <c r="J642" i="1"/>
  <c r="L561" i="1"/>
  <c r="J625" i="1"/>
  <c r="G462" i="1"/>
  <c r="H641" i="1" s="1"/>
  <c r="J641" i="1" s="1"/>
  <c r="E103" i="2"/>
  <c r="D18" i="2"/>
  <c r="H553" i="1"/>
  <c r="L310" i="1"/>
  <c r="I546" i="1"/>
  <c r="F462" i="1"/>
  <c r="H640" i="1" s="1"/>
  <c r="J640" i="1" s="1"/>
  <c r="K606" i="1"/>
  <c r="G649" i="1" s="1"/>
  <c r="H258" i="1"/>
  <c r="H272" i="1" s="1"/>
  <c r="I52" i="1"/>
  <c r="H621" i="1" s="1"/>
  <c r="D31" i="2"/>
  <c r="E31" i="2"/>
  <c r="C18" i="2"/>
  <c r="F18" i="2"/>
  <c r="L271" i="1"/>
  <c r="F662" i="1"/>
  <c r="F572" i="1"/>
  <c r="L420" i="1"/>
  <c r="D91" i="2"/>
  <c r="D81" i="2"/>
  <c r="E78" i="2"/>
  <c r="E81" i="2" s="1"/>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C114" i="2"/>
  <c r="G112" i="1"/>
  <c r="B10" i="16" s="1"/>
  <c r="E118" i="2"/>
  <c r="L248" i="1"/>
  <c r="L212" i="1"/>
  <c r="H648" i="1"/>
  <c r="J64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E115" i="2" s="1"/>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L408" i="1"/>
  <c r="C140" i="2" s="1"/>
  <c r="C141" i="2" s="1"/>
  <c r="I193" i="1"/>
  <c r="E91" i="2"/>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J621" i="1"/>
  <c r="J620" i="1"/>
  <c r="D103" i="2"/>
  <c r="I140" i="1"/>
  <c r="A22" i="12"/>
  <c r="J653" i="1"/>
  <c r="G572" i="1"/>
  <c r="I435" i="1"/>
  <c r="G435" i="1"/>
  <c r="I664" i="1"/>
  <c r="E51" i="2" l="1"/>
  <c r="G36" i="14"/>
  <c r="H36" i="14" s="1"/>
  <c r="I36" i="14" s="1"/>
  <c r="H649" i="1"/>
  <c r="G24" i="14"/>
  <c r="H24" i="14" s="1"/>
  <c r="I24" i="14" s="1"/>
  <c r="E128" i="2"/>
  <c r="E145" i="2" s="1"/>
  <c r="I663" i="1"/>
  <c r="H661" i="1"/>
  <c r="H665" i="1" s="1"/>
  <c r="J272" i="1"/>
  <c r="F194" i="1"/>
  <c r="G628" i="1" s="1"/>
  <c r="J628" i="1" s="1"/>
  <c r="C81" i="2"/>
  <c r="F661" i="1"/>
  <c r="F665" i="1" s="1"/>
  <c r="F668" i="1" s="1"/>
  <c r="D51" i="2"/>
  <c r="F51" i="2"/>
  <c r="E104" i="2"/>
  <c r="C36" i="10"/>
  <c r="L435" i="1"/>
  <c r="G639" i="1" s="1"/>
  <c r="J639"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68" i="1" l="1"/>
  <c r="H673" i="1"/>
  <c r="C6" i="10" s="1"/>
  <c r="F673" i="1"/>
  <c r="C4" i="10" s="1"/>
  <c r="C104" i="2"/>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I668" i="1" l="1"/>
  <c r="H657"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<sst xmlns="http://schemas.openxmlformats.org/spreadsheetml/2006/main" count="5549" uniqueCount="1647">
  <si>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</si>
  <si>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</si>
  <si>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</si>
  <si>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</si>
  <si>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</si>
  <si>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</si>
  <si>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</si>
  <si>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</si>
  <si>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</si>
  <si>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</si>
  <si>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</si>
  <si>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</si>
  <si>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</si>
  <si>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</si>
  <si>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</si>
  <si>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</si>
  <si>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</si>
  <si>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</si>
  <si>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</si>
  <si>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</si>
  <si>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</si>
  <si>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</si>
  <si>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</si>
  <si>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</si>
  <si>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</si>
  <si>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</si>
  <si>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</si>
  <si>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</si>
  <si>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</si>
  <si>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</si>
  <si>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</si>
  <si>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</si>
  <si>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</si>
  <si>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</si>
  <si>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</si>
  <si>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</si>
  <si>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</si>
  <si>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</si>
  <si>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</si>
  <si>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</si>
  <si>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</si>
  <si>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</si>
  <si>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</si>
  <si>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</si>
  <si>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</si>
  <si>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</si>
  <si>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</si>
  <si>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</si>
  <si>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</si>
  <si>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</si>
  <si>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</si>
  <si>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</si>
  <si>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</si>
  <si>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</si>
  <si>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</si>
  <si>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</si>
  <si>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</si>
  <si>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</si>
  <si>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</si>
  <si>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</si>
  <si>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</si>
  <si>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</si>
  <si>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</si>
  <si>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</si>
  <si>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</si>
  <si>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</si>
  <si>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</si>
  <si>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</si>
  <si>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</si>
  <si>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</si>
  <si>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</si>
  <si>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</si>
  <si>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</si>
  <si>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</si>
  <si>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</si>
  <si>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</si>
  <si>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</si>
  <si>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</si>
  <si>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</si>
  <si>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</si>
  <si>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</si>
  <si>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</si>
  <si>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</si>
  <si>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</si>
  <si>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</si>
  <si>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</si>
  <si>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</si>
  <si>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</si>
  <si>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</si>
  <si>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</si>
  <si>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</si>
  <si>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</si>
  <si>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</si>
  <si>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</si>
  <si>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</si>
  <si>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</si>
  <si>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</si>
  <si>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</si>
  <si>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</si>
  <si>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</si>
  <si>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</si>
  <si>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</si>
  <si>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</si>
  <si>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</si>
  <si>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</si>
  <si>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</si>
  <si>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</si>
  <si>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</si>
  <si>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</si>
  <si>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</si>
  <si>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</si>
  <si>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</si>
  <si>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</si>
  <si>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</si>
  <si>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</si>
  <si>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</si>
  <si>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</si>
  <si>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</si>
  <si>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</si>
  <si>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</si>
  <si>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</si>
  <si>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</si>
  <si>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</si>
  <si>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</si>
  <si>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</si>
  <si>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</si>
  <si>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</si>
  <si>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</si>
  <si>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</si>
  <si>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</si>
  <si>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</si>
  <si>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</si>
  <si>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</si>
  <si>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</si>
  <si>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</si>
  <si>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</si>
  <si>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</si>
  <si>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</si>
  <si>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</si>
  <si>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</si>
  <si>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</si>
  <si>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</si>
  <si>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</si>
  <si>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</si>
  <si>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</si>
  <si>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</si>
  <si>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</si>
  <si>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</si>
  <si>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</si>
  <si>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</si>
  <si>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</si>
  <si>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</si>
  <si>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</si>
  <si>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</si>
  <si>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</si>
  <si>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</si>
  <si>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</si>
  <si>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</si>
  <si>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</si>
  <si>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</si>
  <si>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</si>
  <si>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</si>
  <si>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</si>
  <si>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</si>
  <si>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</si>
  <si>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</si>
  <si>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</si>
  <si>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</si>
  <si>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</si>
  <si>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</si>
  <si>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</si>
  <si>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</si>
  <si>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</si>
  <si>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</si>
  <si>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</si>
  <si>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</si>
  <si>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</si>
  <si>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</si>
  <si>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</si>
  <si>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</si>
  <si>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</si>
  <si>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</si>
  <si>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</si>
  <si>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</si>
  <si>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</si>
  <si>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</si>
  <si>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</si>
  <si>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</si>
  <si>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</si>
  <si>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</si>
  <si>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</si>
  <si>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</si>
  <si>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</si>
  <si>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</si>
  <si>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</si>
  <si>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</si>
  <si>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</si>
  <si>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</si>
  <si>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</si>
  <si>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</si>
  <si>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</si>
  <si>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</si>
  <si>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</si>
  <si>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</si>
  <si>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</si>
  <si>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</si>
  <si>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</si>
  <si>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</si>
  <si>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</si>
  <si>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</si>
  <si>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</si>
  <si>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</si>
  <si>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</si>
  <si>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</si>
  <si>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</si>
  <si>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</si>
  <si>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</si>
  <si>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</si>
  <si>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</si>
  <si>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</si>
  <si>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</si>
  <si>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</si>
  <si>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</si>
  <si>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</si>
  <si>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</si>
  <si>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</si>
  <si>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</si>
  <si>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</si>
  <si>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</si>
  <si>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</si>
  <si>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</si>
  <si>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</si>
  <si>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</si>
  <si>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</si>
  <si>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</si>
  <si>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</si>
  <si>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</si>
  <si>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</si>
  <si>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</si>
  <si>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</si>
  <si>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</si>
  <si>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</si>
  <si>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</si>
  <si>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</si>
  <si>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</si>
  <si>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</si>
  <si>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</si>
  <si>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</si>
  <si>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</si>
  <si>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</si>
  <si>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</si>
  <si>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</si>
  <si>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</si>
  <si>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</si>
  <si>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</si>
  <si>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</si>
  <si>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</si>
  <si>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</si>
  <si>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</si>
  <si>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</si>
  <si>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</si>
  <si>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</si>
  <si>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</si>
  <si>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</si>
  <si>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</si>
  <si>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</si>
  <si>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</si>
  <si>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</si>
  <si>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</si>
  <si>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</si>
  <si>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</si>
  <si>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</si>
  <si>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</si>
  <si>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</si>
  <si>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</si>
  <si>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</si>
  <si>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</si>
  <si>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</si>
  <si>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</si>
  <si>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</si>
  <si>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</si>
  <si>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</si>
  <si>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</si>
  <si>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</si>
  <si>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</si>
  <si>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</si>
  <si>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</si>
  <si>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</si>
  <si>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</si>
  <si>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</si>
  <si>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</si>
  <si>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</si>
  <si>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</si>
  <si>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</si>
  <si>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</si>
  <si>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</si>
  <si>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</si>
  <si>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</si>
  <si>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</si>
  <si>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</si>
  <si>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</si>
  <si>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</si>
  <si>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</si>
  <si>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</si>
  <si>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</si>
  <si>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</si>
  <si>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</si>
  <si>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</si>
  <si>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</si>
  <si>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</si>
  <si>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</si>
  <si>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</si>
  <si>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</si>
  <si>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</si>
  <si>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</si>
  <si>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</si>
  <si>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</si>
  <si>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</si>
  <si>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</si>
  <si>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</si>
  <si>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</si>
  <si>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</si>
  <si>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</si>
  <si>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</si>
  <si>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</si>
  <si>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</si>
  <si>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</si>
  <si>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</si>
  <si>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</si>
  <si>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</si>
  <si>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</si>
  <si>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</si>
  <si>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</si>
  <si>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</si>
  <si>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</si>
  <si>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</si>
  <si>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</si>
  <si>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</si>
  <si>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</si>
  <si>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</si>
  <si>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</si>
  <si>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</si>
  <si>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</si>
  <si>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</si>
  <si>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</si>
  <si>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</si>
  <si>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</si>
  <si>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</si>
  <si>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</si>
  <si>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</si>
  <si>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</si>
  <si>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</si>
  <si>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</si>
  <si>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</si>
  <si>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</si>
  <si>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</si>
  <si>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</si>
  <si>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</si>
  <si>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</si>
  <si>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</si>
  <si>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</si>
  <si>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</si>
  <si>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</si>
  <si>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</si>
  <si>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</si>
  <si>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</si>
  <si>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</si>
  <si>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</si>
  <si>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</si>
  <si>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</si>
  <si>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</si>
  <si>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</si>
  <si>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</si>
  <si>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</si>
  <si>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</si>
  <si>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</si>
  <si>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</si>
  <si>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</si>
  <si>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</si>
  <si>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</si>
  <si>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</si>
  <si>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</si>
  <si>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</si>
  <si>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</si>
  <si>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</si>
  <si>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</si>
  <si>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</si>
  <si>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</si>
  <si>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</si>
  <si>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</si>
  <si>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</si>
  <si>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</si>
  <si>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</si>
  <si>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</si>
  <si>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</si>
  <si>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</si>
  <si>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</si>
  <si>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</si>
  <si>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</si>
  <si>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</si>
  <si>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</si>
  <si>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</si>
  <si>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</si>
  <si>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</si>
  <si>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</si>
  <si>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</si>
  <si>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</si>
  <si>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</si>
  <si>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</si>
  <si>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</si>
  <si>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</si>
  <si>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</si>
  <si>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</si>
  <si>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</si>
  <si>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</si>
  <si>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</si>
  <si>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</si>
  <si>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</si>
  <si>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</si>
  <si>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</si>
  <si>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</si>
  <si>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</si>
  <si>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</si>
  <si>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</si>
  <si>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</si>
  <si>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</si>
  <si>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</si>
  <si>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</si>
  <si>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</si>
  <si>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</si>
  <si>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</si>
  <si>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</si>
  <si>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</si>
  <si>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</si>
  <si>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</si>
  <si>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</si>
  <si>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</si>
  <si>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</si>
  <si>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</si>
  <si>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</si>
  <si>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</si>
  <si>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</si>
  <si>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</si>
  <si>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</si>
  <si>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</si>
  <si>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</si>
  <si>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</si>
  <si>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</si>
  <si>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</si>
  <si>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</si>
  <si>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</si>
  <si>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</si>
  <si>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</si>
  <si>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</si>
  <si>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</si>
  <si>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</si>
  <si>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</si>
  <si>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</si>
  <si>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</si>
  <si>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</si>
  <si>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</si>
  <si>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</si>
  <si>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</si>
  <si>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</si>
  <si>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</si>
  <si>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</si>
  <si>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</si>
  <si>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</si>
  <si>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</si>
  <si>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</si>
  <si>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</si>
  <si>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</si>
  <si>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</si>
  <si>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</si>
  <si>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</si>
  <si>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</si>
  <si>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</si>
  <si>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</si>
  <si>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</si>
  <si>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</si>
  <si>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</si>
  <si>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</si>
  <si>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</si>
  <si>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</si>
  <si>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</si>
  <si>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</si>
  <si>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</si>
  <si>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</si>
  <si>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</si>
  <si>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</si>
  <si>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</si>
  <si>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</si>
  <si>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</si>
  <si>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</si>
  <si>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</si>
  <si>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</si>
  <si>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</si>
  <si>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</si>
  <si>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</si>
  <si>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</si>
  <si>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</si>
  <si>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</si>
  <si>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</si>
  <si>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</si>
  <si>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</si>
  <si>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</si>
  <si>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</si>
  <si>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</si>
  <si>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</si>
  <si>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</si>
  <si>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</si>
  <si>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</si>
  <si>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</si>
  <si>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</si>
  <si>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</si>
  <si>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</si>
  <si>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</si>
  <si>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</si>
  <si>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</si>
  <si>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</si>
  <si>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</si>
  <si>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</si>
  <si>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</si>
  <si>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</si>
  <si>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</si>
  <si>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</si>
  <si>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</si>
  <si>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</si>
  <si>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</si>
  <si>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</si>
  <si>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</si>
  <si>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</si>
  <si>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</si>
  <si>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</si>
  <si>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</si>
  <si>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</si>
  <si>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</si>
  <si>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</si>
  <si>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</si>
  <si>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</si>
  <si>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</si>
  <si>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</si>
  <si>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</si>
  <si>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</si>
  <si>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</si>
  <si>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</si>
  <si>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</si>
  <si>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</si>
  <si>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</si>
  <si>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</si>
  <si>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</si>
  <si>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</si>
  <si>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</si>
  <si>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</si>
  <si>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</si>
  <si>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</si>
  <si>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</si>
  <si>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</si>
  <si>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</si>
  <si>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</si>
  <si>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</si>
  <si>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</si>
  <si>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</si>
  <si>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</si>
  <si>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</si>
  <si>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</si>
  <si>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</si>
  <si>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</si>
  <si>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</si>
  <si>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</si>
  <si>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</si>
  <si>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</si>
  <si>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</si>
  <si>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</si>
  <si>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</si>
  <si>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</si>
  <si>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</si>
  <si>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</si>
  <si>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</si>
  <si>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</si>
  <si>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</si>
  <si>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</si>
  <si>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</si>
  <si>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</si>
  <si>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</si>
  <si>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</si>
  <si>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</si>
  <si>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</si>
  <si>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</si>
  <si>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</si>
  <si>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</si>
  <si>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</si>
  <si>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</si>
  <si>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</si>
  <si>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</si>
  <si>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</si>
  <si>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</si>
  <si>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</si>
  <si>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</si>
  <si>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</si>
  <si>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</si>
  <si>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</si>
  <si>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</si>
  <si>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</si>
  <si>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</si>
  <si>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</si>
  <si>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</si>
  <si>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</si>
  <si>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</si>
  <si>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</si>
  <si>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</si>
  <si>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</si>
  <si>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</si>
  <si>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</si>
  <si>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</si>
  <si>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</si>
  <si>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</si>
  <si>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</si>
  <si>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</si>
  <si>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</si>
  <si>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</si>
  <si>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</si>
  <si>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</si>
  <si>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</si>
  <si>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</si>
  <si>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</si>
  <si>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</si>
  <si>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</si>
  <si>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</si>
  <si>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</si>
  <si>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</si>
  <si>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</si>
  <si>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</si>
  <si>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</si>
  <si>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</si>
  <si>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</si>
  <si>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</si>
  <si>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</si>
  <si>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</si>
  <si>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</si>
  <si>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</si>
  <si>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</si>
  <si>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</si>
  <si>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</si>
  <si>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</si>
  <si>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</si>
  <si>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</si>
  <si>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</si>
  <si>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</si>
  <si>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</si>
  <si>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</si>
  <si>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</si>
  <si>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</si>
  <si>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</si>
  <si>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</si>
  <si>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</si>
  <si>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</si>
  <si>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</si>
  <si>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</si>
  <si>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</si>
  <si>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</si>
  <si>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</si>
  <si>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</si>
  <si>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</si>
  <si>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</si>
  <si>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</si>
  <si>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</si>
  <si>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</si>
  <si>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</si>
  <si>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</si>
  <si>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</si>
  <si>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</si>
  <si>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</si>
  <si>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</si>
  <si>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</si>
  <si>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</si>
  <si>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</si>
  <si>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</si>
  <si>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</si>
  <si>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</si>
  <si>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</si>
  <si>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</si>
  <si>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</si>
  <si>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</si>
  <si>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</si>
  <si>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</si>
  <si>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</si>
  <si>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</si>
  <si>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</si>
  <si>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</si>
  <si>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</si>
  <si>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</si>
  <si>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</si>
  <si>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</si>
  <si>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</si>
  <si>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</si>
  <si>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</si>
  <si>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</si>
  <si>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</si>
  <si>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</si>
  <si>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</si>
  <si>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</si>
  <si>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</si>
  <si>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</si>
  <si>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</si>
  <si>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</si>
  <si>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</si>
  <si>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</si>
  <si>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</si>
  <si>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</si>
  <si>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</si>
  <si>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</si>
  <si>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</si>
  <si>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</si>
  <si>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</si>
  <si>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</si>
  <si>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</si>
  <si>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</si>
  <si>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</si>
  <si>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</si>
  <si>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</si>
  <si>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</si>
  <si>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</si>
  <si>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</si>
  <si>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</si>
  <si>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</si>
  <si>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</si>
  <si>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</si>
  <si>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</si>
  <si>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</si>
  <si>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</si>
  <si>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</si>
  <si>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</si>
  <si>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</si>
  <si>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</si>
  <si>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</si>
  <si>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</si>
  <si>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</si>
  <si>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</si>
  <si>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</si>
  <si>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</si>
  <si>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</si>
  <si>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</si>
  <si>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</si>
  <si>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</si>
  <si>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</si>
  <si>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</si>
  <si>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</si>
  <si>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</si>
  <si>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</si>
  <si>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</si>
  <si>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</si>
  <si>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</si>
  <si>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</si>
  <si>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</si>
  <si>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</si>
  <si>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</si>
  <si>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</si>
  <si>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</si>
  <si>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</si>
  <si>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</si>
  <si>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</si>
  <si>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</si>
  <si>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</si>
  <si>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</si>
  <si>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</si>
  <si>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</si>
  <si>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</si>
  <si>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</si>
  <si>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</si>
  <si>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</si>
  <si>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</si>
  <si>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</si>
  <si>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</si>
  <si>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</si>
  <si>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</si>
  <si>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</si>
  <si>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</si>
  <si>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</si>
  <si>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</si>
  <si>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</si>
  <si>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</si>
  <si>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</si>
  <si>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</si>
  <si>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</si>
  <si>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</si>
  <si>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</si>
  <si>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</si>
  <si>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</si>
  <si>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</si>
  <si>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</si>
  <si>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</si>
  <si>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</si>
  <si>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</si>
  <si>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</si>
  <si>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</si>
  <si>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</si>
  <si>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</si>
  <si>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</si>
  <si>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</si>
  <si>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</si>
  <si>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</si>
  <si>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</si>
  <si>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</si>
  <si>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</si>
  <si>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</si>
  <si>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</si>
  <si>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</si>
  <si>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</si>
  <si>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</si>
  <si>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</si>
  <si>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</si>
  <si>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</si>
  <si>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</si>
  <si>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</si>
  <si>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</si>
  <si>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</si>
  <si>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</si>
  <si>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</si>
  <si>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</si>
  <si>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</si>
  <si>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</si>
  <si>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</si>
  <si>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</si>
  <si>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</si>
  <si>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</si>
  <si>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</si>
  <si>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</si>
  <si>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</si>
  <si>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</si>
  <si>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</si>
  <si>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</si>
  <si>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</si>
  <si>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</si>
  <si>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</si>
  <si>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</si>
  <si>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</si>
  <si>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</si>
  <si>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</si>
  <si>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</si>
  <si>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</si>
  <si>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</si>
  <si>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</si>
  <si>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</si>
  <si>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</si>
  <si>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</si>
  <si>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</si>
  <si>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</si>
  <si>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</si>
  <si>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</si>
  <si>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</si>
  <si>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</si>
  <si>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</si>
  <si>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</si>
  <si>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</si>
  <si>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</si>
  <si>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</si>
  <si>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</si>
  <si>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</si>
  <si>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</si>
  <si>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</si>
  <si>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</si>
  <si>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</si>
  <si>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</si>
  <si>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</si>
  <si>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</si>
  <si>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</si>
  <si>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</si>
  <si>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</si>
  <si>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</si>
  <si>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</si>
  <si>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</si>
  <si>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</si>
  <si>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</si>
  <si>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</si>
  <si>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</si>
  <si>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</si>
  <si>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</si>
  <si>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</si>
  <si>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</si>
  <si>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</si>
  <si>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</si>
  <si>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</si>
  <si>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</si>
  <si>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</si>
  <si>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</si>
  <si>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</si>
  <si>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</si>
  <si>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</si>
  <si>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</si>
  <si>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</si>
  <si>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</si>
  <si>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</si>
  <si>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</si>
  <si>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</si>
  <si>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</si>
  <si>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</si>
  <si>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</si>
  <si>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</si>
  <si>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</si>
  <si>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</si>
  <si>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</si>
  <si>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</si>
  <si>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</si>
  <si>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</si>
  <si>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</si>
  <si>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</si>
  <si>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</si>
  <si>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</si>
  <si>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</si>
  <si>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</si>
  <si>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</si>
  <si>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</si>
  <si>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</si>
  <si>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</si>
  <si>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</si>
  <si>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</si>
  <si>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</si>
  <si>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</si>
  <si>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</si>
  <si>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</si>
  <si>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</si>
  <si>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</si>
  <si>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</si>
  <si>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</si>
  <si>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</si>
  <si>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</si>
  <si>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</si>
  <si>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</si>
  <si>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</si>
  <si>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</si>
  <si>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</si>
  <si>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</si>
  <si>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</si>
  <si>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</si>
  <si>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</si>
  <si>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</si>
  <si>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</si>
  <si>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</si>
  <si>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</si>
  <si>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</si>
  <si>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</si>
  <si>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</si>
  <si>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</si>
  <si>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</si>
  <si>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</si>
  <si>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</si>
  <si>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</si>
  <si>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</si>
  <si>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</si>
  <si>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</si>
  <si>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</si>
  <si>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</si>
  <si>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</si>
  <si>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</si>
  <si>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</si>
  <si>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</si>
  <si>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</si>
  <si>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</si>
  <si>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</si>
  <si>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</si>
  <si>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</si>
  <si>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</si>
  <si>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</si>
  <si>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</si>
  <si>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</si>
  <si>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</si>
  <si>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</si>
  <si>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</si>
  <si>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</si>
  <si>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</si>
  <si>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</si>
  <si>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</si>
  <si>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</si>
  <si>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</si>
  <si>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</si>
  <si>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</si>
  <si>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</si>
  <si>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</si>
  <si>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</si>
  <si>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</si>
  <si>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</si>
  <si>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</si>
  <si>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</si>
  <si>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</si>
  <si>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</si>
  <si>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</si>
  <si>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</si>
  <si>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</si>
  <si>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</si>
  <si>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</si>
  <si>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</si>
  <si>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</si>
  <si>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</si>
  <si>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</si>
  <si>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</si>
  <si>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</si>
  <si>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</si>
  <si>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</si>
  <si>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</si>
  <si>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</si>
  <si>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</si>
  <si>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</si>
  <si>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</si>
  <si>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</si>
  <si>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</si>
  <si>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</si>
  <si>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</si>
  <si>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</si>
  <si>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</si>
  <si>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</si>
  <si>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</si>
  <si>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</si>
  <si>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</si>
  <si>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</si>
  <si>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</si>
  <si>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</si>
  <si>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</si>
  <si>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</si>
  <si>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</si>
  <si>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</si>
  <si>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</si>
  <si>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</si>
  <si>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</si>
  <si>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</si>
  <si>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</si>
  <si>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</si>
  <si>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</si>
  <si>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</si>
  <si>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</si>
  <si>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</si>
  <si>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</si>
  <si>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</si>
  <si>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</si>
  <si>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</si>
  <si>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</si>
  <si>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</si>
  <si>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</si>
  <si>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</si>
  <si>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</si>
  <si>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</si>
  <si>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</si>
  <si>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</si>
  <si>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</si>
  <si>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</si>
  <si>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</si>
  <si>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</si>
  <si>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</si>
  <si>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</si>
  <si>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</si>
  <si>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</si>
  <si>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</si>
  <si>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</si>
  <si>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</si>
  <si>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</si>
  <si>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</si>
  <si>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</si>
  <si>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</si>
  <si>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</si>
  <si>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</si>
  <si>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</si>
  <si>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</si>
  <si>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</si>
  <si>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</si>
  <si>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</si>
  <si>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</si>
  <si>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</si>
  <si>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</si>
  <si>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</si>
  <si>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</si>
  <si>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</si>
  <si>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</si>
  <si>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</si>
  <si>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</si>
  <si>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</si>
  <si>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</si>
  <si>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</si>
  <si>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</si>
  <si>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</si>
  <si>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</si>
  <si>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</si>
  <si>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</si>
  <si>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</si>
  <si>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</si>
  <si>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</si>
  <si>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</si>
  <si>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</si>
  <si>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</si>
  <si>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</si>
  <si>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</si>
  <si>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</si>
  <si>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</si>
  <si>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</si>
  <si>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</si>
  <si>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</si>
  <si>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</si>
  <si>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</si>
  <si>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</si>
  <si>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</si>
  <si>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</si>
  <si>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</si>
  <si>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</si>
  <si>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</si>
  <si>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</si>
  <si>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</si>
  <si>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</si>
  <si>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</si>
  <si>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</si>
  <si>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</si>
  <si>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</si>
  <si>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</si>
  <si>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</si>
  <si>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</si>
  <si>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</si>
  <si>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</si>
  <si>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</si>
  <si>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</si>
  <si>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</si>
  <si>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</si>
  <si>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</si>
  <si>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</si>
  <si>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</si>
  <si>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</si>
  <si>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</si>
  <si>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</si>
  <si>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</si>
  <si>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</si>
  <si>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</si>
  <si>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</si>
  <si>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</si>
  <si>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</si>
  <si>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</si>
  <si>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</si>
  <si>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</si>
  <si>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</si>
  <si>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</si>
  <si>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</si>
  <si>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</si>
  <si>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</si>
  <si>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</si>
  <si>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</si>
  <si>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</si>
  <si>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</si>
  <si>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</si>
  <si>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</si>
  <si>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</si>
  <si>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</si>
  <si>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</si>
  <si>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</si>
  <si>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</si>
  <si>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</si>
  <si>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</si>
  <si>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</si>
  <si>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</si>
  <si>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</si>
  <si>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</si>
  <si>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</si>
  <si>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</si>
  <si>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</si>
  <si>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</si>
  <si>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</si>
  <si>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</si>
  <si>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</si>
  <si>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</si>
  <si>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</si>
  <si>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</si>
  <si>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</si>
  <si>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</si>
  <si>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</si>
  <si>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</si>
  <si>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</si>
  <si>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</si>
  <si>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</si>
  <si>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</si>
  <si>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</si>
  <si>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</si>
  <si>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</si>
  <si>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</si>
  <si>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</si>
  <si>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</si>
  <si>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</si>
  <si>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</si>
  <si>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</si>
  <si>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</si>
  <si>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</si>
  <si>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</si>
  <si>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</si>
  <si>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</si>
  <si>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</si>
  <si>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</si>
  <si>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</si>
  <si>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</si>
  <si>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</si>
  <si>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</si>
  <si>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</si>
  <si>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</si>
  <si>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</si>
  <si>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</si>
  <si>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</si>
  <si>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</si>
  <si>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</si>
  <si>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</si>
  <si>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</si>
  <si>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</si>
  <si>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</si>
  <si>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</si>
  <si>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</si>
  <si>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</si>
  <si>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</si>
  <si>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</si>
  <si>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</si>
  <si>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</si>
  <si>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</si>
  <si>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</si>
  <si>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</si>
  <si>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</si>
  <si>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</si>
  <si>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</si>
  <si>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</si>
  <si>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</si>
  <si>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</si>
  <si>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</si>
  <si>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</si>
  <si>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</si>
  <si>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</si>
  <si>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</si>
  <si>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</si>
  <si>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</si>
  <si>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</si>
  <si>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</si>
  <si>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</si>
  <si>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</si>
  <si>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</si>
  <si>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</si>
  <si>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</si>
  <si>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</si>
  <si>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</si>
  <si>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</si>
  <si>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</si>
  <si>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</si>
  <si>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</si>
  <si>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</si>
  <si>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</si>
  <si>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</si>
  <si>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</si>
  <si>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</si>
  <si>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</si>
  <si>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</si>
  <si>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</si>
  <si>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</si>
  <si>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</si>
  <si>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</si>
  <si>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</si>
  <si>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</si>
  <si>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</si>
  <si>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</si>
  <si>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</si>
  <si>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</si>
  <si>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</si>
  <si>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</si>
  <si>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</si>
  <si>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</si>
  <si>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</si>
  <si>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</si>
  <si>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</si>
  <si>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</si>
  <si>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</si>
  <si>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</si>
  <si>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</si>
  <si>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</si>
  <si>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</si>
  <si>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</si>
  <si>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</si>
  <si>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</si>
  <si>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</si>
  <si>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</si>
  <si>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</si>
  <si>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</si>
  <si>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</si>
  <si>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</si>
  <si>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</si>
  <si>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</si>
  <si>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</si>
  <si>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</si>
  <si>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</si>
  <si>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</si>
  <si>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</si>
  <si>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</si>
  <si>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</si>
  <si>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</si>
  <si>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</si>
  <si>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</si>
  <si>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</si>
  <si>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</si>
  <si>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</si>
  <si>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</si>
  <si>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</si>
  <si>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</si>
  <si>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</si>
  <si>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</si>
  <si>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</si>
  <si>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</si>
  <si>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</si>
  <si>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</si>
  <si>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</si>
  <si>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</si>
  <si>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</si>
  <si>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</si>
  <si>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</si>
  <si>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</si>
  <si>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</si>
  <si>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</si>
  <si>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</si>
  <si>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</si>
  <si>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</si>
  <si>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</si>
  <si>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</si>
  <si>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</si>
  <si>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</si>
  <si>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</si>
  <si>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</si>
  <si>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</si>
  <si>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</si>
  <si>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</si>
  <si>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</si>
  <si>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</si>
  <si>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</si>
  <si>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</si>
  <si>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</si>
  <si>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</si>
  <si>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</si>
  <si>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</si>
  <si>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</si>
  <si>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</si>
  <si>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</si>
  <si>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</si>
  <si>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</si>
  <si>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</si>
  <si>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</si>
  <si>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</si>
  <si>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</si>
  <si>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</si>
  <si>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</si>
  <si>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</si>
  <si>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</si>
  <si>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</si>
  <si>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</si>
  <si>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</si>
  <si>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</si>
  <si>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</si>
  <si>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</si>
  <si>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</si>
  <si>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</si>
  <si>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</si>
  <si>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</si>
  <si>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</si>
  <si>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</si>
  <si>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</si>
  <si>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</si>
  <si>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</si>
  <si>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</si>
  <si>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</si>
  <si>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</si>
  <si>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</si>
  <si>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</si>
  <si>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</si>
  <si>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</si>
  <si>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</si>
  <si>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</si>
  <si>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</si>
  <si>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</si>
  <si>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</si>
  <si>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</si>
  <si>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</si>
  <si>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</si>
  <si>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</si>
  <si>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</si>
  <si>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</si>
  <si>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</si>
  <si>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</si>
  <si>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</si>
  <si>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</si>
  <si>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</si>
  <si>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</si>
  <si>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</si>
  <si>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</si>
  <si>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</si>
  <si>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</si>
  <si>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</si>
  <si>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</si>
  <si>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</si>
  <si>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</si>
  <si>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</si>
  <si>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</si>
  <si>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</si>
  <si>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</si>
  <si>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</si>
  <si>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</si>
  <si>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</si>
  <si>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</si>
  <si>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</si>
  <si>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</si>
  <si>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</si>
  <si>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</si>
  <si>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</si>
  <si>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</si>
  <si>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</si>
  <si>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</si>
  <si>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</si>
  <si>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</si>
  <si>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</si>
  <si>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</si>
  <si>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</si>
  <si>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</si>
  <si>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</si>
  <si>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</si>
  <si>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</si>
  <si>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</si>
  <si>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</si>
  <si>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</si>
  <si>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</si>
  <si>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</si>
  <si>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</si>
  <si>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</si>
  <si>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</si>
  <si>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</si>
  <si>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</si>
  <si>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</si>
  <si>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</si>
  <si>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</si>
  <si>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</si>
  <si>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</si>
  <si>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</si>
  <si>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</si>
  <si>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</si>
  <si>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</si>
  <si>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</si>
  <si>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</si>
  <si>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</si>
  <si>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</si>
  <si>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</si>
  <si>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</si>
  <si>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</si>
  <si>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</si>
  <si>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</si>
  <si>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</si>
  <si>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</si>
  <si>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</si>
  <si>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</si>
  <si>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</si>
  <si>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</si>
  <si>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</si>
  <si>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</si>
  <si>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</si>
  <si>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</si>
  <si>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</si>
  <si>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</si>
  <si>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</si>
  <si>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</si>
  <si>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</si>
  <si>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</si>
  <si>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</si>
  <si>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</si>
  <si>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</si>
  <si>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</si>
  <si>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</si>
  <si>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</si>
  <si>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</si>
  <si>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</si>
  <si>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</si>
  <si>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</si>
  <si>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</si>
  <si>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</si>
  <si>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</si>
  <si>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</si>
  <si>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</si>
  <si>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</si>
  <si>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</si>
  <si>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</si>
  <si>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</si>
  <si>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</si>
  <si>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</si>
  <si>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</si>
  <si>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</si>
  <si>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</si>
  <si>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</si>
  <si>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</si>
  <si>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</si>
  <si>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</si>
  <si>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</si>
  <si>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</si>
  <si>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</si>
  <si>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</si>
  <si>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</si>
  <si>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</si>
  <si>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</si>
  <si>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</si>
  <si>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</si>
  <si>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</si>
  <si>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</si>
  <si>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</si>
  <si>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</si>
  <si>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</si>
  <si>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</si>
  <si>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</si>
  <si>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</si>
  <si>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</si>
  <si>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</si>
  <si>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</si>
  <si>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</si>
  <si>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</si>
  <si>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</si>
  <si>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</si>
  <si>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</si>
  <si>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</si>
  <si>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</si>
  <si>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</si>
  <si>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</si>
  <si>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</si>
  <si>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</si>
  <si>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</si>
  <si>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</si>
  <si>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</si>
  <si>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</si>
  <si>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</si>
  <si>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</si>
  <si>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</si>
  <si>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</si>
  <si>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</si>
  <si>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</si>
  <si>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</si>
  <si>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</si>
  <si>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</si>
  <si>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</si>
  <si>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</si>
  <si>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</si>
  <si>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</si>
  <si>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</si>
  <si>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</si>
  <si>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</si>
  <si>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</si>
  <si>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</si>
  <si>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</si>
  <si>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</si>
  <si>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</si>
  <si>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</si>
  <si>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</si>
  <si>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</si>
  <si>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</si>
  <si>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</si>
  <si>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</si>
  <si>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</si>
  <si>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</si>
  <si>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</si>
  <si>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</si>
  <si>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</si>
  <si>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</si>
  <si>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</si>
  <si>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</si>
  <si>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</si>
  <si>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</si>
  <si>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</si>
  <si>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</si>
  <si>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</si>
  <si>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</si>
  <si>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</si>
  <si>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</si>
  <si>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</si>
  <si>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</si>
  <si>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</si>
  <si>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</si>
  <si>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</si>
  <si>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</si>
  <si>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</si>
  <si>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</si>
  <si>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</si>
  <si>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</si>
  <si>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</si>
  <si>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</si>
  <si>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</si>
  <si>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</si>
  <si>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</si>
  <si>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</si>
  <si>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</si>
  <si>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</si>
  <si>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</si>
  <si>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</si>
  <si>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</si>
  <si>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</si>
  <si>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</si>
  <si>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</si>
  <si>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</si>
  <si>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</si>
  <si>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</si>
  <si>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</si>
  <si>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</si>
  <si>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</si>
  <si>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</si>
  <si>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</si>
  <si>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</si>
  <si>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</si>
  <si>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</si>
  <si>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</si>
  <si>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</si>
  <si>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</si>
  <si>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</si>
  <si>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</si>
  <si>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</si>
  <si>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</si>
  <si>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</si>
  <si>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</si>
  <si>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</si>
  <si>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</si>
  <si>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</si>
  <si>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</si>
  <si>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</si>
  <si>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</si>
  <si>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</si>
  <si>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</si>
  <si>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</si>
  <si>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</si>
  <si>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</si>
  <si>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</si>
  <si>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</si>
  <si>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</si>
  <si>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</si>
  <si>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</si>
  <si>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</si>
  <si>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</si>
  <si>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</si>
  <si>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</si>
  <si>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</si>
  <si>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</si>
  <si>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</si>
  <si>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</si>
  <si>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</si>
  <si>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</si>
  <si>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</si>
  <si>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</si>
  <si>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</si>
  <si>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</si>
  <si>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</si>
  <si>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08/05</t>
  </si>
  <si>
    <t>06/18</t>
  </si>
  <si>
    <t>08/25</t>
  </si>
  <si>
    <t>08/28</t>
  </si>
  <si>
    <t>Epping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</si>
</sst>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10" zoomScaleNormal="110" workbookViewId="0">
      <pane xSplit="5" ySplit="3" topLeftCell="F653"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1646</v>
      </c>
      <c r="B2" s="21">
        <v>165</v>
      </c>
      <c r="C2" s="21">
        <v>165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141300.14+250</f>
        <v>141550.14000000001</v>
      </c>
      <c r="G9" s="18">
        <v>9019.86</v>
      </c>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607887.52</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150972.48+0.18+51564.55</f>
        <v>202537.21000000002</v>
      </c>
      <c r="G12" s="18">
        <f>144566.42-131970.95</f>
        <v>12595.470000000001</v>
      </c>
      <c r="H12" s="18">
        <v>124296.33</v>
      </c>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v>2501.1</v>
      </c>
      <c r="H13" s="18">
        <v>116081.41</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3685.32</v>
      </c>
      <c r="G14" s="18">
        <v>3927.53</v>
      </c>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18665.79</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965629.88</v>
      </c>
      <c r="G17" s="18">
        <v>1584</v>
      </c>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1313402.55</v>
      </c>
      <c r="G19" s="41">
        <f>SUM(G9:G18)</f>
        <v>48293.75</v>
      </c>
      <c r="H19" s="41">
        <f>SUM(H9:H18)</f>
        <v>240377.74</v>
      </c>
      <c r="I19" s="41">
        <f>SUM(I9:I18)</f>
        <v>0</v>
      </c>
      <c r="J19" s="41">
        <f>SUM(J9:J18)</f>
        <v>607887.52</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f>78858.39-37390.52</f>
        <v>41467.870000000003</v>
      </c>
      <c r="G22" s="18">
        <v>33412.74</v>
      </c>
      <c r="H22" s="18">
        <v>210652.45</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f>179241.93-34347.45</f>
        <v>144894.47999999998</v>
      </c>
      <c r="G24" s="18">
        <v>360</v>
      </c>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f>37402.2+364.61</f>
        <v>37766.81</v>
      </c>
      <c r="G28" s="18">
        <v>91.18</v>
      </c>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f>358228.33+3.4-1083.7+19368.82+30.03-0.71</f>
        <v>376546.17000000004</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14429.83</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600675.33000000007</v>
      </c>
      <c r="G32" s="41">
        <f>SUM(G22:G31)</f>
        <v>48293.75</v>
      </c>
      <c r="H32" s="41">
        <f>SUM(H22:H31)</f>
        <v>210652.45</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74181.47</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250000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v>29725.29</v>
      </c>
      <c r="I45" s="18"/>
      <c r="J45" s="13">
        <f>I456</f>
        <v>0</v>
      </c>
      <c r="K45" s="24" t="s">
        <v>288</v>
      </c>
      <c r="L45" s="24" t="s">
        <v>288</v>
      </c>
      <c r="M45" s="8"/>
      <c r="N45" s="266"/>
    </row>
    <row r="46" spans="1:14" s="3" customFormat="1" ht="12.2" customHeight="1" x14ac:dyDescent="0.15">
      <c r="A46" s="1" t="s">
        <v>874</v>
      </c>
      <c r="B46" s="6">
        <v>1</v>
      </c>
      <c r="C46" s="6">
        <v>32</v>
      </c>
      <c r="D46" s="2"/>
      <c r="E46" s="6"/>
      <c r="F46" s="18">
        <v>200000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607887.52</v>
      </c>
      <c r="K48" s="24" t="s">
        <v>288</v>
      </c>
      <c r="L48" s="24" t="s">
        <v>288</v>
      </c>
      <c r="M48" s="8"/>
      <c r="N48" s="266"/>
    </row>
    <row r="49" spans="1:14" s="3" customFormat="1" ht="12.2" customHeight="1" x14ac:dyDescent="0.15">
      <c r="A49" s="1" t="s">
        <v>859</v>
      </c>
      <c r="B49" s="2" t="s">
        <v>289</v>
      </c>
      <c r="C49" s="6">
        <v>34</v>
      </c>
      <c r="D49" s="2"/>
      <c r="E49" s="6">
        <v>753</v>
      </c>
      <c r="F49" s="18">
        <f>85212.67</f>
        <v>85212.67</v>
      </c>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f>51768.53+51564.55</f>
        <v>103333.08</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712727.22</v>
      </c>
      <c r="G51" s="41">
        <f>SUM(G35:G50)</f>
        <v>0</v>
      </c>
      <c r="H51" s="41">
        <f>SUM(H35:H50)</f>
        <v>29725.29</v>
      </c>
      <c r="I51" s="41">
        <f>SUM(I35:I50)</f>
        <v>0</v>
      </c>
      <c r="J51" s="41">
        <f>SUM(J35:J50)</f>
        <v>607887.52</v>
      </c>
      <c r="K51" s="45" t="s">
        <v>288</v>
      </c>
      <c r="L51" s="45" t="s">
        <v>288</v>
      </c>
      <c r="N51" s="264"/>
    </row>
    <row r="52" spans="1:14" s="3" customFormat="1" ht="12.2" customHeight="1" thickTop="1" x14ac:dyDescent="0.15">
      <c r="A52" s="38" t="s">
        <v>455</v>
      </c>
      <c r="B52" s="39" t="s">
        <v>289</v>
      </c>
      <c r="C52" s="6">
        <v>37</v>
      </c>
      <c r="D52" s="39" t="s">
        <v>653</v>
      </c>
      <c r="E52" s="39"/>
      <c r="F52" s="41">
        <f>F51+F32</f>
        <v>1313402.55</v>
      </c>
      <c r="G52" s="41">
        <f>G51+G32</f>
        <v>48293.75</v>
      </c>
      <c r="H52" s="41">
        <f>H51+H32</f>
        <v>240377.74000000002</v>
      </c>
      <c r="I52" s="41">
        <f>I51+I32</f>
        <v>0</v>
      </c>
      <c r="J52" s="41">
        <f>J51+J32</f>
        <v>607887.52</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13138970</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13138970</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9540</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1000</v>
      </c>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10540</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5864.99</v>
      </c>
      <c r="G96" s="18"/>
      <c r="H96" s="18"/>
      <c r="I96" s="18"/>
      <c r="J96" s="18">
        <v>5566.63</v>
      </c>
      <c r="K96" s="24" t="s">
        <v>288</v>
      </c>
      <c r="L96" s="24" t="s">
        <v>288</v>
      </c>
      <c r="M96" s="8"/>
      <c r="N96" s="266"/>
    </row>
    <row r="97" spans="1:14" s="3" customFormat="1" ht="12.2" customHeight="1" x14ac:dyDescent="0.15">
      <c r="A97" s="1" t="s">
        <v>503</v>
      </c>
      <c r="B97" s="2" t="s">
        <v>315</v>
      </c>
      <c r="C97" s="6">
        <v>12</v>
      </c>
      <c r="D97" s="2" t="s">
        <v>430</v>
      </c>
      <c r="E97" s="6">
        <v>1600</v>
      </c>
      <c r="F97" s="24" t="s">
        <v>288</v>
      </c>
      <c r="G97" s="18">
        <f>59629.47+23422.31+23342.82+2094.25+1239.37+1239.38+5060.74+18514.4-1493.5+17147.32</f>
        <v>150196.56000000003</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1550</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27113.73+90000+3398.74+50414.71</f>
        <v>170927.18</v>
      </c>
      <c r="G110" s="18"/>
      <c r="H110" s="18">
        <v>9900</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178342.16999999998</v>
      </c>
      <c r="G111" s="41">
        <f>SUM(G96:G110)</f>
        <v>150196.56000000003</v>
      </c>
      <c r="H111" s="41">
        <f>SUM(H96:H110)</f>
        <v>9900</v>
      </c>
      <c r="I111" s="41">
        <f>SUM(I96:I110)</f>
        <v>0</v>
      </c>
      <c r="J111" s="41">
        <f>SUM(J96:J110)</f>
        <v>5566.63</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13327852.17</v>
      </c>
      <c r="G112" s="41">
        <f>G60+G111</f>
        <v>150196.56000000003</v>
      </c>
      <c r="H112" s="41">
        <f>H60+H79+H94+H111</f>
        <v>9900</v>
      </c>
      <c r="I112" s="41">
        <f>I60+I111</f>
        <v>0</v>
      </c>
      <c r="J112" s="41">
        <f>J60+J111</f>
        <v>5566.63</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3304836.34</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1751300</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1956.09</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5058092.43</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291874.59999999998</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161476.75</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13230.4</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f>4583.34+729.28</f>
        <v>5312.62</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v>2258.1</v>
      </c>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466581.75</v>
      </c>
      <c r="G136" s="41">
        <f>SUM(G123:G135)</f>
        <v>5312.62</v>
      </c>
      <c r="H136" s="41">
        <f>SUM(H123:H135)</f>
        <v>2258.1</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5524674.1799999997</v>
      </c>
      <c r="G140" s="41">
        <f>G121+SUM(G136:G137)</f>
        <v>5312.62</v>
      </c>
      <c r="H140" s="41">
        <f>H121+SUM(H136:H139)</f>
        <v>2258.1</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145417.96+16607.15</f>
        <v>162025.10999999999</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27597.06+5145.23+16633.13+8629.84+20820.52+12544.53+3600+2436.61</f>
        <v>97406.92</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57639.54+14008.92+21163.4</f>
        <v>92811.860000000015</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182158.18+59671.51+7692.4+2227.96+4392.56</f>
        <v>256142.61</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6608.13</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v>0</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6608.13</v>
      </c>
      <c r="G163" s="41">
        <f>SUM(G150:G162)</f>
        <v>92811.860000000015</v>
      </c>
      <c r="H163" s="41">
        <f>SUM(H150:H162)</f>
        <v>515574.63999999996</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6608.13</v>
      </c>
      <c r="G170" s="41">
        <f>G147+G163+SUM(G164:G169)</f>
        <v>92811.860000000015</v>
      </c>
      <c r="H170" s="41">
        <f>H147+H163+SUM(H164:H169)</f>
        <v>515574.63999999996</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53112.56</v>
      </c>
      <c r="H180" s="18"/>
      <c r="I180" s="18"/>
      <c r="J180" s="18">
        <v>250000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53112.56</v>
      </c>
      <c r="H184" s="41">
        <f>SUM(H180:H183)</f>
        <v>0</v>
      </c>
      <c r="I184" s="41">
        <f>SUM(I180:I183)</f>
        <v>0</v>
      </c>
      <c r="J184" s="41">
        <f>SUM(J180:J183)</f>
        <v>250000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53112.56</v>
      </c>
      <c r="H193" s="41">
        <f>+H184+SUM(H189:H192)</f>
        <v>0</v>
      </c>
      <c r="I193" s="41">
        <f>I178+I184+SUM(I189:I192)</f>
        <v>0</v>
      </c>
      <c r="J193" s="41">
        <f>J184</f>
        <v>250000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18859134.48</v>
      </c>
      <c r="G194" s="47">
        <f>G112+G140+G170+G193</f>
        <v>301433.60000000003</v>
      </c>
      <c r="H194" s="47">
        <f>H112+H140+H170+H193</f>
        <v>527732.74</v>
      </c>
      <c r="I194" s="47">
        <f>I112+I140+I170+I193</f>
        <v>0</v>
      </c>
      <c r="J194" s="47">
        <f>J112+J140+J193</f>
        <v>255566.63</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f>1460621.34+252394.41+86908.61+48199.22+40540.49+19714.23</f>
        <v>1908378.3</v>
      </c>
      <c r="G198" s="18">
        <f>397958.99+122187.92+14305.96+2571.69+110039.02+24892.12+266331.99+45648.45+20689.21+53107.24</f>
        <v>1057732.5899999999</v>
      </c>
      <c r="H198" s="18">
        <f>372.65</f>
        <v>372.65</v>
      </c>
      <c r="I198" s="18">
        <f>3348.66+5272.13+4352.76+4348.08+4326.55+4494.15+971.94+1307.23+1798.86+4440.35+601.95+1303.87+887.05+1902.36+5567.42+748.74+3239.63+506+3737.39+2533.26+3299.45+2560.41+1614.33+2134.1+1682.58+1716.21+4298.3+7805.55</f>
        <v>80799.31</v>
      </c>
      <c r="J198" s="18">
        <f>1751.37+13103.24</f>
        <v>14854.61</v>
      </c>
      <c r="K198" s="18"/>
      <c r="L198" s="19">
        <f>SUM(F198:K198)</f>
        <v>3062137.4599999995</v>
      </c>
      <c r="M198" s="8"/>
      <c r="N198" s="266"/>
    </row>
    <row r="199" spans="1:14" s="3" customFormat="1" ht="12.2" customHeight="1" x14ac:dyDescent="0.15">
      <c r="A199" s="1" t="s">
        <v>439</v>
      </c>
      <c r="B199" s="2" t="s">
        <v>341</v>
      </c>
      <c r="C199" s="2" t="s">
        <v>291</v>
      </c>
      <c r="D199" s="2" t="s">
        <v>431</v>
      </c>
      <c r="E199" s="6">
        <v>1200</v>
      </c>
      <c r="F199" s="18">
        <f>328776.56+102624.67+299886.78+73919.16+30692.08+25306.8</f>
        <v>861206.05</v>
      </c>
      <c r="G199" s="18">
        <f>223645+85753.83+4256.97+1767.02+45518.6+12457.5+57891.02+20079.73+2691.81+16792</f>
        <v>470853.48</v>
      </c>
      <c r="H199" s="18">
        <f>191941.24</f>
        <v>191941.24</v>
      </c>
      <c r="I199" s="18">
        <f>2189.02+2128.59+454.45+91.99+934.99+3425+79.98+1767.9+184.81</f>
        <v>11256.73</v>
      </c>
      <c r="J199" s="18">
        <f>823.99+404.98+2654.09+60</f>
        <v>3943.0600000000004</v>
      </c>
      <c r="K199" s="18"/>
      <c r="L199" s="19">
        <f>SUM(F199:K199)</f>
        <v>1539200.56</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f>8462.74</f>
        <v>8462.74</v>
      </c>
      <c r="G201" s="18">
        <f>624.92+353.91+480.57</f>
        <v>1459.3999999999999</v>
      </c>
      <c r="H201" s="18">
        <v>910</v>
      </c>
      <c r="I201" s="18">
        <v>146.24</v>
      </c>
      <c r="J201" s="18"/>
      <c r="K201" s="18"/>
      <c r="L201" s="19">
        <f>SUM(F201:K201)</f>
        <v>10978.38</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f>106781.04+52965.03+23820.24+53057.55+67897.35+64613.91</f>
        <v>369135.12</v>
      </c>
      <c r="G203" s="18">
        <f>26956.28+1505.63+7631.89+19213.88+37252.91+1000.39+5315.84+8979.1+45.75+44454.02+45711.21+33114.07</f>
        <v>231180.97</v>
      </c>
      <c r="H203" s="18">
        <f>0.1+33859.97+54287.06+2438.14+2623.7+23901.59+5242.87</f>
        <v>122353.43</v>
      </c>
      <c r="I203" s="18">
        <f>632.56+2170.83+840.75+1527.89+338.99+1790.99+621.7+779.05</f>
        <v>8702.7599999999984</v>
      </c>
      <c r="J203" s="18">
        <f>2000+449.84+100.44</f>
        <v>2550.2800000000002</v>
      </c>
      <c r="K203" s="18">
        <v>179</v>
      </c>
      <c r="L203" s="19">
        <f t="shared" ref="L203:L209" si="0">SUM(F203:K203)</f>
        <v>734101.56</v>
      </c>
      <c r="M203" s="8"/>
      <c r="N203" s="266"/>
    </row>
    <row r="204" spans="1:14" s="3" customFormat="1" ht="12.2" customHeight="1" x14ac:dyDescent="0.15">
      <c r="A204" s="1" t="s">
        <v>443</v>
      </c>
      <c r="B204" s="2" t="s">
        <v>341</v>
      </c>
      <c r="C204" s="2" t="s">
        <v>295</v>
      </c>
      <c r="D204" s="2" t="s">
        <v>431</v>
      </c>
      <c r="E204" s="6">
        <v>2200</v>
      </c>
      <c r="F204" s="18">
        <f>2319.98+9765.56+67346-852.26+66480.5</f>
        <v>145059.78</v>
      </c>
      <c r="G204" s="18">
        <f>896.18+0.84+26557.1+883.51+4712.33+12221.2+45604.14+17990.93</f>
        <v>108866.23000000001</v>
      </c>
      <c r="H204" s="18">
        <f>5110.68+36563.89</f>
        <v>41674.57</v>
      </c>
      <c r="I204" s="18">
        <f>1360.73+5285.03+590.08+3299.95+8457.97+29242.85</f>
        <v>48236.61</v>
      </c>
      <c r="J204" s="18">
        <f>11094.51+88510.51</f>
        <v>99605.01999999999</v>
      </c>
      <c r="K204" s="18">
        <f>128.5+639.42</f>
        <v>767.92</v>
      </c>
      <c r="L204" s="19">
        <f t="shared" si="0"/>
        <v>444210.12999999995</v>
      </c>
      <c r="M204" s="8"/>
      <c r="N204" s="266"/>
    </row>
    <row r="205" spans="1:14" s="3" customFormat="1" ht="12.2" customHeight="1" x14ac:dyDescent="0.15">
      <c r="A205" s="1" t="s">
        <v>444</v>
      </c>
      <c r="B205" s="2" t="s">
        <v>341</v>
      </c>
      <c r="C205" s="2" t="s">
        <v>296</v>
      </c>
      <c r="D205" s="2" t="s">
        <v>431</v>
      </c>
      <c r="E205" s="6">
        <v>2300</v>
      </c>
      <c r="F205" s="18">
        <f>8363.09+195642.49+98521.13</f>
        <v>302526.70999999996</v>
      </c>
      <c r="G205" s="18">
        <f>720.42+83608.88+55707.28</f>
        <v>140036.58000000002</v>
      </c>
      <c r="H205" s="18">
        <f>16187.26+12068.7+6455.35</f>
        <v>34711.31</v>
      </c>
      <c r="I205" s="18">
        <f>32189.02+1842.79</f>
        <v>34031.81</v>
      </c>
      <c r="J205" s="18"/>
      <c r="K205" s="18">
        <f>21687.36+1079.48+534.86</f>
        <v>23301.7</v>
      </c>
      <c r="L205" s="19">
        <f t="shared" si="0"/>
        <v>534608.11</v>
      </c>
      <c r="M205" s="8"/>
      <c r="N205" s="266"/>
    </row>
    <row r="206" spans="1:14" s="3" customFormat="1" ht="12.2" customHeight="1" x14ac:dyDescent="0.15">
      <c r="A206" s="1" t="s">
        <v>445</v>
      </c>
      <c r="B206" s="2" t="s">
        <v>341</v>
      </c>
      <c r="C206" s="2" t="s">
        <v>297</v>
      </c>
      <c r="D206" s="2" t="s">
        <v>431</v>
      </c>
      <c r="E206" s="6">
        <v>2400</v>
      </c>
      <c r="F206" s="18">
        <f>103407+77888+18662.01+92638.86</f>
        <v>292595.87</v>
      </c>
      <c r="G206" s="18">
        <f>77943.1+1701.28+21091.77+10335.37+34156.84+1252.14+846.91</f>
        <v>147327.41</v>
      </c>
      <c r="H206" s="18">
        <f>17275.29+7825.75+4759.84+162.8</f>
        <v>30023.68</v>
      </c>
      <c r="I206" s="18">
        <v>2826.76</v>
      </c>
      <c r="J206" s="18"/>
      <c r="K206" s="18">
        <v>1728</v>
      </c>
      <c r="L206" s="19">
        <f t="shared" si="0"/>
        <v>474501.72000000003</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f>126223.86+108817.09</f>
        <v>235040.95</v>
      </c>
      <c r="G208" s="18">
        <f>23375.64+826.56+9150.26+14403.99+57639.89</f>
        <v>105396.34</v>
      </c>
      <c r="H208" s="18">
        <f>165707.2</f>
        <v>165707.20000000001</v>
      </c>
      <c r="I208" s="18">
        <f>247966.83</f>
        <v>247966.83</v>
      </c>
      <c r="J208" s="18">
        <f>11863.4</f>
        <v>11863.4</v>
      </c>
      <c r="K208" s="18"/>
      <c r="L208" s="19">
        <f t="shared" si="0"/>
        <v>765974.72000000009</v>
      </c>
      <c r="M208" s="8"/>
      <c r="N208" s="266"/>
    </row>
    <row r="209" spans="1:14" s="3" customFormat="1" ht="12.2" customHeight="1" x14ac:dyDescent="0.15">
      <c r="A209" s="1" t="s">
        <v>448</v>
      </c>
      <c r="B209" s="2" t="s">
        <v>341</v>
      </c>
      <c r="C209" s="2" t="s">
        <v>300</v>
      </c>
      <c r="D209" s="2" t="s">
        <v>431</v>
      </c>
      <c r="E209" s="6">
        <v>2700</v>
      </c>
      <c r="F209" s="18"/>
      <c r="G209" s="18"/>
      <c r="H209" s="18">
        <f>209869.53+157191.48</f>
        <v>367061.01</v>
      </c>
      <c r="I209" s="18"/>
      <c r="J209" s="18"/>
      <c r="K209" s="18"/>
      <c r="L209" s="19">
        <f t="shared" si="0"/>
        <v>367061.01</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4122405.5200000005</v>
      </c>
      <c r="G212" s="41">
        <f t="shared" si="1"/>
        <v>2262852.9999999995</v>
      </c>
      <c r="H212" s="41">
        <f t="shared" si="1"/>
        <v>954755.09</v>
      </c>
      <c r="I212" s="41">
        <f t="shared" si="1"/>
        <v>433967.05</v>
      </c>
      <c r="J212" s="41">
        <f t="shared" si="1"/>
        <v>132816.37</v>
      </c>
      <c r="K212" s="41">
        <f t="shared" si="1"/>
        <v>25976.62</v>
      </c>
      <c r="L212" s="41">
        <f t="shared" si="1"/>
        <v>7932773.6499999985</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f>1052792.11+7765+17194.21+3011.22</f>
        <v>1080762.54</v>
      </c>
      <c r="G216" s="18">
        <f>312327.16+12412.8+75587.65+188192.34+8774.8+22524.08</f>
        <v>619818.82999999996</v>
      </c>
      <c r="H216" s="18">
        <f>1873.78+364.05+275+28+172.5+158.05</f>
        <v>2871.38</v>
      </c>
      <c r="I216" s="18">
        <f>8955.83+1808.42+109.18+2334.8+681.29+809.09+685.15+1505.34+136.66+65.22+109.97+99.5+561.29+1909.14+540+226.06+520+233.48+1417+525+494+3310.53</f>
        <v>27036.95</v>
      </c>
      <c r="J216" s="18">
        <f>3519.97+62.27+157.98+286.05+1373.4</f>
        <v>5399.67</v>
      </c>
      <c r="K216" s="18"/>
      <c r="L216" s="19">
        <f>SUM(F216:K216)</f>
        <v>1735889.3699999999</v>
      </c>
      <c r="M216" s="8"/>
      <c r="N216" s="266"/>
    </row>
    <row r="217" spans="1:14" s="3" customFormat="1" ht="12.2" customHeight="1" x14ac:dyDescent="0.15">
      <c r="A217" s="1" t="s">
        <v>439</v>
      </c>
      <c r="B217" s="2" t="s">
        <v>346</v>
      </c>
      <c r="C217" s="2" t="s">
        <v>291</v>
      </c>
      <c r="D217" s="2" t="s">
        <v>431</v>
      </c>
      <c r="E217" s="6">
        <v>1200</v>
      </c>
      <c r="F217" s="18">
        <f>130805.19+110735.02+13017.26+10733.23</f>
        <v>265290.7</v>
      </c>
      <c r="G217" s="18">
        <f>119036.71+2665.55+18868.64+32451.85+1141.66+7121.9</f>
        <v>181286.31000000003</v>
      </c>
      <c r="H217" s="18">
        <f>131416.71</f>
        <v>131416.71</v>
      </c>
      <c r="I217" s="18">
        <f>2191.31+320+749.81+78.38</f>
        <v>3339.5</v>
      </c>
      <c r="J217" s="18">
        <f>135.48+179.77</f>
        <v>315.25</v>
      </c>
      <c r="K217" s="18"/>
      <c r="L217" s="19">
        <f>SUM(F217:K217)</f>
        <v>581648.47</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f>11768.21+34647.59</f>
        <v>46415.799999999996</v>
      </c>
      <c r="G219" s="18">
        <f>839.4+1367.45+2557.87+4191.62</f>
        <v>8956.34</v>
      </c>
      <c r="H219" s="18">
        <f>725.3+4096</f>
        <v>4821.3</v>
      </c>
      <c r="I219" s="18">
        <f>420.28+283.45</f>
        <v>703.73</v>
      </c>
      <c r="J219" s="18">
        <f>2017.45+972</f>
        <v>2989.45</v>
      </c>
      <c r="K219" s="18"/>
      <c r="L219" s="19">
        <f>SUM(F219:K219)</f>
        <v>63886.62</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f>60104+28505+11831.52+22503.01+28796.93+27404.34</f>
        <v>179144.8</v>
      </c>
      <c r="G221" s="18">
        <f>4598.41+10754.57+18850.7+432.17+2780.92+5056.16+19.4+18854.04+19387.25+14044.49</f>
        <v>94778.11</v>
      </c>
      <c r="H221" s="18">
        <f>0.04+14360.84+23024.47+1034.08+1112.78+10137.25+2223.63</f>
        <v>51893.090000000004</v>
      </c>
      <c r="I221" s="18">
        <f>264+1592.61+22.5+100.5+759.6+263.68+330.42</f>
        <v>3333.31</v>
      </c>
      <c r="J221" s="18">
        <f>553.36+373.13+42.6</f>
        <v>969.09</v>
      </c>
      <c r="K221" s="18"/>
      <c r="L221" s="19">
        <f t="shared" ref="L221:L227" si="2">SUM(F221:K221)</f>
        <v>330118.40000000002</v>
      </c>
      <c r="M221" s="8"/>
      <c r="N221" s="266"/>
    </row>
    <row r="222" spans="1:14" s="3" customFormat="1" ht="12.2" customHeight="1" x14ac:dyDescent="0.15">
      <c r="A222" s="1" t="s">
        <v>443</v>
      </c>
      <c r="B222" s="2" t="s">
        <v>346</v>
      </c>
      <c r="C222" s="2" t="s">
        <v>295</v>
      </c>
      <c r="D222" s="2" t="s">
        <v>431</v>
      </c>
      <c r="E222" s="6">
        <v>2200</v>
      </c>
      <c r="F222" s="18">
        <f>2319.98+2977.5+19997.63+12340.49-361.47+28196.01</f>
        <v>65470.14</v>
      </c>
      <c r="G222" s="18">
        <f>387.69+347.19+17570.35+238.9+2243.81+3282.82+19341.83+7630.39</f>
        <v>51042.98</v>
      </c>
      <c r="H222" s="18">
        <f>2167.56+15507.64</f>
        <v>17675.2</v>
      </c>
      <c r="I222" s="18">
        <f>326.65+2577.47+1006+439.45+5257.5+3587.23+12402.61</f>
        <v>25596.91</v>
      </c>
      <c r="J222" s="18">
        <f>489.38+37539.48</f>
        <v>38028.86</v>
      </c>
      <c r="K222" s="18">
        <f>54.5+271.19</f>
        <v>325.69</v>
      </c>
      <c r="L222" s="19">
        <f t="shared" si="2"/>
        <v>198139.78000000003</v>
      </c>
      <c r="M222" s="8"/>
      <c r="N222" s="266"/>
    </row>
    <row r="223" spans="1:14" s="3" customFormat="1" ht="12.2" customHeight="1" x14ac:dyDescent="0.15">
      <c r="A223" s="1" t="s">
        <v>444</v>
      </c>
      <c r="B223" s="2" t="s">
        <v>346</v>
      </c>
      <c r="C223" s="2" t="s">
        <v>296</v>
      </c>
      <c r="D223" s="2" t="s">
        <v>431</v>
      </c>
      <c r="E223" s="6">
        <v>2300</v>
      </c>
      <c r="F223" s="18">
        <f>3546.99+82976.78+41785.23</f>
        <v>128309</v>
      </c>
      <c r="G223" s="18">
        <f>305.55+35460.58+23626.82</f>
        <v>59392.950000000004</v>
      </c>
      <c r="H223" s="18">
        <f>6865.41+5118.63+2737.87</f>
        <v>14721.91</v>
      </c>
      <c r="I223" s="18">
        <f>13652.15+781.57</f>
        <v>14433.72</v>
      </c>
      <c r="J223" s="18"/>
      <c r="K223" s="18">
        <f>9198.14+457.83+226.85</f>
        <v>9882.82</v>
      </c>
      <c r="L223" s="19">
        <f t="shared" si="2"/>
        <v>226740.40000000002</v>
      </c>
      <c r="M223" s="8"/>
      <c r="N223" s="266"/>
    </row>
    <row r="224" spans="1:14" s="3" customFormat="1" ht="12.2" customHeight="1" x14ac:dyDescent="0.15">
      <c r="A224" s="1" t="s">
        <v>445</v>
      </c>
      <c r="B224" s="2" t="s">
        <v>346</v>
      </c>
      <c r="C224" s="2" t="s">
        <v>297</v>
      </c>
      <c r="D224" s="2" t="s">
        <v>431</v>
      </c>
      <c r="E224" s="6">
        <v>2400</v>
      </c>
      <c r="F224" s="18">
        <f>97129+78684.97+16014.57+79851.84</f>
        <v>271680.38</v>
      </c>
      <c r="G224" s="18">
        <f>12961.48+1784.77+20617.54+9503.06+29236.73</f>
        <v>74103.58</v>
      </c>
      <c r="H224" s="18">
        <f>5908.86+10110.85+376.97+104.4</f>
        <v>16501.080000000002</v>
      </c>
      <c r="I224" s="18">
        <f>1568.53</f>
        <v>1568.53</v>
      </c>
      <c r="J224" s="18"/>
      <c r="K224" s="18">
        <f>2569.58+630.04</f>
        <v>3199.62</v>
      </c>
      <c r="L224" s="19">
        <f t="shared" si="2"/>
        <v>367053.19000000006</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f>90708.84+46152</f>
        <v>136860.84</v>
      </c>
      <c r="G226" s="18">
        <f>33998.85+1510.36+6525.57+10401.49+24446.49</f>
        <v>76882.759999999995</v>
      </c>
      <c r="H226" s="18">
        <f>70280.49</f>
        <v>70280.490000000005</v>
      </c>
      <c r="I226" s="18">
        <f>105168.81</f>
        <v>105168.81</v>
      </c>
      <c r="J226" s="18">
        <f>5031.56</f>
        <v>5031.5600000000004</v>
      </c>
      <c r="K226" s="18"/>
      <c r="L226" s="19">
        <f t="shared" si="2"/>
        <v>394224.45999999996</v>
      </c>
      <c r="M226" s="8"/>
      <c r="N226" s="266"/>
    </row>
    <row r="227" spans="1:14" s="3" customFormat="1" ht="12.2" customHeight="1" x14ac:dyDescent="0.15">
      <c r="A227" s="1" t="s">
        <v>448</v>
      </c>
      <c r="B227" s="2" t="s">
        <v>346</v>
      </c>
      <c r="C227" s="2" t="s">
        <v>300</v>
      </c>
      <c r="D227" s="2" t="s">
        <v>431</v>
      </c>
      <c r="E227" s="6">
        <v>2700</v>
      </c>
      <c r="F227" s="18"/>
      <c r="G227" s="18"/>
      <c r="H227" s="18">
        <f>7072.96+3041.42+87558.82+37687.52</f>
        <v>135360.72</v>
      </c>
      <c r="I227" s="18"/>
      <c r="J227" s="18"/>
      <c r="K227" s="18"/>
      <c r="L227" s="19">
        <f t="shared" si="2"/>
        <v>135360.72</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2173934.1999999997</v>
      </c>
      <c r="G230" s="41">
        <f>SUM(G216:G229)</f>
        <v>1166261.8599999999</v>
      </c>
      <c r="H230" s="41">
        <f>SUM(H216:H229)</f>
        <v>445541.88</v>
      </c>
      <c r="I230" s="41">
        <f>SUM(I216:I229)</f>
        <v>181181.46</v>
      </c>
      <c r="J230" s="41">
        <f>SUM(J216:J229)</f>
        <v>52733.88</v>
      </c>
      <c r="K230" s="41">
        <f t="shared" si="3"/>
        <v>13408.130000000001</v>
      </c>
      <c r="L230" s="41">
        <f t="shared" si="3"/>
        <v>4033061.4099999997</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f>1308884.14+18174.22+16531.61+21137.84+12658.58+0.03</f>
        <v>1377386.4200000002</v>
      </c>
      <c r="G234" s="18">
        <f>410431.14+14659.04+97804.21+246735.14+10787.37+27690.15</f>
        <v>808107.05</v>
      </c>
      <c r="H234" s="18">
        <f>96.67+257.41+1126.22+21113.11+337+2005.56+194.3</f>
        <v>25130.27</v>
      </c>
      <c r="I234" s="18">
        <f>12947.15+5571.67+319.34+4764.63+607.74+3424.23+572.69+1430.84+1416.36+390.94+1370.4+1852.11+742.42+1278.98+254.6+475.11+62.17+192+346.45+504.73+10859.5+114.88+110+875+144+4069.82</f>
        <v>54697.759999999995</v>
      </c>
      <c r="J234" s="18">
        <f>2475.57+759.39+3198.02+1821.56+181.17+644.22+299.99+1019.68+669.91+1094+669.86</f>
        <v>12833.369999999999</v>
      </c>
      <c r="K234" s="18">
        <f>830</f>
        <v>830</v>
      </c>
      <c r="L234" s="19">
        <f>SUM(F234:K234)</f>
        <v>2278984.87</v>
      </c>
      <c r="M234" s="8"/>
      <c r="N234" s="266"/>
    </row>
    <row r="235" spans="1:14" s="3" customFormat="1" ht="12.2" customHeight="1" x14ac:dyDescent="0.15">
      <c r="A235" s="1" t="s">
        <v>439</v>
      </c>
      <c r="B235" s="2" t="s">
        <v>350</v>
      </c>
      <c r="C235" s="2" t="s">
        <v>291</v>
      </c>
      <c r="D235" s="2" t="s">
        <v>431</v>
      </c>
      <c r="E235" s="6">
        <v>1200</v>
      </c>
      <c r="F235" s="18">
        <f>145190.01+62665.58+16002.87+13194.99</f>
        <v>237053.45</v>
      </c>
      <c r="G235" s="18">
        <f>67611.5+1717.58+14647.12+22461.79+1403.51+8755.36</f>
        <v>116596.85999999999</v>
      </c>
      <c r="H235" s="18">
        <f>41269.1+266297.47</f>
        <v>307566.56999999995</v>
      </c>
      <c r="I235" s="18">
        <f>2041.81+44.47+1166.25+400+921.79+96.36</f>
        <v>4670.6799999999994</v>
      </c>
      <c r="J235" s="18"/>
      <c r="K235" s="18"/>
      <c r="L235" s="19">
        <f>SUM(F235:K235)</f>
        <v>665887.55999999994</v>
      </c>
      <c r="M235" s="8"/>
      <c r="N235" s="266"/>
    </row>
    <row r="236" spans="1:14" s="3" customFormat="1" ht="12.2" customHeight="1" x14ac:dyDescent="0.15">
      <c r="A236" s="1" t="s">
        <v>440</v>
      </c>
      <c r="B236" s="2" t="s">
        <v>350</v>
      </c>
      <c r="C236" s="2" t="s">
        <v>292</v>
      </c>
      <c r="D236" s="2" t="s">
        <v>431</v>
      </c>
      <c r="E236" s="6">
        <v>1300</v>
      </c>
      <c r="F236" s="18"/>
      <c r="G236" s="18"/>
      <c r="H236" s="18">
        <v>123543</v>
      </c>
      <c r="I236" s="18"/>
      <c r="J236" s="18"/>
      <c r="K236" s="18"/>
      <c r="L236" s="19">
        <f>SUM(F236:K236)</f>
        <v>123543</v>
      </c>
      <c r="M236" s="8"/>
      <c r="N236" s="266"/>
    </row>
    <row r="237" spans="1:14" s="3" customFormat="1" ht="12.2" customHeight="1" x14ac:dyDescent="0.15">
      <c r="A237" s="1" t="s">
        <v>441</v>
      </c>
      <c r="B237" s="2" t="s">
        <v>350</v>
      </c>
      <c r="C237" s="2" t="s">
        <v>293</v>
      </c>
      <c r="D237" s="2" t="s">
        <v>431</v>
      </c>
      <c r="E237" s="6">
        <v>1400</v>
      </c>
      <c r="F237" s="18">
        <f>42553+4235+1060+70604.68+3275</f>
        <v>121727.67999999999</v>
      </c>
      <c r="G237" s="18">
        <f>3516.91+323.93+5788.27+5442.1+11.16+5457.89</f>
        <v>20540.260000000002</v>
      </c>
      <c r="H237" s="18">
        <f>245.22+15376+19000+3132.96+55.23+371.68</f>
        <v>38181.090000000004</v>
      </c>
      <c r="I237" s="18">
        <f>190.25+4759.69+500+2899</f>
        <v>8348.9399999999987</v>
      </c>
      <c r="J237" s="18">
        <f>15748.1</f>
        <v>15748.1</v>
      </c>
      <c r="K237" s="18">
        <f>11533</f>
        <v>11533</v>
      </c>
      <c r="L237" s="19">
        <f>SUM(F237:K237)</f>
        <v>216079.07</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f>88545.66+41840.66+28505+11831.47+27664.25+35401.73+33689.74</f>
        <v>267478.51</v>
      </c>
      <c r="G239" s="18">
        <f>56795.52+1789.82+9507.31+4747.75+23626.16+18850.75+432.17+2780.67+5056.04+23.85+23178.36+23833.86+17265.7</f>
        <v>187887.96000000002</v>
      </c>
      <c r="H239" s="18">
        <f>4987.5+0.05+17654.62+28305.32+1271.25+1368+12462.31+2733.64</f>
        <v>68782.69</v>
      </c>
      <c r="I239" s="18">
        <f>117.87+1519.2+2742.66+22.5+100.5+933.82+324.16+406.2</f>
        <v>6166.9099999999989</v>
      </c>
      <c r="J239" s="18">
        <f>373.15+52.37</f>
        <v>425.52</v>
      </c>
      <c r="K239" s="18"/>
      <c r="L239" s="19">
        <f t="shared" ref="L239:L245" si="4">SUM(F239:K239)</f>
        <v>530741.59000000008</v>
      </c>
      <c r="M239" s="8"/>
      <c r="N239" s="266"/>
    </row>
    <row r="240" spans="1:14" s="3" customFormat="1" ht="12.2" customHeight="1" x14ac:dyDescent="0.15">
      <c r="A240" s="1" t="s">
        <v>443</v>
      </c>
      <c r="B240" s="2" t="s">
        <v>350</v>
      </c>
      <c r="C240" s="2" t="s">
        <v>295</v>
      </c>
      <c r="D240" s="2" t="s">
        <v>431</v>
      </c>
      <c r="E240" s="6">
        <v>2200</v>
      </c>
      <c r="F240" s="18">
        <f>2319.98+9727.5+19997.63+12340.54-444.37+34662.99</f>
        <v>78604.26999999999</v>
      </c>
      <c r="G240" s="18">
        <f>900.15+366.75+17570.38+238.91+2243.78+3282.76+23778.03+9380.48</f>
        <v>57761.240000000005</v>
      </c>
      <c r="H240" s="18">
        <f>2664.71+19064.44</f>
        <v>21729.149999999998</v>
      </c>
      <c r="I240" s="18">
        <f>1226.85+3020.38+84.58+50+5257.5+4409.99+15247.24</f>
        <v>29296.54</v>
      </c>
      <c r="J240" s="18">
        <f>189.99+46149.45</f>
        <v>46339.439999999995</v>
      </c>
      <c r="K240" s="18">
        <f>67+333.39</f>
        <v>400.39</v>
      </c>
      <c r="L240" s="19">
        <f t="shared" si="4"/>
        <v>234131.03000000003</v>
      </c>
      <c r="M240" s="8"/>
      <c r="N240" s="266"/>
    </row>
    <row r="241" spans="1:14" s="3" customFormat="1" ht="12.2" customHeight="1" x14ac:dyDescent="0.15">
      <c r="A241" s="1" t="s">
        <v>444</v>
      </c>
      <c r="B241" s="2" t="s">
        <v>350</v>
      </c>
      <c r="C241" s="2" t="s">
        <v>296</v>
      </c>
      <c r="D241" s="2" t="s">
        <v>431</v>
      </c>
      <c r="E241" s="6">
        <v>2300</v>
      </c>
      <c r="F241" s="18">
        <f>4360.52+102008.15+51368.99</f>
        <v>157737.66</v>
      </c>
      <c r="G241" s="18">
        <f>375.63+43593.73+29045.82</f>
        <v>73015.179999999993</v>
      </c>
      <c r="H241" s="18">
        <f>8440.05+6292.63+3365.82</f>
        <v>18098.5</v>
      </c>
      <c r="I241" s="18">
        <f>16783.38+960.83</f>
        <v>17744.210000000003</v>
      </c>
      <c r="J241" s="18"/>
      <c r="K241" s="18">
        <f>11307.8+562.84+278.88</f>
        <v>12149.519999999999</v>
      </c>
      <c r="L241" s="19">
        <f t="shared" si="4"/>
        <v>278745.07</v>
      </c>
      <c r="M241" s="8"/>
      <c r="N241" s="266"/>
    </row>
    <row r="242" spans="1:14" s="3" customFormat="1" ht="12.2" customHeight="1" x14ac:dyDescent="0.15">
      <c r="A242" s="1" t="s">
        <v>445</v>
      </c>
      <c r="B242" s="2" t="s">
        <v>350</v>
      </c>
      <c r="C242" s="2" t="s">
        <v>297</v>
      </c>
      <c r="D242" s="2" t="s">
        <v>431</v>
      </c>
      <c r="E242" s="6">
        <v>2400</v>
      </c>
      <c r="F242" s="18">
        <f>104545+77888+22450+76456.44</f>
        <v>281339.44</v>
      </c>
      <c r="G242" s="18">
        <f>76711.77+3070.04+20205.85+8693.92+34831.35+165</f>
        <v>143677.93</v>
      </c>
      <c r="H242" s="18">
        <f>9495.49+12508.32+376.99+85.55</f>
        <v>22466.35</v>
      </c>
      <c r="I242" s="18">
        <f>1905.22</f>
        <v>1905.22</v>
      </c>
      <c r="J242" s="18"/>
      <c r="K242" s="18">
        <f>1815+3670+11530.14</f>
        <v>17015.14</v>
      </c>
      <c r="L242" s="19">
        <f t="shared" si="4"/>
        <v>466404.07999999996</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f>71161.82+56737.32</f>
        <v>127899.14000000001</v>
      </c>
      <c r="G244" s="18">
        <f>33998.94+1510.37+5075.58+8217.97+30053.48</f>
        <v>78856.340000000011</v>
      </c>
      <c r="H244" s="18">
        <f>86399.86</f>
        <v>86399.86</v>
      </c>
      <c r="I244" s="18">
        <f>129290.1</f>
        <v>129290.1</v>
      </c>
      <c r="J244" s="18">
        <f>6185.59</f>
        <v>6185.59</v>
      </c>
      <c r="K244" s="18"/>
      <c r="L244" s="19">
        <f t="shared" si="4"/>
        <v>428631.03000000009</v>
      </c>
      <c r="M244" s="8"/>
      <c r="N244" s="266"/>
    </row>
    <row r="245" spans="1:14" s="3" customFormat="1" ht="12.2" customHeight="1" x14ac:dyDescent="0.15">
      <c r="A245" s="1" t="s">
        <v>448</v>
      </c>
      <c r="B245" s="2" t="s">
        <v>350</v>
      </c>
      <c r="C245" s="2" t="s">
        <v>300</v>
      </c>
      <c r="D245" s="2" t="s">
        <v>431</v>
      </c>
      <c r="E245" s="6">
        <v>2700</v>
      </c>
      <c r="F245" s="18"/>
      <c r="G245" s="18"/>
      <c r="H245" s="18">
        <f>25998.13+21464.14+2642.7+107641.12+29100</f>
        <v>186846.09</v>
      </c>
      <c r="I245" s="18"/>
      <c r="J245" s="18"/>
      <c r="K245" s="18"/>
      <c r="L245" s="19">
        <f t="shared" si="4"/>
        <v>186846.09</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2649226.5700000003</v>
      </c>
      <c r="G248" s="41">
        <f t="shared" si="5"/>
        <v>1486442.82</v>
      </c>
      <c r="H248" s="41">
        <f t="shared" si="5"/>
        <v>898743.57</v>
      </c>
      <c r="I248" s="41">
        <f t="shared" si="5"/>
        <v>252120.36</v>
      </c>
      <c r="J248" s="41">
        <f t="shared" si="5"/>
        <v>81532.01999999999</v>
      </c>
      <c r="K248" s="41">
        <f t="shared" si="5"/>
        <v>41928.049999999996</v>
      </c>
      <c r="L248" s="41">
        <f t="shared" si="5"/>
        <v>5409993.3900000006</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8945566.290000001</v>
      </c>
      <c r="G258" s="41">
        <f t="shared" si="8"/>
        <v>4915557.68</v>
      </c>
      <c r="H258" s="41">
        <f t="shared" si="8"/>
        <v>2299040.54</v>
      </c>
      <c r="I258" s="41">
        <f t="shared" si="8"/>
        <v>867268.87</v>
      </c>
      <c r="J258" s="41">
        <f t="shared" si="8"/>
        <v>267082.27</v>
      </c>
      <c r="K258" s="41">
        <f t="shared" si="8"/>
        <v>81312.799999999988</v>
      </c>
      <c r="L258" s="41">
        <f t="shared" si="8"/>
        <v>17375828.449999999</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799600</v>
      </c>
      <c r="L261" s="19">
        <f>SUM(F261:K261)</f>
        <v>799600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221755.18</v>
      </c>
      <c r="L262" s="19">
        <f>SUM(F262:K262)</f>
        <v>221755.18</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53112.56</v>
      </c>
      <c r="L264" s="19">
        <f>SUM(F264:K264)</f>
        <v>53112.56</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250000</v>
      </c>
      <c r="L267" s="19">
        <f t="shared" si="9"/>
        <v>250000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1324467.74</v>
      </c>
      <c r="L271" s="41">
        <f t="shared" si="9"/>
        <v>1324467.74</v>
      </c>
      <c r="M271" s="8"/>
      <c r="N271" s="266"/>
    </row>
    <row r="272" spans="1:14" s="34" customFormat="1" ht="12.2" customHeight="1" thickTop="1" x14ac:dyDescent="0.2">
      <c r="A272" s="43" t="s">
        <v>464</v>
      </c>
      <c r="B272" s="40">
        <v>10</v>
      </c>
      <c r="C272" s="40">
        <v>18</v>
      </c>
      <c r="D272" s="39" t="s">
        <v>431</v>
      </c>
      <c r="E272" s="40"/>
      <c r="F272" s="42">
        <f t="shared" ref="F272:L272" si="11">F258+F271</f>
        <v>8945566.290000001</v>
      </c>
      <c r="G272" s="42">
        <f t="shared" si="11"/>
        <v>4915557.68</v>
      </c>
      <c r="H272" s="42">
        <f t="shared" si="11"/>
        <v>2299040.54</v>
      </c>
      <c r="I272" s="42">
        <f t="shared" si="11"/>
        <v>867268.87</v>
      </c>
      <c r="J272" s="42">
        <f t="shared" si="11"/>
        <v>267082.27</v>
      </c>
      <c r="K272" s="42">
        <f t="shared" si="11"/>
        <v>1405780.54</v>
      </c>
      <c r="L272" s="42">
        <f t="shared" si="11"/>
        <v>18700296.189999998</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f>128978.29+0.01</f>
        <v>128978.29999999999</v>
      </c>
      <c r="G277" s="18">
        <f>8824.4+835.41</f>
        <v>9659.81</v>
      </c>
      <c r="H277" s="18"/>
      <c r="I277" s="18">
        <f>40.64</f>
        <v>40.64</v>
      </c>
      <c r="J277" s="18"/>
      <c r="K277" s="18"/>
      <c r="L277" s="19">
        <f>SUM(F277:K277)</f>
        <v>138678.75</v>
      </c>
      <c r="M277" s="8"/>
      <c r="N277" s="266"/>
    </row>
    <row r="278" spans="1:14" s="3" customFormat="1" ht="12.2" customHeight="1" x14ac:dyDescent="0.15">
      <c r="A278" s="1" t="s">
        <v>439</v>
      </c>
      <c r="B278" s="2" t="s">
        <v>357</v>
      </c>
      <c r="C278" s="2" t="s">
        <v>291</v>
      </c>
      <c r="D278" s="2" t="s">
        <v>431</v>
      </c>
      <c r="E278" s="6">
        <v>1200</v>
      </c>
      <c r="F278" s="18">
        <f>6980.3+51562.4+423.62+0.01</f>
        <v>58966.330000000009</v>
      </c>
      <c r="G278" s="18">
        <f>3944.52+481.1</f>
        <v>4425.62</v>
      </c>
      <c r="H278" s="18"/>
      <c r="I278" s="18">
        <f>2227.96</f>
        <v>2227.96</v>
      </c>
      <c r="J278" s="18">
        <f>4138.73-0.01</f>
        <v>4138.7199999999993</v>
      </c>
      <c r="K278" s="18"/>
      <c r="L278" s="19">
        <f>SUM(F278:K278)</f>
        <v>69758.630000000019</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f>13872.96+1850.4+6738.54</f>
        <v>22461.899999999998</v>
      </c>
      <c r="G282" s="18">
        <f>962.03+467.79</f>
        <v>1429.82</v>
      </c>
      <c r="H282" s="18">
        <f>768.06</f>
        <v>768.06</v>
      </c>
      <c r="I282" s="18">
        <f>460.07+125.89</f>
        <v>585.96</v>
      </c>
      <c r="J282" s="18"/>
      <c r="K282" s="18"/>
      <c r="L282" s="19">
        <f t="shared" ref="L282:L288" si="12">SUM(F282:K282)</f>
        <v>25245.739999999998</v>
      </c>
      <c r="M282" s="8"/>
      <c r="N282" s="266"/>
    </row>
    <row r="283" spans="1:14" s="3" customFormat="1" ht="12.2" customHeight="1" x14ac:dyDescent="0.15">
      <c r="A283" s="1" t="s">
        <v>443</v>
      </c>
      <c r="B283" s="2" t="s">
        <v>357</v>
      </c>
      <c r="C283" s="2" t="s">
        <v>295</v>
      </c>
      <c r="D283" s="2" t="s">
        <v>431</v>
      </c>
      <c r="E283" s="6">
        <v>2200</v>
      </c>
      <c r="F283" s="18">
        <f>5184.2+1160.66+1079.4+231.3+1356.45+12170+3430.95+616.8+1165.64</f>
        <v>26395.4</v>
      </c>
      <c r="G283" s="18">
        <f>1211.84+163.02+57.37+312.63+671.35+155.37+682.11+6</f>
        <v>3259.6899999999996</v>
      </c>
      <c r="H283" s="18">
        <f>10102.67+16739.05+2215.34+81.09+925.2+963.75+8237.36+9766+3492.97+16830.04</f>
        <v>69353.47</v>
      </c>
      <c r="I283" s="18">
        <f>3243.27+37.79+290.57+1477.42+2650.11+98.61+2997.76+75.23</f>
        <v>10870.759999999998</v>
      </c>
      <c r="J283" s="18"/>
      <c r="K283" s="18"/>
      <c r="L283" s="19">
        <f t="shared" si="12"/>
        <v>109879.31999999999</v>
      </c>
      <c r="M283" s="8"/>
      <c r="N283" s="266"/>
    </row>
    <row r="284" spans="1:14" s="3" customFormat="1" ht="12.2" customHeight="1" x14ac:dyDescent="0.15">
      <c r="A284" s="1" t="s">
        <v>444</v>
      </c>
      <c r="B284" s="2" t="s">
        <v>357</v>
      </c>
      <c r="C284" s="2" t="s">
        <v>296</v>
      </c>
      <c r="D284" s="2" t="s">
        <v>431</v>
      </c>
      <c r="E284" s="6">
        <v>2300</v>
      </c>
      <c r="F284" s="18">
        <f>2390.63</f>
        <v>2390.63</v>
      </c>
      <c r="G284" s="18"/>
      <c r="H284" s="18"/>
      <c r="I284" s="18">
        <f>33.46+1468.8</f>
        <v>1502.26</v>
      </c>
      <c r="J284" s="18"/>
      <c r="K284" s="18"/>
      <c r="L284" s="19">
        <f t="shared" si="12"/>
        <v>3892.8900000000003</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239192.56</v>
      </c>
      <c r="G291" s="42">
        <f t="shared" si="13"/>
        <v>18774.939999999999</v>
      </c>
      <c r="H291" s="42">
        <f t="shared" si="13"/>
        <v>70121.53</v>
      </c>
      <c r="I291" s="42">
        <f t="shared" si="13"/>
        <v>15227.579999999998</v>
      </c>
      <c r="J291" s="42">
        <f t="shared" si="13"/>
        <v>4138.7199999999993</v>
      </c>
      <c r="K291" s="42">
        <f t="shared" si="13"/>
        <v>0</v>
      </c>
      <c r="L291" s="41">
        <f t="shared" si="13"/>
        <v>347455.33</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f>17.24</f>
        <v>17.239999999999998</v>
      </c>
      <c r="J296" s="18"/>
      <c r="K296" s="18"/>
      <c r="L296" s="19">
        <f>SUM(F296:K296)</f>
        <v>17.239999999999998</v>
      </c>
      <c r="M296" s="8"/>
      <c r="N296" s="266"/>
    </row>
    <row r="297" spans="1:14" s="3" customFormat="1" ht="12.2" customHeight="1" x14ac:dyDescent="0.15">
      <c r="A297" s="1" t="s">
        <v>439</v>
      </c>
      <c r="B297" s="2" t="s">
        <v>358</v>
      </c>
      <c r="C297" s="2" t="s">
        <v>291</v>
      </c>
      <c r="D297" s="2" t="s">
        <v>431</v>
      </c>
      <c r="E297" s="6">
        <v>1200</v>
      </c>
      <c r="F297" s="18">
        <f>32911.5+179.67</f>
        <v>33091.17</v>
      </c>
      <c r="G297" s="18">
        <f>2420.7</f>
        <v>2420.6999999999998</v>
      </c>
      <c r="H297" s="18"/>
      <c r="I297" s="18"/>
      <c r="J297" s="18">
        <f>1755.34</f>
        <v>1755.34</v>
      </c>
      <c r="K297" s="18"/>
      <c r="L297" s="19">
        <f>SUM(F297:K297)</f>
        <v>37267.209999999992</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f>5883.86+784.8+2857.98</f>
        <v>9526.64</v>
      </c>
      <c r="G301" s="18">
        <f>408.02+198.4</f>
        <v>606.41999999999996</v>
      </c>
      <c r="H301" s="18">
        <f>325.75</f>
        <v>325.75</v>
      </c>
      <c r="I301" s="18">
        <f>195.13+53.39</f>
        <v>248.51999999999998</v>
      </c>
      <c r="J301" s="18"/>
      <c r="K301" s="18"/>
      <c r="L301" s="19">
        <f t="shared" ref="L301:L307" si="14">SUM(F301:K301)</f>
        <v>10707.33</v>
      </c>
      <c r="M301" s="8"/>
      <c r="N301" s="266"/>
    </row>
    <row r="302" spans="1:14" s="3" customFormat="1" ht="12.2" customHeight="1" x14ac:dyDescent="0.15">
      <c r="A302" s="1" t="s">
        <v>443</v>
      </c>
      <c r="B302" s="2" t="s">
        <v>358</v>
      </c>
      <c r="C302" s="2" t="s">
        <v>295</v>
      </c>
      <c r="D302" s="2" t="s">
        <v>431</v>
      </c>
      <c r="E302" s="6">
        <v>2200</v>
      </c>
      <c r="F302" s="18">
        <f>2198.75+492.27+457.8+98.1+575.3+1455.15+261.6+494.38</f>
        <v>6033.3500000000013</v>
      </c>
      <c r="G302" s="18">
        <f>513.97+69.14+2.54+24.33+284.74+65.89+289.3</f>
        <v>1249.9100000000001</v>
      </c>
      <c r="H302" s="18">
        <f>4284.79+7099.44+939.58+34.39+392.4+408.75+3493.67+4142+1481.45+7138.03</f>
        <v>29414.499999999996</v>
      </c>
      <c r="I302" s="18">
        <f>16.03+123.24+626.61+41.82+31.91</f>
        <v>839.61</v>
      </c>
      <c r="J302" s="18"/>
      <c r="K302" s="18"/>
      <c r="L302" s="19">
        <f t="shared" si="14"/>
        <v>37537.369999999995</v>
      </c>
      <c r="M302" s="8"/>
      <c r="N302" s="266"/>
    </row>
    <row r="303" spans="1:14" s="3" customFormat="1" ht="12.2" customHeight="1" x14ac:dyDescent="0.15">
      <c r="A303" s="1" t="s">
        <v>444</v>
      </c>
      <c r="B303" s="2" t="s">
        <v>358</v>
      </c>
      <c r="C303" s="2" t="s">
        <v>296</v>
      </c>
      <c r="D303" s="2" t="s">
        <v>431</v>
      </c>
      <c r="E303" s="6">
        <v>2300</v>
      </c>
      <c r="F303" s="18">
        <f>1013.92</f>
        <v>1013.92</v>
      </c>
      <c r="G303" s="18"/>
      <c r="H303" s="18"/>
      <c r="I303" s="18">
        <f>14.19</f>
        <v>14.19</v>
      </c>
      <c r="J303" s="18"/>
      <c r="K303" s="18"/>
      <c r="L303" s="19">
        <f t="shared" si="14"/>
        <v>1028.1099999999999</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49665.079999999994</v>
      </c>
      <c r="G310" s="42">
        <f t="shared" si="15"/>
        <v>4277.03</v>
      </c>
      <c r="H310" s="42">
        <f t="shared" si="15"/>
        <v>29740.249999999996</v>
      </c>
      <c r="I310" s="42">
        <f t="shared" si="15"/>
        <v>1119.56</v>
      </c>
      <c r="J310" s="42">
        <f t="shared" si="15"/>
        <v>1755.34</v>
      </c>
      <c r="K310" s="42">
        <f t="shared" si="15"/>
        <v>0</v>
      </c>
      <c r="L310" s="41">
        <f t="shared" si="15"/>
        <v>86557.26</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f>21.19</f>
        <v>21.19</v>
      </c>
      <c r="J315" s="18"/>
      <c r="K315" s="18"/>
      <c r="L315" s="19">
        <f>SUM(F315:K315)</f>
        <v>21.19</v>
      </c>
      <c r="M315" s="8"/>
      <c r="N315" s="266"/>
    </row>
    <row r="316" spans="1:14" s="3" customFormat="1" ht="12.2" customHeight="1" x14ac:dyDescent="0.15">
      <c r="A316" s="1" t="s">
        <v>439</v>
      </c>
      <c r="B316" s="2" t="s">
        <v>359</v>
      </c>
      <c r="C316" s="2" t="s">
        <v>291</v>
      </c>
      <c r="D316" s="2" t="s">
        <v>431</v>
      </c>
      <c r="E316" s="6">
        <v>1200</v>
      </c>
      <c r="F316" s="18">
        <f>220.88</f>
        <v>220.88</v>
      </c>
      <c r="G316" s="18"/>
      <c r="H316" s="18"/>
      <c r="I316" s="18"/>
      <c r="J316" s="18">
        <f>2157.94</f>
        <v>2157.94</v>
      </c>
      <c r="K316" s="18"/>
      <c r="L316" s="19">
        <f>SUM(F316:K316)</f>
        <v>2378.8200000000002</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f>40128.35+7233.37+964.8-0.03+3513.48</f>
        <v>51839.970000000008</v>
      </c>
      <c r="G320" s="18">
        <f>2908.62+501.6+243.9</f>
        <v>3654.12</v>
      </c>
      <c r="H320" s="18">
        <f>400.47</f>
        <v>400.47</v>
      </c>
      <c r="I320" s="18">
        <f>239.88+65.64</f>
        <v>305.52</v>
      </c>
      <c r="J320" s="18"/>
      <c r="K320" s="18"/>
      <c r="L320" s="19">
        <f t="shared" ref="L320:L326" si="16">SUM(F320:K320)</f>
        <v>56200.080000000009</v>
      </c>
      <c r="M320" s="8"/>
      <c r="N320" s="266"/>
    </row>
    <row r="321" spans="1:14" s="3" customFormat="1" ht="12.2" customHeight="1" x14ac:dyDescent="0.15">
      <c r="A321" s="1" t="s">
        <v>443</v>
      </c>
      <c r="B321" s="2" t="s">
        <v>359</v>
      </c>
      <c r="C321" s="2" t="s">
        <v>295</v>
      </c>
      <c r="D321" s="2" t="s">
        <v>431</v>
      </c>
      <c r="E321" s="6">
        <v>2200</v>
      </c>
      <c r="F321" s="18">
        <f>2703.05+605.17+562.8+120.6+707.25+1788.9+321.6+607.77</f>
        <v>7417.1400000000012</v>
      </c>
      <c r="G321" s="18">
        <f>631.86+85+3.13+29.91+350.04+81.01+355.65</f>
        <v>1536.6</v>
      </c>
      <c r="H321" s="18">
        <f>5267.54+8727.76+1155.08+42.28+482.4+502.5+4294.97+5092+1821.24+8775.2</f>
        <v>36160.97</v>
      </c>
      <c r="I321" s="18">
        <f>19.71+151.51+770.33+51.42+39.23</f>
        <v>1032.2</v>
      </c>
      <c r="J321" s="18"/>
      <c r="K321" s="18"/>
      <c r="L321" s="19">
        <f t="shared" si="16"/>
        <v>46146.91</v>
      </c>
      <c r="M321" s="8"/>
      <c r="N321" s="266"/>
    </row>
    <row r="322" spans="1:14" s="3" customFormat="1" ht="12.2" customHeight="1" x14ac:dyDescent="0.15">
      <c r="A322" s="1" t="s">
        <v>444</v>
      </c>
      <c r="B322" s="2" t="s">
        <v>359</v>
      </c>
      <c r="C322" s="2" t="s">
        <v>296</v>
      </c>
      <c r="D322" s="2" t="s">
        <v>431</v>
      </c>
      <c r="E322" s="6">
        <v>2300</v>
      </c>
      <c r="F322" s="18">
        <f>1246.48</f>
        <v>1246.48</v>
      </c>
      <c r="G322" s="18"/>
      <c r="H322" s="18"/>
      <c r="I322" s="18">
        <f>17.45</f>
        <v>17.45</v>
      </c>
      <c r="J322" s="18"/>
      <c r="K322" s="18"/>
      <c r="L322" s="19">
        <f t="shared" si="16"/>
        <v>1263.93</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60724.470000000008</v>
      </c>
      <c r="G329" s="42">
        <f t="shared" si="17"/>
        <v>5190.7199999999993</v>
      </c>
      <c r="H329" s="42">
        <f t="shared" si="17"/>
        <v>36561.440000000002</v>
      </c>
      <c r="I329" s="42">
        <f t="shared" si="17"/>
        <v>1376.3600000000001</v>
      </c>
      <c r="J329" s="42">
        <f t="shared" si="17"/>
        <v>2157.94</v>
      </c>
      <c r="K329" s="42">
        <f t="shared" si="17"/>
        <v>0</v>
      </c>
      <c r="L329" s="41">
        <f t="shared" si="17"/>
        <v>106010.93000000001</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349582.11000000004</v>
      </c>
      <c r="G339" s="41">
        <f t="shared" si="20"/>
        <v>28242.689999999995</v>
      </c>
      <c r="H339" s="41">
        <f t="shared" si="20"/>
        <v>136423.22</v>
      </c>
      <c r="I339" s="41">
        <f t="shared" si="20"/>
        <v>17723.499999999996</v>
      </c>
      <c r="J339" s="41">
        <f t="shared" si="20"/>
        <v>8052</v>
      </c>
      <c r="K339" s="41">
        <f t="shared" si="20"/>
        <v>0</v>
      </c>
      <c r="L339" s="41">
        <f t="shared" si="20"/>
        <v>540023.52</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f>4372+801+626.02+5461+231+170.87+90.53+639+639+515+331.91+919+16</f>
        <v>14812.330000000002</v>
      </c>
      <c r="L345" s="19">
        <f t="shared" ref="L345:L351" si="21">SUM(F345:K345)</f>
        <v>14812.330000000002</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14812.330000000002</v>
      </c>
      <c r="L352" s="41">
        <f>SUM(L342:L351)</f>
        <v>14812.330000000002</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349582.11000000004</v>
      </c>
      <c r="G353" s="41">
        <f>G339</f>
        <v>28242.689999999995</v>
      </c>
      <c r="H353" s="41">
        <f>H339</f>
        <v>136423.22</v>
      </c>
      <c r="I353" s="41">
        <f>I339</f>
        <v>17723.499999999996</v>
      </c>
      <c r="J353" s="41">
        <f>J339</f>
        <v>8052</v>
      </c>
      <c r="K353" s="47">
        <f>K339+K352</f>
        <v>14812.330000000002</v>
      </c>
      <c r="L353" s="41">
        <f>L339+L352</f>
        <v>554835.85</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67634.41</v>
      </c>
      <c r="G359" s="18">
        <v>19992.29</v>
      </c>
      <c r="H359" s="18">
        <v>3706.17</v>
      </c>
      <c r="I359" s="18">
        <v>49040.73</v>
      </c>
      <c r="J359" s="18">
        <v>24707.71</v>
      </c>
      <c r="K359" s="18">
        <v>811.1</v>
      </c>
      <c r="L359" s="13">
        <f>SUM(F359:K359)</f>
        <v>165892.41</v>
      </c>
      <c r="M359" s="8"/>
      <c r="N359" s="266"/>
    </row>
    <row r="360" spans="1:22" s="3" customFormat="1" ht="12.2" customHeight="1" x14ac:dyDescent="0.15">
      <c r="A360" s="1" t="s">
        <v>542</v>
      </c>
      <c r="B360" s="2" t="s">
        <v>366</v>
      </c>
      <c r="C360" s="6">
        <v>2</v>
      </c>
      <c r="D360" s="2" t="s">
        <v>431</v>
      </c>
      <c r="E360" s="6"/>
      <c r="F360" s="18">
        <v>50602.93</v>
      </c>
      <c r="G360" s="18">
        <v>13317.89</v>
      </c>
      <c r="H360" s="18">
        <v>1571.88</v>
      </c>
      <c r="I360" s="18">
        <v>31820.639999999999</v>
      </c>
      <c r="J360" s="18"/>
      <c r="K360" s="18">
        <v>344.01</v>
      </c>
      <c r="L360" s="19">
        <f>SUM(F360:K360)</f>
        <v>97657.349999999991</v>
      </c>
      <c r="M360" s="8"/>
      <c r="N360" s="266"/>
    </row>
    <row r="361" spans="1:22" s="3" customFormat="1" ht="12.2" customHeight="1" x14ac:dyDescent="0.15">
      <c r="A361" s="3" t="s">
        <v>543</v>
      </c>
      <c r="B361" s="2" t="s">
        <v>366</v>
      </c>
      <c r="C361" s="6">
        <v>3</v>
      </c>
      <c r="D361" s="2" t="s">
        <v>431</v>
      </c>
      <c r="E361" s="6"/>
      <c r="F361" s="18">
        <v>50668.26</v>
      </c>
      <c r="G361" s="18">
        <v>13419.87</v>
      </c>
      <c r="H361" s="18">
        <v>1932.4</v>
      </c>
      <c r="I361" s="18">
        <v>33291.9</v>
      </c>
      <c r="J361" s="18"/>
      <c r="K361" s="18">
        <v>422.91</v>
      </c>
      <c r="L361" s="19">
        <f>SUM(F361:K361)</f>
        <v>99735.34</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168905.60000000001</v>
      </c>
      <c r="G363" s="47">
        <f t="shared" si="22"/>
        <v>46730.05</v>
      </c>
      <c r="H363" s="47">
        <f t="shared" si="22"/>
        <v>7210.4500000000007</v>
      </c>
      <c r="I363" s="47">
        <f t="shared" si="22"/>
        <v>114153.26999999999</v>
      </c>
      <c r="J363" s="47">
        <f t="shared" si="22"/>
        <v>24707.71</v>
      </c>
      <c r="K363" s="47">
        <f t="shared" si="22"/>
        <v>1578.0200000000002</v>
      </c>
      <c r="L363" s="47">
        <f t="shared" si="22"/>
        <v>363285.1</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f>31395.32+2068.55</f>
        <v>33463.870000000003</v>
      </c>
      <c r="G368" s="18">
        <f>18286.81+877.32+5151.18</f>
        <v>24315.31</v>
      </c>
      <c r="H368" s="18">
        <f>18286.98+1078.54+5151.17</f>
        <v>24516.690000000002</v>
      </c>
      <c r="I368" s="56">
        <f>SUM(F368:H368)</f>
        <v>82295.87000000001</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f>2522.41+336.85+11648.99+1068.61</f>
        <v>15576.86</v>
      </c>
      <c r="G369" s="63">
        <f>1968.62+142.87+4940.62+453.22</f>
        <v>7505.33</v>
      </c>
      <c r="H369" s="63">
        <f>1968.61+175.63+6073.79+557.17+0.01</f>
        <v>8775.2099999999991</v>
      </c>
      <c r="I369" s="56">
        <f>SUM(F369:H369)</f>
        <v>31857.4</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49040.73</v>
      </c>
      <c r="G370" s="47">
        <f>SUM(G368:G369)</f>
        <v>31820.639999999999</v>
      </c>
      <c r="H370" s="47">
        <f>SUM(H368:H369)</f>
        <v>33291.9</v>
      </c>
      <c r="I370" s="47">
        <f>SUM(I368:I369)</f>
        <v>114153.27000000002</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v>200000</v>
      </c>
      <c r="H389" s="18">
        <v>4075.73</v>
      </c>
      <c r="I389" s="18"/>
      <c r="J389" s="24" t="s">
        <v>288</v>
      </c>
      <c r="K389" s="24" t="s">
        <v>288</v>
      </c>
      <c r="L389" s="56">
        <f t="shared" si="25"/>
        <v>204075.73</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200000</v>
      </c>
      <c r="H394" s="139">
        <f>SUM(H388:H393)</f>
        <v>4075.73</v>
      </c>
      <c r="I394" s="65">
        <f>SUM(I388:I393)</f>
        <v>0</v>
      </c>
      <c r="J394" s="45" t="s">
        <v>288</v>
      </c>
      <c r="K394" s="45" t="s">
        <v>288</v>
      </c>
      <c r="L394" s="47">
        <f>SUM(L388:L393)</f>
        <v>204075.73</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v>50000</v>
      </c>
      <c r="H398" s="18">
        <v>1490.9</v>
      </c>
      <c r="I398" s="18"/>
      <c r="J398" s="24" t="s">
        <v>288</v>
      </c>
      <c r="K398" s="24" t="s">
        <v>288</v>
      </c>
      <c r="L398" s="56">
        <f t="shared" si="26"/>
        <v>51490.9</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50000</v>
      </c>
      <c r="H402" s="47">
        <f>SUM(H396:H401)</f>
        <v>1490.9</v>
      </c>
      <c r="I402" s="47">
        <f>SUM(I396:I401)</f>
        <v>0</v>
      </c>
      <c r="J402" s="45" t="s">
        <v>288</v>
      </c>
      <c r="K402" s="45" t="s">
        <v>288</v>
      </c>
      <c r="L402" s="47">
        <f>SUM(L396:L401)</f>
        <v>51490.9</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250000</v>
      </c>
      <c r="H409" s="47">
        <f>H394+H402+H408</f>
        <v>5566.63</v>
      </c>
      <c r="I409" s="47">
        <f>I394+I402+I408</f>
        <v>0</v>
      </c>
      <c r="J409" s="24" t="s">
        <v>288</v>
      </c>
      <c r="K409" s="24" t="s">
        <v>288</v>
      </c>
      <c r="L409" s="47">
        <f>L394+L402+L408</f>
        <v>255566.63</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f>454771.46+153116.06</f>
        <v>607887.52</v>
      </c>
      <c r="G441" s="18"/>
      <c r="H441" s="18"/>
      <c r="I441" s="56">
        <f t="shared" si="33"/>
        <v>607887.52</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607887.52</v>
      </c>
      <c r="G447" s="13">
        <f>SUM(G440:G446)</f>
        <v>0</v>
      </c>
      <c r="H447" s="13">
        <f>SUM(H440:H446)</f>
        <v>0</v>
      </c>
      <c r="I447" s="13">
        <f>SUM(I440:I446)</f>
        <v>607887.52</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607887.52</v>
      </c>
      <c r="G460" s="18"/>
      <c r="H460" s="18"/>
      <c r="I460" s="56">
        <f t="shared" si="34"/>
        <v>607887.52</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607887.52</v>
      </c>
      <c r="G461" s="83">
        <f>SUM(G455:G460)</f>
        <v>0</v>
      </c>
      <c r="H461" s="83">
        <f>SUM(H455:H460)</f>
        <v>0</v>
      </c>
      <c r="I461" s="83">
        <f>SUM(I455:I460)</f>
        <v>607887.52</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607887.52</v>
      </c>
      <c r="G462" s="42">
        <f>G453+G461</f>
        <v>0</v>
      </c>
      <c r="H462" s="42">
        <f>H453+H461</f>
        <v>0</v>
      </c>
      <c r="I462" s="42">
        <f>I453+I461</f>
        <v>607887.52</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553888.93000000005</v>
      </c>
      <c r="G466" s="18">
        <f>60467.5+1384</f>
        <v>61851.5</v>
      </c>
      <c r="H466" s="18">
        <v>56828.4</v>
      </c>
      <c r="I466" s="18"/>
      <c r="J466" s="18">
        <v>352320.89</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18859134.48</v>
      </c>
      <c r="G469" s="18">
        <f>248321.04+53112.56</f>
        <v>301433.59999999998</v>
      </c>
      <c r="H469" s="18">
        <f>517832.74+9900</f>
        <v>527732.74</v>
      </c>
      <c r="I469" s="18"/>
      <c r="J469" s="18">
        <v>255566.63</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18859134.48</v>
      </c>
      <c r="G471" s="53">
        <f>SUM(G469:G470)</f>
        <v>301433.59999999998</v>
      </c>
      <c r="H471" s="53">
        <f>SUM(H469:H470)</f>
        <v>527732.74</v>
      </c>
      <c r="I471" s="53">
        <f>SUM(I469:I470)</f>
        <v>0</v>
      </c>
      <c r="J471" s="53">
        <f>SUM(J469:J470)</f>
        <v>255566.63</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18700296.190000001</v>
      </c>
      <c r="G473" s="18">
        <v>363285.1</v>
      </c>
      <c r="H473" s="18">
        <v>554835.85</v>
      </c>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18700296.190000001</v>
      </c>
      <c r="G475" s="53">
        <f>SUM(G473:G474)</f>
        <v>363285.1</v>
      </c>
      <c r="H475" s="53">
        <f>SUM(H473:H474)</f>
        <v>554835.85</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712727.21999999881</v>
      </c>
      <c r="G477" s="53">
        <f>(G466+G471)- G475</f>
        <v>0</v>
      </c>
      <c r="H477" s="53">
        <f>(H466+H471)- H475</f>
        <v>29725.290000000037</v>
      </c>
      <c r="I477" s="53">
        <f>(I466+I471)- I475</f>
        <v>0</v>
      </c>
      <c r="J477" s="53">
        <f>(J466+J471)- J475</f>
        <v>607887.52</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20</v>
      </c>
      <c r="G491" s="154">
        <v>10</v>
      </c>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1642</v>
      </c>
      <c r="G492" s="155" t="s">
        <v>1643</v>
      </c>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1644</v>
      </c>
      <c r="G493" s="155" t="s">
        <v>1645</v>
      </c>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12072350</v>
      </c>
      <c r="G494" s="18">
        <v>974600</v>
      </c>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4.13</v>
      </c>
      <c r="G495" s="18">
        <v>2.57</v>
      </c>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5530000</v>
      </c>
      <c r="G496" s="18">
        <v>974600</v>
      </c>
      <c r="H496" s="18"/>
      <c r="I496" s="18"/>
      <c r="J496" s="18"/>
      <c r="K496" s="53">
        <f>SUM(F496:J496)</f>
        <v>6504600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695000</v>
      </c>
      <c r="G498" s="18">
        <v>104600</v>
      </c>
      <c r="H498" s="18"/>
      <c r="I498" s="18"/>
      <c r="J498" s="18"/>
      <c r="K498" s="53">
        <f t="shared" si="35"/>
        <v>799600</v>
      </c>
      <c r="L498" s="24" t="s">
        <v>288</v>
      </c>
      <c r="N498" s="265"/>
    </row>
    <row r="499" spans="1:14" s="52" customFormat="1" ht="12.2" customHeight="1" x14ac:dyDescent="0.2">
      <c r="A499" s="200" t="s">
        <v>622</v>
      </c>
      <c r="B499" s="201">
        <v>20</v>
      </c>
      <c r="C499" s="202">
        <v>9</v>
      </c>
      <c r="D499" s="203" t="s">
        <v>432</v>
      </c>
      <c r="E499" s="202"/>
      <c r="F499" s="204">
        <v>4835000</v>
      </c>
      <c r="G499" s="204">
        <v>870000</v>
      </c>
      <c r="H499" s="204"/>
      <c r="I499" s="204"/>
      <c r="J499" s="204"/>
      <c r="K499" s="205">
        <f t="shared" si="35"/>
        <v>5705000</v>
      </c>
      <c r="L499" s="206" t="s">
        <v>288</v>
      </c>
      <c r="N499" s="265"/>
    </row>
    <row r="500" spans="1:14" s="52" customFormat="1" ht="12.2" customHeight="1" thickBot="1" x14ac:dyDescent="0.25">
      <c r="A500" s="22" t="s">
        <v>623</v>
      </c>
      <c r="B500" s="75">
        <v>20</v>
      </c>
      <c r="C500" s="115">
        <v>10</v>
      </c>
      <c r="D500" s="2" t="s">
        <v>432</v>
      </c>
      <c r="E500" s="115"/>
      <c r="F500" s="18">
        <v>425785.25</v>
      </c>
      <c r="G500" s="18">
        <v>197370</v>
      </c>
      <c r="H500" s="18"/>
      <c r="I500" s="18"/>
      <c r="J500" s="18"/>
      <c r="K500" s="53">
        <f t="shared" si="35"/>
        <v>623155.25</v>
      </c>
      <c r="L500" s="24" t="s">
        <v>288</v>
      </c>
      <c r="N500" s="265"/>
    </row>
    <row r="501" spans="1:14" s="52" customFormat="1" ht="12.2" customHeight="1" thickTop="1" x14ac:dyDescent="0.2">
      <c r="A501" s="139" t="s">
        <v>624</v>
      </c>
      <c r="B501" s="44">
        <v>20</v>
      </c>
      <c r="C501" s="195">
        <v>11</v>
      </c>
      <c r="D501" s="39" t="s">
        <v>432</v>
      </c>
      <c r="E501" s="195"/>
      <c r="F501" s="42">
        <f>SUM(F499:F500)</f>
        <v>5260785.25</v>
      </c>
      <c r="G501" s="42">
        <f>SUM(G499:G500)</f>
        <v>1067370</v>
      </c>
      <c r="H501" s="42">
        <f>SUM(H499:H500)</f>
        <v>0</v>
      </c>
      <c r="I501" s="42">
        <f>SUM(I499:I500)</f>
        <v>0</v>
      </c>
      <c r="J501" s="42">
        <f>SUM(J499:J500)</f>
        <v>0</v>
      </c>
      <c r="K501" s="42">
        <f t="shared" si="35"/>
        <v>6328155.25</v>
      </c>
      <c r="L501" s="45" t="s">
        <v>288</v>
      </c>
      <c r="N501" s="265"/>
    </row>
    <row r="502" spans="1:14" s="52" customFormat="1" ht="12.2" customHeight="1" x14ac:dyDescent="0.2">
      <c r="A502" s="200" t="s">
        <v>651</v>
      </c>
      <c r="B502" s="201">
        <v>20</v>
      </c>
      <c r="C502" s="202">
        <v>12</v>
      </c>
      <c r="D502" s="203" t="s">
        <v>432</v>
      </c>
      <c r="E502" s="202"/>
      <c r="F502" s="204">
        <v>720000</v>
      </c>
      <c r="G502" s="204">
        <v>100000</v>
      </c>
      <c r="H502" s="204"/>
      <c r="I502" s="204"/>
      <c r="J502" s="204"/>
      <c r="K502" s="205">
        <f t="shared" si="35"/>
        <v>820000</v>
      </c>
      <c r="L502" s="206" t="s">
        <v>288</v>
      </c>
      <c r="N502" s="265"/>
    </row>
    <row r="503" spans="1:14" s="52" customFormat="1" ht="12.2" customHeight="1" thickBot="1" x14ac:dyDescent="0.25">
      <c r="A503" s="22" t="s">
        <v>625</v>
      </c>
      <c r="B503" s="75">
        <v>20</v>
      </c>
      <c r="C503" s="115">
        <v>13</v>
      </c>
      <c r="D503" s="2" t="s">
        <v>432</v>
      </c>
      <c r="E503" s="115"/>
      <c r="F503" s="18">
        <f>55454.75+89808.75</f>
        <v>145263.5</v>
      </c>
      <c r="G503" s="18">
        <f>22185+19635</f>
        <v>41820</v>
      </c>
      <c r="H503" s="18"/>
      <c r="I503" s="18"/>
      <c r="J503" s="18"/>
      <c r="K503" s="53">
        <f t="shared" si="35"/>
        <v>187083.5</v>
      </c>
      <c r="L503" s="24" t="s">
        <v>288</v>
      </c>
      <c r="N503" s="265"/>
    </row>
    <row r="504" spans="1:14" s="52" customFormat="1" ht="12.2" customHeight="1" thickTop="1" x14ac:dyDescent="0.2">
      <c r="A504" s="139" t="s">
        <v>626</v>
      </c>
      <c r="B504" s="44">
        <v>20</v>
      </c>
      <c r="C504" s="195">
        <v>14</v>
      </c>
      <c r="D504" s="39" t="s">
        <v>432</v>
      </c>
      <c r="E504" s="195"/>
      <c r="F504" s="42">
        <f>SUM(F502:F503)</f>
        <v>865263.5</v>
      </c>
      <c r="G504" s="42">
        <f>SUM(G502:G503)</f>
        <v>141820</v>
      </c>
      <c r="H504" s="42">
        <f>SUM(H502:H503)</f>
        <v>0</v>
      </c>
      <c r="I504" s="42">
        <f>SUM(I502:I503)</f>
        <v>0</v>
      </c>
      <c r="J504" s="42">
        <f>SUM(J502:J503)</f>
        <v>0</v>
      </c>
      <c r="K504" s="42">
        <f t="shared" si="35"/>
        <v>1007083.5</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328776.56+102624.67+299886.78+73919.16+22827.88+7864.2+25306.8</f>
        <v>861206.05</v>
      </c>
      <c r="G522" s="18">
        <f>223645+85753.83+4256.97+1767.02+2215.55+45518.6+12457.5+324.38+57891.02+20079.73+10263.4+271.26+1731.91+4525.43</f>
        <v>470701.6</v>
      </c>
      <c r="H522" s="18">
        <f>43528.38+118984.32+29428.54</f>
        <v>191941.24000000002</v>
      </c>
      <c r="I522" s="18">
        <f>2189.02+2128.59+454.45+91.99+934.99+1767.9+3425+41.11+121.84+62.97</f>
        <v>11217.86</v>
      </c>
      <c r="J522" s="18">
        <f>823.99+404.98+2654.09+60</f>
        <v>3943.0600000000004</v>
      </c>
      <c r="K522" s="18"/>
      <c r="L522" s="88">
        <f>SUM(F522:K522)</f>
        <v>1539009.81</v>
      </c>
      <c r="N522" s="265"/>
    </row>
    <row r="523" spans="1:14" s="52" customFormat="1" ht="12.2" customHeight="1" x14ac:dyDescent="0.2">
      <c r="A523" s="22" t="s">
        <v>634</v>
      </c>
      <c r="B523" s="105">
        <v>21</v>
      </c>
      <c r="C523" s="115">
        <v>2</v>
      </c>
      <c r="D523" s="2" t="s">
        <v>432</v>
      </c>
      <c r="E523" s="115"/>
      <c r="F523" s="18">
        <f>130805.19+110735.02+9681.86+3335.4+10733.23</f>
        <v>265290.7</v>
      </c>
      <c r="G523" s="18">
        <f>119036.71+2665.55+1041.54+18868.64+152.49+32451.85+4352.96+115.05+734.55+1919.35</f>
        <v>181338.68999999997</v>
      </c>
      <c r="H523" s="18">
        <f>13270.53+79058.4+39087.78</f>
        <v>131416.71</v>
      </c>
      <c r="I523" s="18">
        <f>2191.31+749.81+17.44+320+51.68+26.71</f>
        <v>3356.95</v>
      </c>
      <c r="J523" s="18">
        <f>135.48+179.77</f>
        <v>315.25</v>
      </c>
      <c r="K523" s="18"/>
      <c r="L523" s="88">
        <f>SUM(F523:K523)</f>
        <v>581718.29999999993</v>
      </c>
      <c r="N523" s="265"/>
    </row>
    <row r="524" spans="1:14" s="52" customFormat="1" ht="12.2" customHeight="1" thickBot="1" x14ac:dyDescent="0.25">
      <c r="A524" s="22" t="s">
        <v>635</v>
      </c>
      <c r="B524" s="105">
        <v>21</v>
      </c>
      <c r="C524" s="115">
        <v>3</v>
      </c>
      <c r="D524" s="2" t="s">
        <v>432</v>
      </c>
      <c r="E524" s="115"/>
      <c r="F524" s="18">
        <f>145190.01+62665.58+11902.47+4100.4+13194.99</f>
        <v>237053.45</v>
      </c>
      <c r="G524" s="18">
        <f>67611.5+1717.58+1311.06+14647.12+191.95+22461.79+5351.34+141.44+903.02+2359.56</f>
        <v>116696.36</v>
      </c>
      <c r="H524" s="18">
        <f>157202.61+41269.1+44502.48+64592.38</f>
        <v>307566.57</v>
      </c>
      <c r="I524" s="18">
        <f>2041.81+44.47+1166.25+921.79+21.43+400+63.53+32.83</f>
        <v>4692.1099999999997</v>
      </c>
      <c r="J524" s="18">
        <v>0</v>
      </c>
      <c r="K524" s="18"/>
      <c r="L524" s="88">
        <f>SUM(F524:K524)</f>
        <v>666008.49</v>
      </c>
      <c r="N524" s="265"/>
    </row>
    <row r="525" spans="1:14" s="52" customFormat="1" ht="12.2" customHeight="1" thickTop="1" x14ac:dyDescent="0.2">
      <c r="A525" s="139" t="s">
        <v>63</v>
      </c>
      <c r="B525" s="107">
        <v>21</v>
      </c>
      <c r="C525" s="195">
        <v>4</v>
      </c>
      <c r="D525" s="196" t="s">
        <v>432</v>
      </c>
      <c r="E525" s="195"/>
      <c r="F525" s="108">
        <f>SUM(F522:F524)</f>
        <v>1363550.2</v>
      </c>
      <c r="G525" s="108">
        <f t="shared" ref="G525:L525" si="36">SUM(G522:G524)</f>
        <v>768736.64999999991</v>
      </c>
      <c r="H525" s="108">
        <f t="shared" si="36"/>
        <v>630924.52</v>
      </c>
      <c r="I525" s="108">
        <f t="shared" si="36"/>
        <v>19266.920000000002</v>
      </c>
      <c r="J525" s="108">
        <f t="shared" si="36"/>
        <v>4258.3100000000004</v>
      </c>
      <c r="K525" s="108">
        <f t="shared" si="36"/>
        <v>0</v>
      </c>
      <c r="L525" s="89">
        <f t="shared" si="36"/>
        <v>2786736.5999999996</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f>53057.55+66961.87+935.48+64613.91</f>
        <v>185568.81</v>
      </c>
      <c r="G527" s="18">
        <f>28001.1+717.18+3687.19+12048.55+27917.99+928.65+4740+12124.58+16190.43+779.4+4620.1+11524.13</f>
        <v>123279.29999999999</v>
      </c>
      <c r="H527" s="18">
        <f>33859.97+54287.06+2438.14+2623.7+23901.59+5242.87</f>
        <v>122353.32999999999</v>
      </c>
      <c r="I527" s="18">
        <f>940.54+614.01+236.44+432.15+785.34+51.66+51.66+174.24+621.7+760.55+18.5</f>
        <v>4686.79</v>
      </c>
      <c r="J527" s="18">
        <f>231.22+100.44</f>
        <v>331.65999999999997</v>
      </c>
      <c r="K527" s="18"/>
      <c r="L527" s="88">
        <f>SUM(F527:K527)</f>
        <v>436219.8899999999</v>
      </c>
      <c r="M527" s="8"/>
      <c r="N527" s="266"/>
    </row>
    <row r="528" spans="1:14" s="3" customFormat="1" ht="12.2" customHeight="1" x14ac:dyDescent="0.15">
      <c r="A528" s="22" t="s">
        <v>634</v>
      </c>
      <c r="B528" s="105">
        <v>21</v>
      </c>
      <c r="C528" s="115">
        <v>6</v>
      </c>
      <c r="D528" s="2" t="s">
        <v>432</v>
      </c>
      <c r="E528" s="115"/>
      <c r="F528" s="18">
        <f>22503.01+28400.17+396.76+27404.34</f>
        <v>78704.28</v>
      </c>
      <c r="G528" s="18">
        <f>11875.95+304.17+1563.83+5110.09+11840.7+393.86+2010.35+5142.33+6866.76+330.56+1959.5+4887.67</f>
        <v>52285.770000000004</v>
      </c>
      <c r="H528" s="18">
        <f>14360.84+23024.47+1034.08+1112.78+10137.25+2223.63</f>
        <v>51893.049999999996</v>
      </c>
      <c r="I528" s="18">
        <f>398.91+260.42+100.28+183.28+333.08+21.91+21.91+73.9+263.68+322.57+7.85</f>
        <v>1987.7900000000002</v>
      </c>
      <c r="J528" s="18">
        <f>98.07+42.6</f>
        <v>140.66999999999999</v>
      </c>
      <c r="K528" s="18"/>
      <c r="L528" s="88">
        <f>SUM(F528:K528)</f>
        <v>185011.56000000003</v>
      </c>
      <c r="M528" s="8"/>
      <c r="N528" s="266"/>
    </row>
    <row r="529" spans="1:14" s="3" customFormat="1" ht="12.2" customHeight="1" thickBot="1" x14ac:dyDescent="0.2">
      <c r="A529" s="22" t="s">
        <v>635</v>
      </c>
      <c r="B529" s="118">
        <v>21</v>
      </c>
      <c r="C529" s="118">
        <v>7</v>
      </c>
      <c r="D529" s="2" t="s">
        <v>432</v>
      </c>
      <c r="E529" s="118"/>
      <c r="F529" s="18">
        <f>27664.25+34913.97+487.76+33689.74</f>
        <v>96755.72</v>
      </c>
      <c r="G529" s="18">
        <f>14599.79+373.94+1922.51+6282.12+14556.46+484.2+2471.44+6321.76+8441.71+406.38+2408.92+6008.69</f>
        <v>64277.919999999998</v>
      </c>
      <c r="H529" s="18">
        <f>17654.62+28305.32+1271.25+1368+12462.31+2733.64</f>
        <v>63795.14</v>
      </c>
      <c r="I529" s="18">
        <f>490.4+320.14+123.28+225.32+409.47+26.93+26.93+90.85+324.16+396.55+9.65</f>
        <v>2443.6800000000003</v>
      </c>
      <c r="J529" s="18">
        <f>120.56+52.37</f>
        <v>172.93</v>
      </c>
      <c r="K529" s="18"/>
      <c r="L529" s="88">
        <f>SUM(F529:K529)</f>
        <v>227445.39</v>
      </c>
      <c r="M529" s="8"/>
      <c r="N529" s="266"/>
    </row>
    <row r="530" spans="1:14" s="3" customFormat="1" ht="12.2" customHeight="1" thickTop="1" x14ac:dyDescent="0.15">
      <c r="A530" s="139" t="s">
        <v>65</v>
      </c>
      <c r="B530" s="107">
        <v>21</v>
      </c>
      <c r="C530" s="107">
        <v>8</v>
      </c>
      <c r="D530" s="158" t="s">
        <v>432</v>
      </c>
      <c r="E530" s="107"/>
      <c r="F530" s="89">
        <f>SUM(F527:F529)</f>
        <v>361028.80999999994</v>
      </c>
      <c r="G530" s="89">
        <f t="shared" ref="G530:L530" si="37">SUM(G527:G529)</f>
        <v>239842.99</v>
      </c>
      <c r="H530" s="89">
        <f t="shared" si="37"/>
        <v>238041.51999999996</v>
      </c>
      <c r="I530" s="89">
        <f t="shared" si="37"/>
        <v>9118.26</v>
      </c>
      <c r="J530" s="89">
        <f t="shared" si="37"/>
        <v>645.26</v>
      </c>
      <c r="K530" s="89">
        <f t="shared" si="37"/>
        <v>0</v>
      </c>
      <c r="L530" s="89">
        <f t="shared" si="37"/>
        <v>848676.84</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f>52026.57+46494.56</f>
        <v>98521.13</v>
      </c>
      <c r="G532" s="18">
        <f>32208.07+1499.41+7131.61+5234.83+9260.71+257+115.65</f>
        <v>55707.280000000006</v>
      </c>
      <c r="H532" s="18">
        <f>4439.32+308.4+7.53+1700.1</f>
        <v>6455.3499999999985</v>
      </c>
      <c r="I532" s="18">
        <f>873.9+64.25+904.64</f>
        <v>1842.79</v>
      </c>
      <c r="J532" s="18"/>
      <c r="K532" s="18">
        <f>534.86</f>
        <v>534.86</v>
      </c>
      <c r="L532" s="88">
        <f>SUM(F532:K532)</f>
        <v>163061.41</v>
      </c>
      <c r="M532" s="8"/>
      <c r="N532" s="266"/>
    </row>
    <row r="533" spans="1:14" s="3" customFormat="1" ht="12.2" customHeight="1" x14ac:dyDescent="0.15">
      <c r="A533" s="22" t="s">
        <v>634</v>
      </c>
      <c r="B533" s="105">
        <v>21</v>
      </c>
      <c r="C533" s="105">
        <v>10</v>
      </c>
      <c r="D533" s="2" t="s">
        <v>432</v>
      </c>
      <c r="E533" s="105"/>
      <c r="F533" s="18">
        <f>22065.74+19719.48</f>
        <v>41785.22</v>
      </c>
      <c r="G533" s="18">
        <f>13660.23+635.94+3024.69+2220.22+3927.7+109+49.05</f>
        <v>23626.83</v>
      </c>
      <c r="H533" s="18">
        <f>1882.82+130.8+3.19+721.05</f>
        <v>2737.8599999999997</v>
      </c>
      <c r="I533" s="18">
        <f>370.64+27.25+383.68</f>
        <v>781.56999999999994</v>
      </c>
      <c r="J533" s="18"/>
      <c r="K533" s="18">
        <f>226.85</f>
        <v>226.85</v>
      </c>
      <c r="L533" s="88">
        <f>SUM(F533:K533)</f>
        <v>69158.330000000016</v>
      </c>
      <c r="M533" s="8"/>
      <c r="N533" s="266"/>
    </row>
    <row r="534" spans="1:14" s="3" customFormat="1" ht="12.2" customHeight="1" thickBot="1" x14ac:dyDescent="0.2">
      <c r="A534" s="22" t="s">
        <v>635</v>
      </c>
      <c r="B534" s="105">
        <v>21</v>
      </c>
      <c r="C534" s="105">
        <v>11</v>
      </c>
      <c r="D534" s="2" t="s">
        <v>432</v>
      </c>
      <c r="E534" s="105"/>
      <c r="F534" s="18">
        <f>27126.69+24242.3</f>
        <v>51368.99</v>
      </c>
      <c r="G534" s="18">
        <f>16793.31+781.79+3718.42+2729.44+4828.54+134+60.3</f>
        <v>29045.800000000003</v>
      </c>
      <c r="H534" s="18">
        <f>2314.66+160.8+3.93+886.43</f>
        <v>3365.8199999999997</v>
      </c>
      <c r="I534" s="18">
        <f>455.65+33.5+471.68</f>
        <v>960.82999999999993</v>
      </c>
      <c r="J534" s="18"/>
      <c r="K534" s="18">
        <f>278.88</f>
        <v>278.88</v>
      </c>
      <c r="L534" s="88">
        <f>SUM(F534:K534)</f>
        <v>85020.320000000022</v>
      </c>
      <c r="M534" s="8"/>
      <c r="N534" s="266"/>
    </row>
    <row r="535" spans="1:14" s="3" customFormat="1" ht="12.2" customHeight="1" thickTop="1" x14ac:dyDescent="0.15">
      <c r="A535" s="139" t="s">
        <v>67</v>
      </c>
      <c r="B535" s="107">
        <v>21</v>
      </c>
      <c r="C535" s="107">
        <v>12</v>
      </c>
      <c r="D535" s="158" t="s">
        <v>432</v>
      </c>
      <c r="E535" s="107"/>
      <c r="F535" s="89">
        <f>SUM(F532:F534)</f>
        <v>191675.34</v>
      </c>
      <c r="G535" s="89">
        <f t="shared" ref="G535:L535" si="38">SUM(G532:G534)</f>
        <v>108379.91000000002</v>
      </c>
      <c r="H535" s="89">
        <f t="shared" si="38"/>
        <v>12559.029999999999</v>
      </c>
      <c r="I535" s="89">
        <f t="shared" si="38"/>
        <v>3585.1899999999996</v>
      </c>
      <c r="J535" s="89">
        <f t="shared" si="38"/>
        <v>0</v>
      </c>
      <c r="K535" s="89">
        <f t="shared" si="38"/>
        <v>1040.5900000000001</v>
      </c>
      <c r="L535" s="89">
        <f t="shared" si="38"/>
        <v>317240.06000000006</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f>1224.52</f>
        <v>1224.52</v>
      </c>
      <c r="I537" s="18"/>
      <c r="J537" s="18"/>
      <c r="K537" s="18"/>
      <c r="L537" s="88">
        <f>SUM(F537:K537)</f>
        <v>1224.52</v>
      </c>
      <c r="M537" s="8"/>
      <c r="N537" s="266"/>
    </row>
    <row r="538" spans="1:14" s="3" customFormat="1" ht="12.2" customHeight="1" x14ac:dyDescent="0.15">
      <c r="A538" s="22" t="s">
        <v>634</v>
      </c>
      <c r="B538" s="105">
        <v>21</v>
      </c>
      <c r="C538" s="105">
        <v>14</v>
      </c>
      <c r="D538" s="2" t="s">
        <v>432</v>
      </c>
      <c r="E538" s="105"/>
      <c r="F538" s="18"/>
      <c r="G538" s="18"/>
      <c r="H538" s="18">
        <f>519.35</f>
        <v>519.35</v>
      </c>
      <c r="I538" s="18"/>
      <c r="J538" s="18"/>
      <c r="K538" s="18"/>
      <c r="L538" s="88">
        <f>SUM(F538:K538)</f>
        <v>519.35</v>
      </c>
      <c r="M538" s="8"/>
      <c r="N538" s="266"/>
    </row>
    <row r="539" spans="1:14" s="3" customFormat="1" ht="12.2" customHeight="1" thickBot="1" x14ac:dyDescent="0.2">
      <c r="A539" s="22" t="s">
        <v>635</v>
      </c>
      <c r="B539" s="105">
        <v>21</v>
      </c>
      <c r="C539" s="105">
        <v>15</v>
      </c>
      <c r="D539" s="2" t="s">
        <v>432</v>
      </c>
      <c r="E539" s="105"/>
      <c r="F539" s="18"/>
      <c r="G539" s="18"/>
      <c r="H539" s="18">
        <f>638.45</f>
        <v>638.45000000000005</v>
      </c>
      <c r="I539" s="18"/>
      <c r="J539" s="18"/>
      <c r="K539" s="18"/>
      <c r="L539" s="88">
        <f>SUM(F539:K539)</f>
        <v>638.45000000000005</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2382.3199999999997</v>
      </c>
      <c r="I540" s="89">
        <f t="shared" si="39"/>
        <v>0</v>
      </c>
      <c r="J540" s="89">
        <f t="shared" si="39"/>
        <v>0</v>
      </c>
      <c r="K540" s="89">
        <f t="shared" si="39"/>
        <v>0</v>
      </c>
      <c r="L540" s="89">
        <f t="shared" si="39"/>
        <v>2382.3199999999997</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f>157191.48</f>
        <v>157191.48000000001</v>
      </c>
      <c r="G542" s="18"/>
      <c r="H542" s="18"/>
      <c r="I542" s="18"/>
      <c r="J542" s="18"/>
      <c r="K542" s="18"/>
      <c r="L542" s="88">
        <f>SUM(F542:K542)</f>
        <v>157191.48000000001</v>
      </c>
      <c r="M542" s="8"/>
      <c r="N542" s="266"/>
    </row>
    <row r="543" spans="1:14" s="3" customFormat="1" ht="12.2" customHeight="1" x14ac:dyDescent="0.15">
      <c r="A543" s="22" t="s">
        <v>634</v>
      </c>
      <c r="B543" s="105">
        <v>21</v>
      </c>
      <c r="C543" s="105">
        <v>18</v>
      </c>
      <c r="D543" s="2" t="s">
        <v>432</v>
      </c>
      <c r="E543" s="105"/>
      <c r="F543" s="18">
        <f>37687.52</f>
        <v>37687.519999999997</v>
      </c>
      <c r="G543" s="18"/>
      <c r="H543" s="18"/>
      <c r="I543" s="18"/>
      <c r="J543" s="18"/>
      <c r="K543" s="18"/>
      <c r="L543" s="88">
        <f>SUM(F543:K543)</f>
        <v>37687.519999999997</v>
      </c>
      <c r="M543" s="8"/>
      <c r="N543" s="266"/>
    </row>
    <row r="544" spans="1:14" s="3" customFormat="1" ht="12.2" customHeight="1" thickBot="1" x14ac:dyDescent="0.2">
      <c r="A544" s="22" t="s">
        <v>635</v>
      </c>
      <c r="B544" s="105">
        <v>21</v>
      </c>
      <c r="C544" s="105">
        <v>19</v>
      </c>
      <c r="D544" s="2" t="s">
        <v>432</v>
      </c>
      <c r="E544" s="105"/>
      <c r="F544" s="18">
        <f>29100</f>
        <v>29100</v>
      </c>
      <c r="G544" s="18"/>
      <c r="H544" s="18"/>
      <c r="I544" s="18"/>
      <c r="J544" s="18"/>
      <c r="K544" s="18"/>
      <c r="L544" s="88">
        <f>SUM(F544:K544)</f>
        <v>29100</v>
      </c>
      <c r="M544" s="8"/>
      <c r="N544" s="266"/>
    </row>
    <row r="545" spans="1:14" s="3" customFormat="1" ht="12.2" customHeight="1" thickTop="1" thickBot="1" x14ac:dyDescent="0.2">
      <c r="A545" s="130" t="s">
        <v>71</v>
      </c>
      <c r="B545" s="191">
        <v>21</v>
      </c>
      <c r="C545" s="191">
        <v>20</v>
      </c>
      <c r="D545" s="192" t="s">
        <v>432</v>
      </c>
      <c r="E545" s="191"/>
      <c r="F545" s="193">
        <f>SUM(F542:F544)</f>
        <v>223979</v>
      </c>
      <c r="G545" s="193">
        <f t="shared" ref="G545:L545" si="40">SUM(G542:G544)</f>
        <v>0</v>
      </c>
      <c r="H545" s="193">
        <f t="shared" si="40"/>
        <v>0</v>
      </c>
      <c r="I545" s="193">
        <f t="shared" si="40"/>
        <v>0</v>
      </c>
      <c r="J545" s="193">
        <f t="shared" si="40"/>
        <v>0</v>
      </c>
      <c r="K545" s="193">
        <f t="shared" si="40"/>
        <v>0</v>
      </c>
      <c r="L545" s="193">
        <f t="shared" si="40"/>
        <v>223979</v>
      </c>
      <c r="M545" s="8"/>
      <c r="N545" s="266"/>
    </row>
    <row r="546" spans="1:14" s="3" customFormat="1" ht="12.2" customHeight="1" thickTop="1" x14ac:dyDescent="0.15">
      <c r="A546" s="98" t="s">
        <v>72</v>
      </c>
      <c r="B546" s="107">
        <v>21</v>
      </c>
      <c r="C546" s="107">
        <v>21</v>
      </c>
      <c r="D546" s="158" t="s">
        <v>432</v>
      </c>
      <c r="E546" s="107"/>
      <c r="F546" s="89">
        <f>F525+F530+F535+F540+F545</f>
        <v>2140233.3499999996</v>
      </c>
      <c r="G546" s="89">
        <f t="shared" ref="G546:L546" si="41">G525+G530+G535+G540+G545</f>
        <v>1116959.5499999998</v>
      </c>
      <c r="H546" s="89">
        <f t="shared" si="41"/>
        <v>883907.39</v>
      </c>
      <c r="I546" s="89">
        <f t="shared" si="41"/>
        <v>31970.37</v>
      </c>
      <c r="J546" s="89">
        <f t="shared" si="41"/>
        <v>4903.5700000000006</v>
      </c>
      <c r="K546" s="89">
        <f t="shared" si="41"/>
        <v>1040.5900000000001</v>
      </c>
      <c r="L546" s="89">
        <f t="shared" si="41"/>
        <v>4179014.8199999994</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1539009.81</v>
      </c>
      <c r="G550" s="87">
        <f>L527</f>
        <v>436219.8899999999</v>
      </c>
      <c r="H550" s="87">
        <f>L532</f>
        <v>163061.41</v>
      </c>
      <c r="I550" s="87">
        <f>L537</f>
        <v>1224.52</v>
      </c>
      <c r="J550" s="87">
        <f>L542</f>
        <v>157191.48000000001</v>
      </c>
      <c r="K550" s="87">
        <f>SUM(F550:J550)</f>
        <v>2296707.11</v>
      </c>
      <c r="L550" s="24" t="s">
        <v>288</v>
      </c>
      <c r="M550" s="8"/>
      <c r="N550" s="266"/>
    </row>
    <row r="551" spans="1:14" s="3" customFormat="1" ht="12.2" customHeight="1" x14ac:dyDescent="0.15">
      <c r="A551" s="22" t="s">
        <v>634</v>
      </c>
      <c r="B551" s="75">
        <v>21</v>
      </c>
      <c r="C551" s="75">
        <v>23</v>
      </c>
      <c r="D551" s="2" t="s">
        <v>432</v>
      </c>
      <c r="E551" s="75"/>
      <c r="F551" s="87">
        <f>L523</f>
        <v>581718.29999999993</v>
      </c>
      <c r="G551" s="87">
        <f>L528</f>
        <v>185011.56000000003</v>
      </c>
      <c r="H551" s="87">
        <f>L533</f>
        <v>69158.330000000016</v>
      </c>
      <c r="I551" s="87">
        <f>L538</f>
        <v>519.35</v>
      </c>
      <c r="J551" s="87">
        <f>L543</f>
        <v>37687.519999999997</v>
      </c>
      <c r="K551" s="87">
        <f>SUM(F551:J551)</f>
        <v>874095.05999999994</v>
      </c>
      <c r="L551" s="24" t="s">
        <v>288</v>
      </c>
      <c r="M551" s="8"/>
      <c r="N551" s="266"/>
    </row>
    <row r="552" spans="1:14" s="3" customFormat="1" ht="12.2" customHeight="1" thickBot="1" x14ac:dyDescent="0.2">
      <c r="A552" s="22" t="s">
        <v>635</v>
      </c>
      <c r="B552" s="75">
        <v>21</v>
      </c>
      <c r="C552" s="75">
        <v>24</v>
      </c>
      <c r="D552" s="2" t="s">
        <v>432</v>
      </c>
      <c r="E552" s="75"/>
      <c r="F552" s="87">
        <f>L524</f>
        <v>666008.49</v>
      </c>
      <c r="G552" s="87">
        <f>L529</f>
        <v>227445.39</v>
      </c>
      <c r="H552" s="87">
        <f>L534</f>
        <v>85020.320000000022</v>
      </c>
      <c r="I552" s="87">
        <f>L539</f>
        <v>638.45000000000005</v>
      </c>
      <c r="J552" s="87">
        <f>L544</f>
        <v>29100</v>
      </c>
      <c r="K552" s="87">
        <f>SUM(F552:J552)</f>
        <v>1008212.65</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2786736.5999999996</v>
      </c>
      <c r="G553" s="89">
        <f t="shared" si="42"/>
        <v>848676.84</v>
      </c>
      <c r="H553" s="89">
        <f t="shared" si="42"/>
        <v>317240.06000000006</v>
      </c>
      <c r="I553" s="89">
        <f t="shared" si="42"/>
        <v>2382.3199999999997</v>
      </c>
      <c r="J553" s="89">
        <f t="shared" si="42"/>
        <v>223979</v>
      </c>
      <c r="K553" s="89">
        <f t="shared" si="42"/>
        <v>4179014.82</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f>25306.8</f>
        <v>25306.799999999999</v>
      </c>
      <c r="G563" s="18">
        <f>10263.4+271.26+1731.91+4525.43</f>
        <v>16792</v>
      </c>
      <c r="H563" s="18"/>
      <c r="I563" s="18">
        <f>121.84+62.97</f>
        <v>184.81</v>
      </c>
      <c r="J563" s="18"/>
      <c r="K563" s="18"/>
      <c r="L563" s="88">
        <f>SUM(F563:K563)</f>
        <v>42283.61</v>
      </c>
      <c r="M563" s="8"/>
      <c r="N563" s="266"/>
    </row>
    <row r="564" spans="1:14" s="3" customFormat="1" ht="12.2" customHeight="1" x14ac:dyDescent="0.15">
      <c r="A564" s="22" t="s">
        <v>634</v>
      </c>
      <c r="B564" s="105">
        <v>22</v>
      </c>
      <c r="C564" s="115">
        <v>6</v>
      </c>
      <c r="D564" s="2" t="s">
        <v>432</v>
      </c>
      <c r="E564" s="115"/>
      <c r="F564" s="18">
        <f>10733.23</f>
        <v>10733.23</v>
      </c>
      <c r="G564" s="18">
        <f>4352.96+115.05+734.55+1919.35</f>
        <v>7121.91</v>
      </c>
      <c r="H564" s="18"/>
      <c r="I564" s="18">
        <f>51.68+26.71</f>
        <v>78.39</v>
      </c>
      <c r="J564" s="18"/>
      <c r="K564" s="18"/>
      <c r="L564" s="88">
        <f>SUM(F564:K564)</f>
        <v>17933.53</v>
      </c>
      <c r="M564" s="8"/>
      <c r="N564" s="266"/>
    </row>
    <row r="565" spans="1:14" s="3" customFormat="1" ht="12.2" customHeight="1" thickBot="1" x14ac:dyDescent="0.2">
      <c r="A565" s="22" t="s">
        <v>635</v>
      </c>
      <c r="B565" s="105">
        <v>22</v>
      </c>
      <c r="C565" s="118">
        <v>7</v>
      </c>
      <c r="D565" s="2" t="s">
        <v>432</v>
      </c>
      <c r="E565" s="118"/>
      <c r="F565" s="18">
        <f>13194.99</f>
        <v>13194.99</v>
      </c>
      <c r="G565" s="18">
        <f>5351.34+141.44+903.02+2359.56</f>
        <v>8755.3599999999988</v>
      </c>
      <c r="H565" s="18"/>
      <c r="I565" s="18">
        <f>63.53+32.83</f>
        <v>96.36</v>
      </c>
      <c r="J565" s="18"/>
      <c r="K565" s="18"/>
      <c r="L565" s="88">
        <f>SUM(F565:K565)</f>
        <v>22046.71</v>
      </c>
      <c r="M565" s="8"/>
      <c r="N565" s="266"/>
    </row>
    <row r="566" spans="1:14" s="3" customFormat="1" ht="12.2" customHeight="1" thickTop="1" x14ac:dyDescent="0.15">
      <c r="A566" s="139" t="s">
        <v>65</v>
      </c>
      <c r="B566" s="107">
        <v>22</v>
      </c>
      <c r="C566" s="107">
        <v>8</v>
      </c>
      <c r="D566" s="196" t="s">
        <v>432</v>
      </c>
      <c r="E566" s="107"/>
      <c r="F566" s="89">
        <f t="shared" ref="F566:L566" si="44">SUM(F563:F565)</f>
        <v>49235.02</v>
      </c>
      <c r="G566" s="89">
        <f t="shared" si="44"/>
        <v>32669.269999999997</v>
      </c>
      <c r="H566" s="89">
        <f t="shared" si="44"/>
        <v>0</v>
      </c>
      <c r="I566" s="89">
        <f t="shared" si="44"/>
        <v>359.56</v>
      </c>
      <c r="J566" s="89">
        <f t="shared" si="44"/>
        <v>0</v>
      </c>
      <c r="K566" s="89">
        <f t="shared" si="44"/>
        <v>0</v>
      </c>
      <c r="L566" s="89">
        <f t="shared" si="44"/>
        <v>82263.850000000006</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49235.02</v>
      </c>
      <c r="G572" s="89">
        <f t="shared" ref="G572:L572" si="46">G561+G566+G571</f>
        <v>32669.269999999997</v>
      </c>
      <c r="H572" s="89">
        <f t="shared" si="46"/>
        <v>0</v>
      </c>
      <c r="I572" s="89">
        <f t="shared" si="46"/>
        <v>359.56</v>
      </c>
      <c r="J572" s="89">
        <f t="shared" si="46"/>
        <v>0</v>
      </c>
      <c r="K572" s="89">
        <f t="shared" si="46"/>
        <v>0</v>
      </c>
      <c r="L572" s="89">
        <f t="shared" si="46"/>
        <v>82263.850000000006</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v>21113.11</v>
      </c>
      <c r="I576" s="87">
        <f>SUM(F576:H576)</f>
        <v>21113.11</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v>41269.1</v>
      </c>
      <c r="I580" s="87">
        <f t="shared" si="47"/>
        <v>41269.1</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v>29428.54</v>
      </c>
      <c r="G581" s="18">
        <v>39087.78</v>
      </c>
      <c r="H581" s="18">
        <v>64592.38</v>
      </c>
      <c r="I581" s="87">
        <f t="shared" si="47"/>
        <v>133108.70000000001</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118984.32000000001</v>
      </c>
      <c r="G583" s="18">
        <v>79058.399999999994</v>
      </c>
      <c r="H583" s="18">
        <v>44502.48</v>
      </c>
      <c r="I583" s="87">
        <f t="shared" si="47"/>
        <v>242545.2</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v>123543</v>
      </c>
      <c r="I585" s="87">
        <f t="shared" si="47"/>
        <v>123543</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206446.03</v>
      </c>
      <c r="I592" s="18">
        <v>87558.82</v>
      </c>
      <c r="J592" s="18">
        <v>107641.12</v>
      </c>
      <c r="K592" s="104">
        <f t="shared" ref="K592:K598" si="48">SUM(H592:J592)</f>
        <v>401645.97</v>
      </c>
      <c r="L592" s="24" t="s">
        <v>288</v>
      </c>
      <c r="M592" s="8"/>
      <c r="N592" s="266"/>
    </row>
    <row r="593" spans="1:14" s="3" customFormat="1" ht="12.2" customHeight="1" x14ac:dyDescent="0.15">
      <c r="A593" s="3" t="s">
        <v>638</v>
      </c>
      <c r="B593" s="75">
        <v>23</v>
      </c>
      <c r="C593" s="75">
        <v>2</v>
      </c>
      <c r="D593" s="2" t="s">
        <v>432</v>
      </c>
      <c r="E593" s="75"/>
      <c r="F593" s="102">
        <v>2722</v>
      </c>
      <c r="G593" s="103" t="s">
        <v>97</v>
      </c>
      <c r="H593" s="18">
        <v>157191.48000000001</v>
      </c>
      <c r="I593" s="18">
        <v>37687.519999999997</v>
      </c>
      <c r="J593" s="18">
        <v>29100</v>
      </c>
      <c r="K593" s="104">
        <f t="shared" si="48"/>
        <v>223979</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v>25998.13</v>
      </c>
      <c r="K594" s="104">
        <f t="shared" si="48"/>
        <v>25998.13</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v>7072.96</v>
      </c>
      <c r="J595" s="18">
        <v>21464.14</v>
      </c>
      <c r="K595" s="104">
        <f t="shared" si="48"/>
        <v>28537.1</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v>3041.42</v>
      </c>
      <c r="J596" s="18">
        <v>2642.7</v>
      </c>
      <c r="K596" s="104">
        <f t="shared" si="48"/>
        <v>5684.12</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v>3423.5</v>
      </c>
      <c r="I598" s="18"/>
      <c r="J598" s="18"/>
      <c r="K598" s="104">
        <f t="shared" si="48"/>
        <v>3423.5</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367061.01</v>
      </c>
      <c r="I599" s="108">
        <f>SUM(I592:I598)</f>
        <v>135360.72</v>
      </c>
      <c r="J599" s="108">
        <f>SUM(J592:J598)</f>
        <v>186846.09000000003</v>
      </c>
      <c r="K599" s="108">
        <f>SUM(K592:K598)</f>
        <v>689267.82</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132816.37+4138.73+0.02</f>
        <v>136955.12</v>
      </c>
      <c r="I605" s="18">
        <f>52733.88+1755.34</f>
        <v>54489.219999999994</v>
      </c>
      <c r="J605" s="18">
        <f>81532+2157.93</f>
        <v>83689.929999999993</v>
      </c>
      <c r="K605" s="104">
        <f>SUM(H605:J605)</f>
        <v>275134.27</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136955.12</v>
      </c>
      <c r="I606" s="108">
        <f>SUM(I603:I605)</f>
        <v>54489.219999999994</v>
      </c>
      <c r="J606" s="108">
        <f>SUM(J603:J605)</f>
        <v>83689.929999999993</v>
      </c>
      <c r="K606" s="108">
        <f>SUM(K603:K605)</f>
        <v>275134.27</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44412.21</v>
      </c>
      <c r="G612" s="18">
        <v>4066.36</v>
      </c>
      <c r="H612" s="18"/>
      <c r="I612" s="18"/>
      <c r="J612" s="18"/>
      <c r="K612" s="18"/>
      <c r="L612" s="88">
        <f>SUM(F612:K612)</f>
        <v>48478.57</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v>4235</v>
      </c>
      <c r="G614" s="18">
        <f>323.98+753.83</f>
        <v>1077.81</v>
      </c>
      <c r="H614" s="18"/>
      <c r="I614" s="18"/>
      <c r="J614" s="18"/>
      <c r="K614" s="18"/>
      <c r="L614" s="88">
        <f>SUM(F614:K614)</f>
        <v>5312.8099999999995</v>
      </c>
      <c r="M614" s="8"/>
      <c r="N614" s="266"/>
    </row>
    <row r="615" spans="1:14" s="3" customFormat="1" ht="12.2" customHeight="1" thickTop="1" x14ac:dyDescent="0.15">
      <c r="A615" s="98" t="s">
        <v>340</v>
      </c>
      <c r="B615" s="107">
        <v>23</v>
      </c>
      <c r="C615" s="107">
        <v>16</v>
      </c>
      <c r="D615" s="39" t="s">
        <v>432</v>
      </c>
      <c r="E615" s="107"/>
      <c r="F615" s="108">
        <f t="shared" ref="F615:L615" si="49">SUM(F612:F614)</f>
        <v>48647.21</v>
      </c>
      <c r="G615" s="108">
        <f t="shared" si="49"/>
        <v>5144.17</v>
      </c>
      <c r="H615" s="108">
        <f t="shared" si="49"/>
        <v>0</v>
      </c>
      <c r="I615" s="108">
        <f t="shared" si="49"/>
        <v>0</v>
      </c>
      <c r="J615" s="108">
        <f t="shared" si="49"/>
        <v>0</v>
      </c>
      <c r="K615" s="108">
        <f t="shared" si="49"/>
        <v>0</v>
      </c>
      <c r="L615" s="89">
        <f t="shared" si="49"/>
        <v>53791.38</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1313402.55</v>
      </c>
      <c r="H618" s="109">
        <f>SUM(F52)</f>
        <v>1313402.55</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48293.75</v>
      </c>
      <c r="H619" s="109">
        <f>SUM(G52)</f>
        <v>48293.75</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240377.74</v>
      </c>
      <c r="H620" s="109">
        <f>SUM(H52)</f>
        <v>240377.74000000002</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607887.52</v>
      </c>
      <c r="H622" s="109">
        <f>SUM(J52)</f>
        <v>607887.52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712727.22</v>
      </c>
      <c r="H623" s="109">
        <f>F477</f>
        <v>712727.21999999881</v>
      </c>
      <c r="I623" s="121" t="s">
        <v>101</v>
      </c>
      <c r="J623" s="109">
        <f t="shared" ref="J623:J656" si="50">G623-H623</f>
        <v>1.1641532182693481E-9</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29725.29</v>
      </c>
      <c r="H625" s="109">
        <f>H477</f>
        <v>29725.290000000037</v>
      </c>
      <c r="I625" s="121" t="s">
        <v>103</v>
      </c>
      <c r="J625" s="109">
        <f t="shared" si="50"/>
        <v>-3.637978807091713E-11</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607887.52</v>
      </c>
      <c r="H627" s="109">
        <f>J477</f>
        <v>607887.52</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18859134.48</v>
      </c>
      <c r="H628" s="104">
        <f>SUM(F469)</f>
        <v>18859134.48</v>
      </c>
      <c r="I628" s="140" t="s">
        <v>106</v>
      </c>
      <c r="J628" s="109">
        <f>G628-H628</f>
        <v>0</v>
      </c>
      <c r="K628" s="85"/>
      <c r="L628" s="88"/>
      <c r="M628" s="8"/>
    </row>
    <row r="629" spans="1:13" s="3" customFormat="1" ht="12.2" customHeight="1" x14ac:dyDescent="0.15">
      <c r="A629" s="22"/>
      <c r="B629" s="105"/>
      <c r="C629" s="105"/>
      <c r="D629" s="105"/>
      <c r="E629" s="105"/>
      <c r="F629" s="120" t="s">
        <v>659</v>
      </c>
      <c r="G629" s="109">
        <f>G194</f>
        <v>301433.60000000003</v>
      </c>
      <c r="H629" s="104">
        <f>SUM(G469)</f>
        <v>301433.59999999998</v>
      </c>
      <c r="I629" s="140" t="s">
        <v>107</v>
      </c>
      <c r="J629" s="109">
        <f>G629-H629</f>
        <v>0</v>
      </c>
      <c r="K629" s="85"/>
      <c r="L629" s="88"/>
      <c r="M629" s="8"/>
    </row>
    <row r="630" spans="1:13" s="3" customFormat="1" ht="12.2" customHeight="1" x14ac:dyDescent="0.15">
      <c r="A630" s="22"/>
      <c r="B630" s="105"/>
      <c r="C630" s="105"/>
      <c r="D630" s="105"/>
      <c r="E630" s="105"/>
      <c r="F630" s="120" t="s">
        <v>660</v>
      </c>
      <c r="G630" s="109">
        <f>H194</f>
        <v>527732.74</v>
      </c>
      <c r="H630" s="104">
        <f>SUM(H469)</f>
        <v>527732.74</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255566.63</v>
      </c>
      <c r="H632" s="104">
        <f>SUM(J469)</f>
        <v>255566.63</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18700296.189999998</v>
      </c>
      <c r="H633" s="104">
        <f>SUM(F473)</f>
        <v>18700296.190000001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554835.85</v>
      </c>
      <c r="H634" s="104">
        <f>SUM(H473)</f>
        <v>554835.85</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114153.26999999999</v>
      </c>
      <c r="H635" s="104">
        <f>I370</f>
        <v>114153.27000000002</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363285.1</v>
      </c>
      <c r="H636" s="104">
        <f>SUM(G473)</f>
        <v>363285.1</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255566.63</v>
      </c>
      <c r="H638" s="164">
        <f>SUM(J469)</f>
        <v>255566.63</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607887.52</v>
      </c>
      <c r="H640" s="104">
        <f>SUM(F462)</f>
        <v>607887.52</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607887.52</v>
      </c>
      <c r="H643" s="104">
        <f>SUM(I462)</f>
        <v>607887.52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5566.63</v>
      </c>
      <c r="H645" s="104">
        <f>H409</f>
        <v>5566.63</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250000</v>
      </c>
      <c r="H646" s="104">
        <f>G409</f>
        <v>250000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255566.63</v>
      </c>
      <c r="H647" s="104">
        <f>L409</f>
        <v>255566.63</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689267.82</v>
      </c>
      <c r="H648" s="104">
        <f>L209+L227+L245</f>
        <v>689267.82</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275134.27</v>
      </c>
      <c r="H649" s="104">
        <f>(J258+J339)-(J256+J337)</f>
        <v>275134.27</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367061.01</v>
      </c>
      <c r="H650" s="104">
        <f>H599</f>
        <v>367061.01</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135360.72</v>
      </c>
      <c r="H651" s="104">
        <f>I599</f>
        <v>135360.72</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186846.09</v>
      </c>
      <c r="H652" s="104">
        <f>J599</f>
        <v>186846.09000000003</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53112.56</v>
      </c>
      <c r="H653" s="104">
        <f>K264+K346</f>
        <v>53112.56</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250000</v>
      </c>
      <c r="H656" s="104">
        <f>K267+K348</f>
        <v>250000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8446121.3899999987</v>
      </c>
      <c r="G661" s="19">
        <f>(L230+L310+L360)</f>
        <v>4217276.0199999996</v>
      </c>
      <c r="H661" s="19">
        <f>(L248+L329+L361)</f>
        <v>5615739.6600000001</v>
      </c>
      <c r="I661" s="19">
        <f>SUM(F661:H661)</f>
        <v>18279137.07</v>
      </c>
      <c r="J661" s="13"/>
      <c r="K661" s="13"/>
      <c r="L661" s="13"/>
      <c r="M661" s="9"/>
    </row>
    <row r="662" spans="1:13" s="3" customFormat="1" ht="12.2" customHeight="1" x14ac:dyDescent="0.2">
      <c r="A662" s="1" t="s">
        <v>127</v>
      </c>
      <c r="F662" s="19">
        <f>(L359/IF(SUM(L359:L361)=0,1,SUM(L359:L361))*(SUM(G97:G110)))</f>
        <v>68586.54349465367</v>
      </c>
      <c r="G662" s="19">
        <f>(L360/IF(SUM(L359:L361)=0,1,SUM(L359:L361))*(SUM(G97:G110)))</f>
        <v>40375.446250660985</v>
      </c>
      <c r="H662" s="19">
        <f>(L361/IF(SUM(L359:L361)=0,1,SUM(L359:L361))*(SUM(G97:G110)))</f>
        <v>41234.570254685379</v>
      </c>
      <c r="I662" s="19">
        <f>SUM(F662:H662)</f>
        <v>150196.56000000003</v>
      </c>
      <c r="J662"/>
      <c r="K662" s="13"/>
      <c r="L662" s="13"/>
      <c r="M662" s="8"/>
    </row>
    <row r="663" spans="1:13" s="3" customFormat="1" ht="12.2" customHeight="1" x14ac:dyDescent="0.2">
      <c r="A663" s="1" t="s">
        <v>128</v>
      </c>
      <c r="F663" s="19">
        <f>(L209+L288)-(J209+J288)</f>
        <v>367061.01</v>
      </c>
      <c r="G663" s="19">
        <f>(L227+L307)-(J227+J307)</f>
        <v>135360.72</v>
      </c>
      <c r="H663" s="19">
        <f>(L245+L326)-(J245+J326)</f>
        <v>186846.09</v>
      </c>
      <c r="I663" s="19">
        <f>SUM(F663:H663)</f>
        <v>689267.82</v>
      </c>
      <c r="J663"/>
      <c r="K663" s="13"/>
      <c r="L663" s="13"/>
      <c r="M663" s="9"/>
    </row>
    <row r="664" spans="1:13" s="3" customFormat="1" ht="12.2" customHeight="1" x14ac:dyDescent="0.15">
      <c r="A664" s="198" t="s">
        <v>129</v>
      </c>
      <c r="B664" s="169"/>
      <c r="C664" s="169"/>
      <c r="D664" s="169"/>
      <c r="E664" s="169"/>
      <c r="F664" s="199">
        <f>SUM(F576:F588)+SUM(H603:H605)+SUM(L612)</f>
        <v>333846.55</v>
      </c>
      <c r="G664" s="199">
        <f>SUM(G576:G588)+SUM(I603:I605)+L613</f>
        <v>172635.4</v>
      </c>
      <c r="H664" s="199">
        <f>SUM(H576:H588)+SUM(J603:J605)+L614</f>
        <v>384022.81</v>
      </c>
      <c r="I664" s="19">
        <f>SUM(F664:H664)</f>
        <v>890504.76</v>
      </c>
      <c r="J664" s="13"/>
      <c r="K664" s="13"/>
      <c r="L664" s="13"/>
      <c r="M664" s="9"/>
    </row>
    <row r="665" spans="1:13" s="3" customFormat="1" ht="12.2" customHeight="1" x14ac:dyDescent="0.15">
      <c r="A665" s="1" t="s">
        <v>130</v>
      </c>
      <c r="F665" s="19">
        <f>F661-SUM(F662:F664)</f>
        <v>7676627.2865053453</v>
      </c>
      <c r="G665" s="19">
        <f>G661-SUM(G662:G664)</f>
        <v>3868904.4537493386</v>
      </c>
      <c r="H665" s="19">
        <f>H661-SUM(H662:H664)</f>
        <v>5003636.1897453144</v>
      </c>
      <c r="I665" s="19">
        <f>I661-SUM(I662:I664)</f>
        <v>16549167.93</v>
      </c>
      <c r="J665" s="13"/>
      <c r="K665" s="13"/>
      <c r="L665" s="13"/>
      <c r="M665" s="8"/>
    </row>
    <row r="666" spans="1:13" s="3" customFormat="1" ht="12.2" customHeight="1" x14ac:dyDescent="0.2">
      <c r="A666" s="1" t="s">
        <v>131</v>
      </c>
      <c r="F666" s="246">
        <f>20.6+70.41+370.36</f>
        <v>461.37</v>
      </c>
      <c r="G666" s="247">
        <v>197.78</v>
      </c>
      <c r="H666" s="247">
        <v>242.19</v>
      </c>
      <c r="I666" s="19">
        <f>SUM(F666:H666)</f>
        <v>901.33999999999992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16638.77</v>
      </c>
      <c r="G668" s="19">
        <f>ROUND(G665/G666,2)</f>
        <v>19561.66</v>
      </c>
      <c r="H668" s="19">
        <f>ROUND(H665/H666,2)</f>
        <v>20659.96</v>
      </c>
      <c r="I668" s="19">
        <f>ROUND(I665/I666,2)</f>
        <v>18360.63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-17.39</v>
      </c>
      <c r="I671" s="19">
        <f>SUM(F671:H671)</f>
        <v>-17.39</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16638.77</v>
      </c>
      <c r="G673" s="19">
        <f>ROUND((G665+G670)/(G666+G671),2)</f>
        <v>19561.66</v>
      </c>
      <c r="H673" s="19">
        <f>ROUND((H665+H670)/(H666+H671),2)</f>
        <v>22258.17</v>
      </c>
      <c r="I673" s="19">
        <f>ROUND((I665+I670)/(I666+I671),2)</f>
        <v>18721.84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Epping School District</v>
      </c>
      <c r="C5" s="344"/>
      <c r="D5" s="344"/>
      <c r="E5" s="344"/>
      <c r="F5" s="344"/>
    </row>
    <row r="8" spans="1:9" ht="18" x14ac:dyDescent="0.25">
      <c r="A8" s="323" t="s">
        <v>1591</v>
      </c>
      <c r="F8" s="330" t="s">
        <v>1609</v>
      </c>
    </row>
    <row r="9" spans="1:9" ht="15" x14ac:dyDescent="0.2">
      <c r="A9" s="321" t="s">
        <v>1592</v>
      </c>
      <c r="B9" s="324">
        <f>'DOE25'!G97</f>
        <v>150196.56000000003</v>
      </c>
      <c r="F9" s="321" t="s">
        <v>1605</v>
      </c>
    </row>
    <row r="10" spans="1:9" ht="15" x14ac:dyDescent="0.2">
      <c r="A10" s="321" t="s">
        <v>1593</v>
      </c>
      <c r="B10" s="324">
        <f>'DOE25'!G112-'DOE25'!G97</f>
        <v>0</v>
      </c>
      <c r="F10" s="321" t="s">
        <v>1606</v>
      </c>
    </row>
    <row r="11" spans="1:9" ht="15" x14ac:dyDescent="0.2">
      <c r="A11" s="321" t="s">
        <v>1594</v>
      </c>
      <c r="B11" s="324">
        <f>'DOE25'!G140</f>
        <v>5312.62</v>
      </c>
      <c r="F11" s="321" t="s">
        <v>1607</v>
      </c>
    </row>
    <row r="12" spans="1:9" ht="15" x14ac:dyDescent="0.2">
      <c r="A12" s="321" t="s">
        <v>1595</v>
      </c>
      <c r="B12" s="324">
        <f>'DOE25'!G170</f>
        <v>92811.860000000015</v>
      </c>
      <c r="F12" s="321" t="s">
        <v>1608</v>
      </c>
    </row>
    <row r="13" spans="1:9" ht="15" x14ac:dyDescent="0.2">
      <c r="A13" s="321" t="s">
        <v>1596</v>
      </c>
      <c r="B13" s="324">
        <f>'DOE25'!G193-'DOE25'!G180</f>
        <v>0</v>
      </c>
      <c r="F13" s="321" t="s">
        <v>1618</v>
      </c>
    </row>
    <row r="14" spans="1:9" ht="18" x14ac:dyDescent="0.25">
      <c r="A14" s="323" t="s">
        <v>732</v>
      </c>
      <c r="B14" s="325">
        <f>SUM(B9:B13)</f>
        <v>248321.04000000004</v>
      </c>
    </row>
    <row r="16" spans="1:9" ht="18" x14ac:dyDescent="0.25">
      <c r="A16" s="323" t="s">
        <v>786</v>
      </c>
      <c r="F16" s="330" t="s">
        <v>1610</v>
      </c>
    </row>
    <row r="17" spans="1:6" ht="15" x14ac:dyDescent="0.2">
      <c r="A17" s="321" t="s">
        <v>1597</v>
      </c>
      <c r="B17" s="324">
        <f>'DOE25'!L363-'DOE25'!L362</f>
        <v>363285.1</v>
      </c>
      <c r="F17" s="321" t="s">
        <v>1611</v>
      </c>
    </row>
    <row r="18" spans="1:6" ht="15" x14ac:dyDescent="0.2">
      <c r="A18" s="321" t="s">
        <v>1598</v>
      </c>
      <c r="B18" s="338"/>
      <c r="F18" s="330" t="s">
        <v>1637</v>
      </c>
    </row>
    <row r="19" spans="1:6" ht="18" x14ac:dyDescent="0.25">
      <c r="A19" s="323" t="s">
        <v>725</v>
      </c>
      <c r="B19" s="325">
        <f>SUM(B17:B18)</f>
        <v>363285.1</v>
      </c>
    </row>
    <row r="21" spans="1:6" ht="18.75" thickBot="1" x14ac:dyDescent="0.3">
      <c r="A21" s="323" t="s">
        <v>1599</v>
      </c>
    </row>
    <row r="22" spans="1:6" ht="18.75" thickTop="1" x14ac:dyDescent="0.25">
      <c r="A22" s="323" t="s">
        <v>1600</v>
      </c>
      <c r="B22" s="329">
        <f>B14-B19</f>
        <v>-114964.05999999994</v>
      </c>
      <c r="F22" s="321" t="s">
        <v>1612</v>
      </c>
    </row>
    <row r="26" spans="1:6" ht="18" x14ac:dyDescent="0.25">
      <c r="A26" s="323" t="s">
        <v>186</v>
      </c>
    </row>
    <row r="27" spans="1:6" ht="15" x14ac:dyDescent="0.2">
      <c r="A27" s="321" t="s">
        <v>1601</v>
      </c>
      <c r="B27" s="324">
        <f>'DOE25'!G180</f>
        <v>53112.56</v>
      </c>
      <c r="F27" s="321" t="s">
        <v>1613</v>
      </c>
    </row>
    <row r="28" spans="1:6" ht="15" x14ac:dyDescent="0.2">
      <c r="A28" s="321" t="s">
        <v>1603</v>
      </c>
      <c r="B28" s="324">
        <f>'DOE25'!L362</f>
        <v>0</v>
      </c>
      <c r="F28" s="321" t="s">
        <v>1614</v>
      </c>
    </row>
    <row r="31" spans="1:6" ht="15" x14ac:dyDescent="0.2">
      <c r="A31" s="321" t="s">
        <v>1640</v>
      </c>
      <c r="B31" s="324">
        <f>'DOE25'!G466</f>
        <v>61851.5</v>
      </c>
      <c r="F31" s="321" t="s">
        <v>1615</v>
      </c>
    </row>
    <row r="33" spans="1:6" ht="15" x14ac:dyDescent="0.2">
      <c r="A33" s="321" t="s">
        <v>1641</v>
      </c>
      <c r="B33" s="324">
        <f>'DOE25'!G477</f>
        <v>0</v>
      </c>
      <c r="F33" s="321" t="s">
        <v>1616</v>
      </c>
    </row>
    <row r="36" spans="1:6" ht="15" x14ac:dyDescent="0.2">
      <c r="A36" s="321" t="s">
        <v>1602</v>
      </c>
      <c r="B36" s="339">
        <v>21163.4</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4"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Epping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4495505.5599999996</v>
      </c>
      <c r="C9" s="229">
        <f>'DOE25'!G198+'DOE25'!G216+'DOE25'!G234+'DOE25'!G277+'DOE25'!G296+'DOE25'!G315</f>
        <v>2495318.2799999998</v>
      </c>
    </row>
    <row r="10" spans="1:3" x14ac:dyDescent="0.2">
      <c r="A10" t="s">
        <v>775</v>
      </c>
      <c r="B10" s="240">
        <f>1460621.34+252394.41+1052792.11+1308884.14+35384.04+128978.29+0.03</f>
        <v>4239054.3600000003</v>
      </c>
      <c r="C10" s="240">
        <f>2405654.05+20000</f>
        <v>2425654.0499999998</v>
      </c>
    </row>
    <row r="11" spans="1:3" x14ac:dyDescent="0.2">
      <c r="A11" t="s">
        <v>776</v>
      </c>
      <c r="B11" s="240">
        <f>86908.61+18174.22</f>
        <v>105082.83</v>
      </c>
      <c r="C11" s="240">
        <f>30459.47</f>
        <v>30459.47</v>
      </c>
    </row>
    <row r="12" spans="1:3" x14ac:dyDescent="0.2">
      <c r="A12" t="s">
        <v>777</v>
      </c>
      <c r="B12" s="240">
        <f>77250.04+1622.5+48199.22+7765+16531.61</f>
        <v>151368.37</v>
      </c>
      <c r="C12" s="240">
        <f>11579.68+27625.08</f>
        <v>39204.76</v>
      </c>
    </row>
    <row r="13" spans="1:3" x14ac:dyDescent="0.2">
      <c r="A13" t="str">
        <f>IF(B9=B13,IF(C9=C13,"Check Total OK","Check Total Error"),"Check Total Error")</f>
        <v>Check Total OK</v>
      </c>
      <c r="B13" s="231">
        <f>SUM(B10:B12)</f>
        <v>4495505.5600000005</v>
      </c>
      <c r="C13" s="231">
        <f>SUM(C10:C12)</f>
        <v>2495318.2799999998</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1455828.5799999998</v>
      </c>
      <c r="C18" s="229">
        <f>'DOE25'!G199+'DOE25'!G217+'DOE25'!G235+'DOE25'!G278+'DOE25'!G297+'DOE25'!G316</f>
        <v>775582.97</v>
      </c>
    </row>
    <row r="19" spans="1:3" x14ac:dyDescent="0.2">
      <c r="A19" t="s">
        <v>775</v>
      </c>
      <c r="B19" s="240">
        <f>328776.56+102624.67+130805.19+145190.01+49235.02+6980.3+51562.4+32911.5+824.17+44412.21</f>
        <v>893322.03</v>
      </c>
      <c r="C19" s="240">
        <f>604974.76-15129.87-1270.45</f>
        <v>588574.44000000006</v>
      </c>
    </row>
    <row r="20" spans="1:3" x14ac:dyDescent="0.2">
      <c r="A20" t="s">
        <v>776</v>
      </c>
      <c r="B20" s="240">
        <f>299886.78+73919.16+110735.02+62665.58+0.01</f>
        <v>547206.55000000005</v>
      </c>
      <c r="C20" s="240">
        <f>185738.08</f>
        <v>185738.08</v>
      </c>
    </row>
    <row r="21" spans="1:3" x14ac:dyDescent="0.2">
      <c r="A21" t="s">
        <v>777</v>
      </c>
      <c r="B21" s="240">
        <f>15300</f>
        <v>15300</v>
      </c>
      <c r="C21" s="240">
        <f>1270.45</f>
        <v>1270.45</v>
      </c>
    </row>
    <row r="22" spans="1:3" x14ac:dyDescent="0.2">
      <c r="A22" t="str">
        <f>IF(B18=B22,IF(C18=C22,"Check Total OK","Check Total Error"),"Check Total Error")</f>
        <v>Check Total OK</v>
      </c>
      <c r="B22" s="231">
        <f>SUM(B19:B21)</f>
        <v>1455828.58</v>
      </c>
      <c r="C22" s="231">
        <f>SUM(C19:C21)</f>
        <v>775582.97</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176606.21999999997</v>
      </c>
      <c r="C36" s="235">
        <f>'DOE25'!G201+'DOE25'!G219+'DOE25'!G237+'DOE25'!G280+'DOE25'!G299+'DOE25'!G318</f>
        <v>30956</v>
      </c>
    </row>
    <row r="37" spans="1:3" x14ac:dyDescent="0.2">
      <c r="A37" t="s">
        <v>775</v>
      </c>
      <c r="B37" s="240">
        <f>4235+8462.74+11768.21+42553+1060+34647.59+70604.68</f>
        <v>173331.21999999997</v>
      </c>
      <c r="C37" s="240">
        <f>624.92+839.4+3516.91+480.57+1367.45+5788.27+4191.62+5457.89+8383.75</f>
        <v>30650.78</v>
      </c>
    </row>
    <row r="38" spans="1:3" x14ac:dyDescent="0.2">
      <c r="A38" t="s">
        <v>776</v>
      </c>
      <c r="B38" s="240">
        <v>3275</v>
      </c>
      <c r="C38" s="240">
        <f>305.22</f>
        <v>305.22000000000003</v>
      </c>
    </row>
    <row r="39" spans="1:3" x14ac:dyDescent="0.2">
      <c r="A39" t="s">
        <v>777</v>
      </c>
      <c r="B39" s="240"/>
      <c r="C39" s="240"/>
    </row>
    <row r="40" spans="1:3" x14ac:dyDescent="0.2">
      <c r="A40" t="str">
        <f>IF(B36=B40,IF(C36=C40,"Check Total OK","Check Total Error"),"Check Total Error")</f>
        <v>Check Total OK</v>
      </c>
      <c r="B40" s="231">
        <f>SUM(B37:B39)</f>
        <v>176606.21999999997</v>
      </c>
      <c r="C40" s="231">
        <f>SUM(C37:C39)</f>
        <v>30956</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8" activePane="bottomLeft" state="frozen"/>
      <selection activeCell="F46" sqref="F46"/>
      <selection pane="bottomLeft" activeCell="F15" sqref="F1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Epping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10278235.359999999</v>
      </c>
      <c r="D5" s="20">
        <f>SUM('DOE25'!L198:L201)+SUM('DOE25'!L216:L219)+SUM('DOE25'!L234:L237)-F5-G5-H5</f>
        <v>10209788.85</v>
      </c>
      <c r="E5" s="243"/>
      <c r="F5" s="244"/>
      <c r="G5" s="53">
        <f>SUM('DOE25'!J198:J201)+SUM('DOE25'!J216:J219)+SUM('DOE25'!J234:J237)</f>
        <v>56083.51</v>
      </c>
      <c r="H5" s="53">
        <f>SUM('DOE25'!K198:K201)+SUM('DOE25'!K216:K219)+SUM('DOE25'!K234:K237)</f>
        <v>12363</v>
      </c>
      <c r="I5" s="256"/>
    </row>
    <row r="6" spans="1:9" x14ac:dyDescent="0.2">
      <c r="A6" s="32">
        <v>2100</v>
      </c>
      <c r="B6" t="s">
        <v>796</v>
      </c>
      <c r="C6" s="276">
        <f t="shared" si="0"/>
        <v>1594961.55</v>
      </c>
      <c r="D6" s="20">
        <f>'DOE25'!L203+'DOE25'!L221+'DOE25'!L239-F6-G6-H6</f>
        <v>1590837.6600000001</v>
      </c>
      <c r="E6" s="243"/>
      <c r="F6" s="244"/>
      <c r="G6" s="53">
        <f>'DOE25'!J203+'DOE25'!J221+'DOE25'!J239</f>
        <v>3944.8900000000003</v>
      </c>
      <c r="H6" s="53">
        <f>'DOE25'!K203+'DOE25'!K221+'DOE25'!K239</f>
        <v>179</v>
      </c>
      <c r="I6" s="256"/>
    </row>
    <row r="7" spans="1:9" x14ac:dyDescent="0.2">
      <c r="A7" s="32">
        <v>2200</v>
      </c>
      <c r="B7" t="s">
        <v>821</v>
      </c>
      <c r="C7" s="276">
        <f t="shared" si="0"/>
        <v>876480.94</v>
      </c>
      <c r="D7" s="20">
        <f>'DOE25'!L204+'DOE25'!L222+'DOE25'!L240-F7-G7-H7</f>
        <v>691013.61999999988</v>
      </c>
      <c r="E7" s="243"/>
      <c r="F7" s="244"/>
      <c r="G7" s="53">
        <f>'DOE25'!J204+'DOE25'!J222+'DOE25'!J240</f>
        <v>183973.32</v>
      </c>
      <c r="H7" s="53">
        <f>'DOE25'!K204+'DOE25'!K222+'DOE25'!K240</f>
        <v>1494</v>
      </c>
      <c r="I7" s="256"/>
    </row>
    <row r="8" spans="1:9" x14ac:dyDescent="0.2">
      <c r="A8" s="32">
        <v>2300</v>
      </c>
      <c r="B8" t="s">
        <v>797</v>
      </c>
      <c r="C8" s="276">
        <f t="shared" si="0"/>
        <v>768256.07000000007</v>
      </c>
      <c r="D8" s="243"/>
      <c r="E8" s="20">
        <f>'DOE25'!L205+'DOE25'!L223+'DOE25'!L241-F8-G8-H8-D9-D11</f>
        <v>722922.03</v>
      </c>
      <c r="F8" s="244"/>
      <c r="G8" s="53">
        <f>'DOE25'!J205+'DOE25'!J223+'DOE25'!J241</f>
        <v>0</v>
      </c>
      <c r="H8" s="53">
        <f>'DOE25'!K205+'DOE25'!K223+'DOE25'!K241</f>
        <v>45334.04</v>
      </c>
      <c r="I8" s="256"/>
    </row>
    <row r="9" spans="1:9" ht="14.25" x14ac:dyDescent="0.2">
      <c r="A9" s="32">
        <v>2310</v>
      </c>
      <c r="B9" s="185" t="s">
        <v>890</v>
      </c>
      <c r="C9" s="276">
        <f t="shared" si="0"/>
        <v>91358.22</v>
      </c>
      <c r="D9" s="244">
        <v>91358.22</v>
      </c>
      <c r="E9" s="243"/>
      <c r="F9" s="253"/>
      <c r="G9" s="253"/>
      <c r="H9" s="253"/>
      <c r="I9" s="256"/>
    </row>
    <row r="10" spans="1:9" ht="14.25" x14ac:dyDescent="0.2">
      <c r="A10" s="32">
        <v>2317</v>
      </c>
      <c r="B10" s="185" t="s">
        <v>891</v>
      </c>
      <c r="C10" s="276">
        <f t="shared" si="0"/>
        <v>12500</v>
      </c>
      <c r="D10" s="243"/>
      <c r="E10" s="244">
        <v>12500</v>
      </c>
      <c r="F10" s="253"/>
      <c r="G10" s="253"/>
      <c r="H10" s="253"/>
      <c r="I10" s="256"/>
    </row>
    <row r="11" spans="1:9" ht="14.25" x14ac:dyDescent="0.2">
      <c r="A11" s="32">
        <v>2321</v>
      </c>
      <c r="B11" s="185" t="s">
        <v>892</v>
      </c>
      <c r="C11" s="276">
        <f t="shared" si="0"/>
        <v>180479.29</v>
      </c>
      <c r="D11" s="244">
        <v>180479.29</v>
      </c>
      <c r="E11" s="243"/>
      <c r="F11" s="253"/>
      <c r="G11" s="253"/>
      <c r="H11" s="253"/>
      <c r="I11" s="256"/>
    </row>
    <row r="12" spans="1:9" x14ac:dyDescent="0.2">
      <c r="A12" s="32">
        <v>2400</v>
      </c>
      <c r="B12" t="s">
        <v>711</v>
      </c>
      <c r="C12" s="276">
        <f t="shared" si="0"/>
        <v>1307958.9900000002</v>
      </c>
      <c r="D12" s="20">
        <f>'DOE25'!L206+'DOE25'!L224+'DOE25'!L242-F12-G12-H12</f>
        <v>1286016.2300000002</v>
      </c>
      <c r="E12" s="243"/>
      <c r="F12" s="244"/>
      <c r="G12" s="53">
        <f>'DOE25'!J206+'DOE25'!J224+'DOE25'!J242</f>
        <v>0</v>
      </c>
      <c r="H12" s="53">
        <f>'DOE25'!K206+'DOE25'!K224+'DOE25'!K242</f>
        <v>21942.76</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1588830.2100000002</v>
      </c>
      <c r="D14" s="20">
        <f>'DOE25'!L208+'DOE25'!L226+'DOE25'!L244-F14-G14-H14</f>
        <v>1565749.6600000001</v>
      </c>
      <c r="E14" s="243"/>
      <c r="F14" s="244"/>
      <c r="G14" s="53">
        <f>'DOE25'!J208+'DOE25'!J226+'DOE25'!J244</f>
        <v>23080.55</v>
      </c>
      <c r="H14" s="53">
        <f>'DOE25'!K208+'DOE25'!K226+'DOE25'!K244</f>
        <v>0</v>
      </c>
      <c r="I14" s="256"/>
    </row>
    <row r="15" spans="1:9" x14ac:dyDescent="0.2">
      <c r="A15" s="32">
        <v>2700</v>
      </c>
      <c r="B15" t="s">
        <v>799</v>
      </c>
      <c r="C15" s="276">
        <f t="shared" si="0"/>
        <v>689267.82</v>
      </c>
      <c r="D15" s="20">
        <f>'DOE25'!L209+'DOE25'!L227+'DOE25'!L245-F15-G15-H15</f>
        <v>50000</v>
      </c>
      <c r="E15" s="243"/>
      <c r="F15" s="244">
        <v>639267.81999999995</v>
      </c>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1021355.1799999999</v>
      </c>
      <c r="D25" s="243"/>
      <c r="E25" s="243"/>
      <c r="F25" s="255"/>
      <c r="G25" s="253"/>
      <c r="H25" s="253"/>
      <c r="I25" s="254">
        <f>'DOE25'!L261+'DOE25'!L262+'DOE25'!L342+'DOE25'!L343</f>
        <v>1021355.1799999999</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280989.23000000004</v>
      </c>
      <c r="D29" s="284">
        <f>'DOE25'!L359+'DOE25'!L360+'DOE25'!L361-'DOE25'!I368-F29-G29-H29</f>
        <v>254703.5</v>
      </c>
      <c r="E29" s="243"/>
      <c r="F29" s="244"/>
      <c r="G29" s="53">
        <f>'DOE25'!J359+'DOE25'!J360+'DOE25'!J361</f>
        <v>24707.71</v>
      </c>
      <c r="H29" s="53">
        <f>'DOE25'!K359+'DOE25'!K360+'DOE25'!K361</f>
        <v>1578.0200000000002</v>
      </c>
      <c r="I29" s="256"/>
    </row>
    <row r="30" spans="1:9" x14ac:dyDescent="0.2">
      <c r="A30" s="32"/>
      <c r="C30" s="277"/>
      <c r="D30" s="20"/>
      <c r="E30" s="281"/>
      <c r="F30" s="271"/>
      <c r="G30" s="53"/>
      <c r="H30" s="53"/>
      <c r="I30" s="256"/>
    </row>
    <row r="31" spans="1:9" x14ac:dyDescent="0.2">
      <c r="A31" s="32" t="s">
        <v>818</v>
      </c>
      <c r="B31" t="s">
        <v>817</v>
      </c>
      <c r="C31" s="276">
        <f>SUM(D31:I31)</f>
        <v>540023.52</v>
      </c>
      <c r="D31" s="20">
        <f>'DOE25'!L291+'DOE25'!L310+'DOE25'!L329+'DOE25'!L334+'DOE25'!L335+'DOE25'!L336-F31-G31-H31</f>
        <v>531971.52</v>
      </c>
      <c r="E31" s="243"/>
      <c r="F31" s="244"/>
      <c r="G31" s="53">
        <f>'DOE25'!J291+'DOE25'!J310+'DOE25'!J329+'DOE25'!J334+'DOE25'!J335+'DOE25'!J336</f>
        <v>8052</v>
      </c>
      <c r="H31" s="53">
        <f>'DOE25'!K291+'DOE25'!K310+'DOE25'!K329+'DOE25'!K334+'DOE25'!K335+'DOE25'!K336</f>
        <v>0</v>
      </c>
      <c r="I31" s="256"/>
    </row>
    <row r="32" spans="1:9" ht="12" thickBot="1" x14ac:dyDescent="0.25">
      <c r="C32" s="277"/>
      <c r="G32" s="251"/>
      <c r="H32" s="251"/>
      <c r="I32" s="258"/>
    </row>
    <row r="33" spans="1:9" ht="12" thickTop="1" x14ac:dyDescent="0.2">
      <c r="B33" t="s">
        <v>809</v>
      </c>
      <c r="D33" s="245">
        <f t="shared" ref="D33:I33" si="1">SUM(D5:D31)</f>
        <v>16451918.549999999</v>
      </c>
      <c r="E33" s="245">
        <f t="shared" si="1"/>
        <v>735422.03</v>
      </c>
      <c r="F33" s="245">
        <f t="shared" si="1"/>
        <v>639267.81999999995</v>
      </c>
      <c r="G33" s="245">
        <f t="shared" si="1"/>
        <v>299841.98000000004</v>
      </c>
      <c r="H33" s="245">
        <f t="shared" si="1"/>
        <v>82890.820000000007</v>
      </c>
      <c r="I33" s="245">
        <f t="shared" si="1"/>
        <v>1021355.1799999999</v>
      </c>
    </row>
    <row r="35" spans="1:9" ht="12" thickBot="1" x14ac:dyDescent="0.25">
      <c r="B35" s="251" t="s">
        <v>831</v>
      </c>
      <c r="D35" s="252">
        <f>E33</f>
        <v>735422.03</v>
      </c>
      <c r="E35" s="248"/>
    </row>
    <row r="36" spans="1:9" ht="12" thickTop="1" x14ac:dyDescent="0.2">
      <c r="B36" t="s">
        <v>810</v>
      </c>
      <c r="D36" s="20">
        <f>D33</f>
        <v>16451918.549999999</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37" sqref="D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Epping School District</v>
      </c>
      <c r="B2" s="126">
        <f>'DOE25'!B2</f>
        <v>165</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8280228.9800000004</v>
      </c>
      <c r="G4" s="303">
        <f>'DOE25'!L212+'DOE25'!L291</f>
        <v>8280228.9799999986</v>
      </c>
      <c r="H4" s="337">
        <f>F4-G4</f>
        <v>0</v>
      </c>
      <c r="I4" s="309" t="str">
        <f>IF(H4=0,"","Does not match DOE25 page 7 and 11 Totals!!")</f>
        <v/>
      </c>
      <c r="N4"/>
    </row>
    <row r="5" spans="1:18" x14ac:dyDescent="0.2">
      <c r="A5" s="21" t="s">
        <v>1027</v>
      </c>
      <c r="B5" s="304">
        <f>IFERROR(VLOOKUP(A5,'School Tables'!$C$3:$D$365,2,FALSE),"")</f>
        <v>26510</v>
      </c>
      <c r="C5" s="297" t="str">
        <f>IFERROR(INDEX('School Tables'!$B$3:$B$365,MATCH('School Level Expenditures'!B5,'School Tables'!$D$3:$D$365,0)),"")</f>
        <v>Epping</v>
      </c>
      <c r="D5" s="294">
        <v>7932773.6500000004</v>
      </c>
      <c r="E5" s="294">
        <v>347455.33</v>
      </c>
      <c r="F5" s="312">
        <f>D5+E5</f>
        <v>8280228.9800000004</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4119618.67</v>
      </c>
      <c r="G24" s="303">
        <f>'DOE25'!L230+'DOE25'!L310</f>
        <v>4119618.6699999995</v>
      </c>
      <c r="H24" s="337">
        <f>F24-G24</f>
        <v>0</v>
      </c>
      <c r="I24" s="309" t="str">
        <f>IF(H24=0,"","Does not match DOE25 page 8 and 12 Totals!!")</f>
        <v/>
      </c>
      <c r="N24"/>
    </row>
    <row r="25" spans="1:14" x14ac:dyDescent="0.2">
      <c r="A25" s="21" t="s">
        <v>1026</v>
      </c>
      <c r="B25" s="304">
        <f>IFERROR(VLOOKUP(A25,'School Tables'!$I$3:$J$80,2,FALSE),"")</f>
        <v>26505</v>
      </c>
      <c r="C25" s="297" t="str">
        <f t="array" ref="C25">IFERROR(INDEX('School Tables'!$H$3:$H$80,MATCH('School Level Expenditures'!B25,'School Tables'!$J$3:$J$80,0)),"")</f>
        <v>Epping</v>
      </c>
      <c r="D25" s="294">
        <v>4033061.4</v>
      </c>
      <c r="E25" s="294">
        <v>86557.27</v>
      </c>
      <c r="F25" s="307">
        <f>D25+E25</f>
        <v>4119618.67</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5516004.3200000003</v>
      </c>
      <c r="G36" s="303">
        <f>'DOE25'!L248+'DOE25'!L329</f>
        <v>5516004.3200000003</v>
      </c>
      <c r="H36" s="337">
        <f>F36-G36</f>
        <v>0</v>
      </c>
      <c r="I36" s="309" t="str">
        <f>IF(H36=0,"","Does not match DOE25 page 9 and 13 Totals!!")</f>
        <v/>
      </c>
      <c r="N36"/>
    </row>
    <row r="37" spans="1:14" x14ac:dyDescent="0.2">
      <c r="A37" s="21" t="s">
        <v>1549</v>
      </c>
      <c r="B37" s="304">
        <f>IFERROR(VLOOKUP(A37,'School Tables'!$O$3:$P$118,2,FALSE),"")</f>
        <v>20515</v>
      </c>
      <c r="C37" s="297" t="str">
        <f t="array" ref="C37">IFERROR(INDEX('School Tables'!$N$3:$N$118,MATCH('School Level Expenditures'!B37,'School Tables'!$P$3:$P$118,0)),"")</f>
        <v>Epping</v>
      </c>
      <c r="D37" s="294">
        <v>5409993.4000000004</v>
      </c>
      <c r="E37" s="294">
        <v>106010.92</v>
      </c>
      <c r="F37" s="307">
        <f>D37+E37</f>
        <v>5516004.3200000003</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20"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Epping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141550.14000000001</v>
      </c>
      <c r="D8" s="95">
        <f>'DOE25'!G9</f>
        <v>9019.86</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607887.52</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202537.21000000002</v>
      </c>
      <c r="D11" s="95">
        <f>'DOE25'!G12</f>
        <v>12595.470000000001</v>
      </c>
      <c r="E11" s="95">
        <f>'DOE25'!H12</f>
        <v>124296.33</v>
      </c>
      <c r="F11" s="95">
        <f>'DOE25'!I12</f>
        <v>0</v>
      </c>
      <c r="G11" s="95">
        <f>'DOE25'!J12</f>
        <v>0</v>
      </c>
      <c r="H11" s="124"/>
      <c r="I11" s="124"/>
    </row>
    <row r="12" spans="1:9" x14ac:dyDescent="0.2">
      <c r="A12" s="1" t="s">
        <v>143</v>
      </c>
      <c r="B12" s="6">
        <v>140</v>
      </c>
      <c r="C12" s="95">
        <f>'DOE25'!F13</f>
        <v>0</v>
      </c>
      <c r="D12" s="95">
        <f>'DOE25'!G13</f>
        <v>2501.1</v>
      </c>
      <c r="E12" s="95">
        <f>'DOE25'!H13</f>
        <v>116081.41</v>
      </c>
      <c r="F12" s="95">
        <f>'DOE25'!I13</f>
        <v>0</v>
      </c>
      <c r="G12" s="95">
        <f>'DOE25'!J13</f>
        <v>0</v>
      </c>
      <c r="H12" s="124"/>
      <c r="I12" s="124"/>
    </row>
    <row r="13" spans="1:9" x14ac:dyDescent="0.2">
      <c r="A13" s="1" t="s">
        <v>144</v>
      </c>
      <c r="B13" s="6">
        <v>150</v>
      </c>
      <c r="C13" s="95">
        <f>'DOE25'!F14</f>
        <v>3685.32</v>
      </c>
      <c r="D13" s="95">
        <f>'DOE25'!G14</f>
        <v>3927.53</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18665.79</v>
      </c>
      <c r="E15" s="95">
        <f>'DOE25'!H16</f>
        <v>0</v>
      </c>
      <c r="F15" s="95">
        <f>'DOE25'!I16</f>
        <v>0</v>
      </c>
      <c r="G15" s="24" t="s">
        <v>288</v>
      </c>
      <c r="H15" s="124"/>
      <c r="I15" s="124"/>
    </row>
    <row r="16" spans="1:9" x14ac:dyDescent="0.2">
      <c r="A16" s="1" t="s">
        <v>147</v>
      </c>
      <c r="B16" s="6">
        <v>180</v>
      </c>
      <c r="C16" s="95">
        <f>'DOE25'!F17</f>
        <v>965629.88</v>
      </c>
      <c r="D16" s="95">
        <f>'DOE25'!G17</f>
        <v>1584</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1313402.55</v>
      </c>
      <c r="D18" s="41">
        <f>SUM(D8:D17)</f>
        <v>48293.75</v>
      </c>
      <c r="E18" s="41">
        <f>SUM(E8:E17)</f>
        <v>240377.74</v>
      </c>
      <c r="F18" s="41">
        <f>SUM(F8:F17)</f>
        <v>0</v>
      </c>
      <c r="G18" s="41">
        <f>SUM(G8:G17)</f>
        <v>607887.52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41467.870000000003</v>
      </c>
      <c r="D21" s="95">
        <f>'DOE25'!G22</f>
        <v>33412.74</v>
      </c>
      <c r="E21" s="95">
        <f>'DOE25'!H22</f>
        <v>210652.45</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144894.47999999998</v>
      </c>
      <c r="D23" s="95">
        <f>'DOE25'!G24</f>
        <v>360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37766.81</v>
      </c>
      <c r="D27" s="95">
        <f>'DOE25'!G28</f>
        <v>91.18</v>
      </c>
      <c r="E27" s="95">
        <f>'DOE25'!H28</f>
        <v>0</v>
      </c>
      <c r="F27" s="95">
        <f>'DOE25'!I28</f>
        <v>0</v>
      </c>
      <c r="G27" s="24" t="s">
        <v>288</v>
      </c>
      <c r="H27" s="124"/>
      <c r="I27" s="124"/>
    </row>
    <row r="28" spans="1:9" x14ac:dyDescent="0.2">
      <c r="A28" s="1" t="s">
        <v>157</v>
      </c>
      <c r="B28" s="6">
        <v>470</v>
      </c>
      <c r="C28" s="95">
        <f>'DOE25'!F29</f>
        <v>376546.17000000004</v>
      </c>
      <c r="D28" s="95">
        <f>'DOE25'!G29</f>
        <v>0</v>
      </c>
      <c r="E28" s="95">
        <f>'DOE25'!H29</f>
        <v>0</v>
      </c>
      <c r="F28" s="95">
        <f>'DOE25'!I29</f>
        <v>0</v>
      </c>
      <c r="G28" s="24" t="s">
        <v>288</v>
      </c>
      <c r="H28" s="124"/>
      <c r="I28" s="124"/>
    </row>
    <row r="29" spans="1:9" x14ac:dyDescent="0.2">
      <c r="A29" s="1" t="s">
        <v>158</v>
      </c>
      <c r="B29" s="6">
        <v>480</v>
      </c>
      <c r="C29" s="95">
        <f>'DOE25'!F30</f>
        <v>0</v>
      </c>
      <c r="D29" s="95">
        <f>'DOE25'!G30</f>
        <v>14429.83</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600675.33000000007</v>
      </c>
      <c r="D31" s="41">
        <f>SUM(D21:D30)</f>
        <v>48293.75</v>
      </c>
      <c r="E31" s="41">
        <f>SUM(E21:E30)</f>
        <v>210652.45</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74181.47</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250000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29725.29</v>
      </c>
      <c r="F44" s="95">
        <f>'DOE25'!I45</f>
        <v>0</v>
      </c>
      <c r="G44" s="95">
        <f>'DOE25'!J45</f>
        <v>0</v>
      </c>
      <c r="H44" s="124"/>
      <c r="I44" s="124"/>
    </row>
    <row r="45" spans="1:9" x14ac:dyDescent="0.2">
      <c r="A45" s="1" t="s">
        <v>880</v>
      </c>
      <c r="B45" s="6"/>
      <c r="C45" s="95">
        <f>'DOE25'!F46</f>
        <v>200000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607887.52</v>
      </c>
      <c r="H47" s="124"/>
      <c r="I47" s="124"/>
    </row>
    <row r="48" spans="1:9" x14ac:dyDescent="0.2">
      <c r="A48" s="1" t="s">
        <v>882</v>
      </c>
      <c r="B48" s="6">
        <v>753</v>
      </c>
      <c r="C48" s="95">
        <f>'DOE25'!F49</f>
        <v>85212.67</v>
      </c>
      <c r="D48" s="95">
        <f>'DOE25'!G49</f>
        <v>0</v>
      </c>
      <c r="E48" s="95">
        <f>'DOE25'!H49</f>
        <v>0</v>
      </c>
      <c r="F48" s="95">
        <f>'DOE25'!I49</f>
        <v>0</v>
      </c>
      <c r="G48" s="95">
        <f>'DOE25'!J49</f>
        <v>0</v>
      </c>
      <c r="H48" s="124"/>
      <c r="I48" s="124"/>
    </row>
    <row r="49" spans="1:9" ht="12" thickBot="1" x14ac:dyDescent="0.25">
      <c r="A49" s="29" t="s">
        <v>883</v>
      </c>
      <c r="B49" s="71">
        <v>770</v>
      </c>
      <c r="C49" s="95">
        <f>'DOE25'!F50</f>
        <v>103333.08</v>
      </c>
      <c r="D49" s="24" t="s">
        <v>288</v>
      </c>
      <c r="E49" s="24" t="s">
        <v>288</v>
      </c>
      <c r="F49" s="24" t="s">
        <v>288</v>
      </c>
      <c r="G49" s="24" t="s">
        <v>288</v>
      </c>
      <c r="H49" s="124"/>
      <c r="I49" s="124"/>
    </row>
    <row r="50" spans="1:9" ht="12.75" thickTop="1" thickBot="1" x14ac:dyDescent="0.25">
      <c r="A50" s="38" t="s">
        <v>884</v>
      </c>
      <c r="B50" s="48"/>
      <c r="C50" s="41">
        <f>SUM(C34:C49)</f>
        <v>712727.22</v>
      </c>
      <c r="D50" s="41">
        <f>SUM(D34:D49)</f>
        <v>0</v>
      </c>
      <c r="E50" s="41">
        <f>SUM(E34:E49)</f>
        <v>29725.29</v>
      </c>
      <c r="F50" s="41">
        <f>SUM(F34:F49)</f>
        <v>0</v>
      </c>
      <c r="G50" s="41">
        <f>SUM(G34:G49)</f>
        <v>607887.52</v>
      </c>
      <c r="H50" s="124"/>
      <c r="I50" s="124"/>
    </row>
    <row r="51" spans="1:9" ht="12" thickTop="1" x14ac:dyDescent="0.2">
      <c r="A51" s="38" t="s">
        <v>885</v>
      </c>
      <c r="B51" s="2"/>
      <c r="C51" s="41">
        <f>C50+C31</f>
        <v>1313402.55</v>
      </c>
      <c r="D51" s="41">
        <f>D50+D31</f>
        <v>48293.75</v>
      </c>
      <c r="E51" s="41">
        <f>E50+E31</f>
        <v>240377.74000000002</v>
      </c>
      <c r="F51" s="41">
        <f>F50+F31</f>
        <v>0</v>
      </c>
      <c r="G51" s="41">
        <f>G50+G31</f>
        <v>607887.52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13138970</v>
      </c>
      <c r="D56" s="95">
        <f>'DOE25'!G60</f>
        <v>0</v>
      </c>
      <c r="E56" s="95">
        <f>'DOE25'!H60</f>
        <v>0</v>
      </c>
      <c r="F56" s="95">
        <f>'DOE25'!I60</f>
        <v>0</v>
      </c>
      <c r="G56" s="95">
        <f>'DOE25'!J60</f>
        <v>0</v>
      </c>
      <c r="H56"/>
      <c r="I56"/>
    </row>
    <row r="57" spans="1:9" x14ac:dyDescent="0.2">
      <c r="A57" s="1" t="s">
        <v>164</v>
      </c>
      <c r="B57" s="6" t="s">
        <v>165</v>
      </c>
      <c r="C57" s="95">
        <f>'DOE25'!F79</f>
        <v>10540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5864.99</v>
      </c>
      <c r="D59" s="95">
        <f>'DOE25'!G96</f>
        <v>0</v>
      </c>
      <c r="E59" s="95">
        <f>'DOE25'!H96</f>
        <v>0</v>
      </c>
      <c r="F59" s="95">
        <f>'DOE25'!I96</f>
        <v>0</v>
      </c>
      <c r="G59" s="95">
        <f>'DOE25'!J96</f>
        <v>5566.63</v>
      </c>
      <c r="H59"/>
      <c r="I59"/>
    </row>
    <row r="60" spans="1:9" x14ac:dyDescent="0.2">
      <c r="A60" s="1" t="s">
        <v>170</v>
      </c>
      <c r="B60" s="118" t="s">
        <v>171</v>
      </c>
      <c r="C60" s="24" t="s">
        <v>288</v>
      </c>
      <c r="D60" s="95">
        <f>'DOE25'!G97</f>
        <v>150196.56000000003</v>
      </c>
      <c r="E60" s="24" t="s">
        <v>288</v>
      </c>
      <c r="F60" s="24" t="s">
        <v>288</v>
      </c>
      <c r="G60" s="24" t="s">
        <v>288</v>
      </c>
      <c r="H60"/>
      <c r="I60"/>
    </row>
    <row r="61" spans="1:9" ht="12" thickBot="1" x14ac:dyDescent="0.25">
      <c r="A61" s="1" t="s">
        <v>172</v>
      </c>
      <c r="B61" s="118" t="s">
        <v>173</v>
      </c>
      <c r="C61" s="95">
        <f>SUM('DOE25'!F98:F110)</f>
        <v>172477.18</v>
      </c>
      <c r="D61" s="95">
        <f>SUM('DOE25'!G98:G110)</f>
        <v>0</v>
      </c>
      <c r="E61" s="95">
        <f>SUM('DOE25'!H98:H110)</f>
        <v>9900</v>
      </c>
      <c r="F61" s="95">
        <f>SUM('DOE25'!I98:I110)</f>
        <v>0</v>
      </c>
      <c r="G61" s="95">
        <f>SUM('DOE25'!J98:J110)</f>
        <v>0</v>
      </c>
      <c r="H61"/>
      <c r="I61"/>
    </row>
    <row r="62" spans="1:9" ht="12.75" thickTop="1" thickBot="1" x14ac:dyDescent="0.25">
      <c r="A62" s="29" t="s">
        <v>174</v>
      </c>
      <c r="B62" s="6"/>
      <c r="C62" s="130">
        <f>SUM(C57:C61)</f>
        <v>188882.16999999998</v>
      </c>
      <c r="D62" s="130">
        <f>SUM(D57:D61)</f>
        <v>150196.56000000003</v>
      </c>
      <c r="E62" s="130">
        <f>SUM(E57:E61)</f>
        <v>9900</v>
      </c>
      <c r="F62" s="130">
        <f>SUM(F57:F61)</f>
        <v>0</v>
      </c>
      <c r="G62" s="130">
        <f>SUM(G57:G61)</f>
        <v>5566.63</v>
      </c>
      <c r="H62"/>
      <c r="I62"/>
    </row>
    <row r="63" spans="1:9" ht="12" thickTop="1" x14ac:dyDescent="0.2">
      <c r="A63" s="29" t="s">
        <v>175</v>
      </c>
      <c r="B63" s="6"/>
      <c r="C63" s="22">
        <f>C56+C62</f>
        <v>13327852.17</v>
      </c>
      <c r="D63" s="22">
        <f>D56+D62</f>
        <v>150196.56000000003</v>
      </c>
      <c r="E63" s="22">
        <f>E56+E62</f>
        <v>9900</v>
      </c>
      <c r="F63" s="22">
        <f>F56+F62</f>
        <v>0</v>
      </c>
      <c r="G63" s="22">
        <f>G56+G62</f>
        <v>5566.63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3304836.34</v>
      </c>
      <c r="D66" s="24" t="s">
        <v>288</v>
      </c>
      <c r="E66" s="24" t="s">
        <v>288</v>
      </c>
      <c r="F66" s="24" t="s">
        <v>288</v>
      </c>
      <c r="G66" s="24" t="s">
        <v>288</v>
      </c>
      <c r="H66"/>
      <c r="I66"/>
    </row>
    <row r="67" spans="1:9" x14ac:dyDescent="0.2">
      <c r="A67" s="1" t="s">
        <v>770</v>
      </c>
      <c r="B67" s="6">
        <v>3112</v>
      </c>
      <c r="C67" s="95">
        <f>'DOE25'!F118</f>
        <v>1751300</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1956.09</v>
      </c>
      <c r="D69" s="95">
        <f>'DOE25'!G120</f>
        <v>0</v>
      </c>
      <c r="E69" s="95">
        <f>'DOE25'!H120</f>
        <v>0</v>
      </c>
      <c r="F69" s="95">
        <f>'DOE25'!I120</f>
        <v>0</v>
      </c>
      <c r="G69" s="95">
        <f>'DOE25'!J120</f>
        <v>0</v>
      </c>
      <c r="H69"/>
      <c r="I69"/>
    </row>
    <row r="70" spans="1:9" ht="12" thickTop="1" x14ac:dyDescent="0.2">
      <c r="A70" s="29" t="s">
        <v>252</v>
      </c>
      <c r="B70" s="2"/>
      <c r="C70" s="139">
        <f>SUM(C66:C69)</f>
        <v>5058092.43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291874.59999999998</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161476.75</v>
      </c>
      <c r="D75" s="24" t="s">
        <v>288</v>
      </c>
      <c r="E75" s="24" t="s">
        <v>288</v>
      </c>
      <c r="F75" s="24" t="s">
        <v>288</v>
      </c>
      <c r="G75" s="24" t="s">
        <v>288</v>
      </c>
      <c r="H75"/>
      <c r="I75"/>
    </row>
    <row r="76" spans="1:9" x14ac:dyDescent="0.2">
      <c r="A76" s="1" t="s">
        <v>257</v>
      </c>
      <c r="B76" s="6" t="s">
        <v>179</v>
      </c>
      <c r="C76" s="95">
        <f>SUM('DOE25'!F127:F130)</f>
        <v>13230.4</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5312.62</v>
      </c>
      <c r="E77" s="95">
        <f>SUM('DOE25'!H131:H135)</f>
        <v>2258.1</v>
      </c>
      <c r="F77" s="95">
        <f>SUM('DOE25'!I131:I135)</f>
        <v>0</v>
      </c>
      <c r="G77" s="95">
        <f>SUM('DOE25'!J131:J135)</f>
        <v>0</v>
      </c>
      <c r="H77"/>
      <c r="I77"/>
    </row>
    <row r="78" spans="1:9" ht="12.75" thickTop="1" thickBot="1" x14ac:dyDescent="0.25">
      <c r="A78" s="29" t="s">
        <v>259</v>
      </c>
      <c r="B78" s="6"/>
      <c r="C78" s="130">
        <f>SUM(C72:C77)</f>
        <v>466581.75</v>
      </c>
      <c r="D78" s="130">
        <f>SUM(D72:D77)</f>
        <v>5312.62</v>
      </c>
      <c r="E78" s="130">
        <f>SUM(E72:E77)</f>
        <v>2258.1</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5524674.1799999997</v>
      </c>
      <c r="D81" s="130">
        <f>SUM(D79:D80)+D78+D70</f>
        <v>5312.62</v>
      </c>
      <c r="E81" s="130">
        <f>SUM(E79:E80)+E78+E70</f>
        <v>2258.1</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6608.13</v>
      </c>
      <c r="D88" s="341">
        <f>SUM('DOE25'!G153:G162)</f>
        <v>92811.860000000015</v>
      </c>
      <c r="E88" s="341">
        <f>SUM('DOE25'!H153:H162)</f>
        <v>515574.63999999996</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6608.13</v>
      </c>
      <c r="D91" s="131">
        <f>SUM(D85:D90)</f>
        <v>92811.860000000015</v>
      </c>
      <c r="E91" s="131">
        <f>SUM(E85:E90)</f>
        <v>515574.63999999996</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53112.56</v>
      </c>
      <c r="E96" s="95">
        <f>'DOE25'!H180</f>
        <v>0</v>
      </c>
      <c r="F96" s="95">
        <f>'DOE25'!I180</f>
        <v>0</v>
      </c>
      <c r="G96" s="95">
        <f>'DOE25'!J180</f>
        <v>250000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53112.56</v>
      </c>
      <c r="E103" s="86">
        <f>SUM(E93:E102)</f>
        <v>0</v>
      </c>
      <c r="F103" s="86">
        <f>SUM(F93:F102)</f>
        <v>0</v>
      </c>
      <c r="G103" s="86">
        <f>SUM(G93:G102)</f>
        <v>250000</v>
      </c>
    </row>
    <row r="104" spans="1:7" ht="12.75" thickTop="1" thickBot="1" x14ac:dyDescent="0.25">
      <c r="A104" s="33" t="s">
        <v>761</v>
      </c>
      <c r="C104" s="86">
        <f>C63+C81+C91+C103</f>
        <v>18859134.48</v>
      </c>
      <c r="D104" s="86">
        <f>D63+D81+D91+D103</f>
        <v>301433.60000000003</v>
      </c>
      <c r="E104" s="86">
        <f>E63+E81+E91+E103</f>
        <v>527732.74</v>
      </c>
      <c r="F104" s="86">
        <f>F63+F81+F91+F103</f>
        <v>0</v>
      </c>
      <c r="G104" s="86">
        <f>G63+G81+G103</f>
        <v>255566.63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7077011.6999999993</v>
      </c>
      <c r="D109" s="24" t="s">
        <v>288</v>
      </c>
      <c r="E109" s="95">
        <f>('DOE25'!L277)+('DOE25'!L296)+('DOE25'!L315)</f>
        <v>138717.18</v>
      </c>
      <c r="F109" s="24" t="s">
        <v>288</v>
      </c>
      <c r="G109" s="24" t="s">
        <v>288</v>
      </c>
    </row>
    <row r="110" spans="1:7" x14ac:dyDescent="0.2">
      <c r="A110" t="s">
        <v>198</v>
      </c>
      <c r="B110" s="32" t="s">
        <v>199</v>
      </c>
      <c r="C110" s="95">
        <f>('DOE25'!L199)+('DOE25'!L217)+('DOE25'!L235)</f>
        <v>2786736.5900000003</v>
      </c>
      <c r="D110" s="24" t="s">
        <v>288</v>
      </c>
      <c r="E110" s="95">
        <f>('DOE25'!L278)+('DOE25'!L297)+('DOE25'!L316)</f>
        <v>109404.66000000002</v>
      </c>
      <c r="F110" s="24" t="s">
        <v>288</v>
      </c>
      <c r="G110" s="24" t="s">
        <v>288</v>
      </c>
    </row>
    <row r="111" spans="1:7" x14ac:dyDescent="0.2">
      <c r="A111" t="s">
        <v>200</v>
      </c>
      <c r="B111" s="32" t="s">
        <v>165</v>
      </c>
      <c r="C111" s="95">
        <f>('DOE25'!L200)+('DOE25'!L218)+('DOE25'!L236)</f>
        <v>123543</v>
      </c>
      <c r="D111" s="24" t="s">
        <v>288</v>
      </c>
      <c r="E111" s="95">
        <f>('DOE25'!L279)+('DOE25'!L298)+('DOE25'!L317)</f>
        <v>0</v>
      </c>
      <c r="F111" s="24" t="s">
        <v>288</v>
      </c>
      <c r="G111" s="24" t="s">
        <v>288</v>
      </c>
    </row>
    <row r="112" spans="1:7" x14ac:dyDescent="0.2">
      <c r="A112" t="s">
        <v>201</v>
      </c>
      <c r="B112" s="32" t="s">
        <v>167</v>
      </c>
      <c r="C112" s="95">
        <f>('DOE25'!L201)+('DOE25'!L219)+('DOE25'!L237)</f>
        <v>290944.07</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10278235.359999999</v>
      </c>
      <c r="D115" s="86">
        <f>SUM(D109:D114)</f>
        <v>0</v>
      </c>
      <c r="E115" s="86">
        <f>SUM(E109:E114)</f>
        <v>248121.84000000003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1594961.55</v>
      </c>
      <c r="D118" s="24" t="s">
        <v>288</v>
      </c>
      <c r="E118" s="95">
        <f>+('DOE25'!L282)+('DOE25'!L301)+('DOE25'!L320)</f>
        <v>92153.150000000009</v>
      </c>
      <c r="F118" s="24" t="s">
        <v>288</v>
      </c>
      <c r="G118" s="24" t="s">
        <v>288</v>
      </c>
    </row>
    <row r="119" spans="1:7" x14ac:dyDescent="0.2">
      <c r="A119" t="s">
        <v>208</v>
      </c>
      <c r="B119" s="32" t="s">
        <v>209</v>
      </c>
      <c r="C119" s="95">
        <f>('DOE25'!L204)+('DOE25'!L222)+('DOE25'!L240)</f>
        <v>876480.94</v>
      </c>
      <c r="D119" s="24" t="s">
        <v>288</v>
      </c>
      <c r="E119" s="95">
        <f>+('DOE25'!L283)+('DOE25'!L302)+('DOE25'!L321)</f>
        <v>193563.6</v>
      </c>
      <c r="F119" s="24" t="s">
        <v>288</v>
      </c>
      <c r="G119" s="24" t="s">
        <v>288</v>
      </c>
    </row>
    <row r="120" spans="1:7" x14ac:dyDescent="0.2">
      <c r="A120" t="s">
        <v>210</v>
      </c>
      <c r="B120" s="32" t="s">
        <v>211</v>
      </c>
      <c r="C120" s="95">
        <f>('DOE25'!L205)+('DOE25'!L223)+('DOE25'!L241)</f>
        <v>1040093.5800000001</v>
      </c>
      <c r="D120" s="24" t="s">
        <v>288</v>
      </c>
      <c r="E120" s="95">
        <f>+('DOE25'!L284)+('DOE25'!L303)+('DOE25'!L322)</f>
        <v>6184.93</v>
      </c>
      <c r="F120" s="24" t="s">
        <v>288</v>
      </c>
      <c r="G120" s="24" t="s">
        <v>288</v>
      </c>
    </row>
    <row r="121" spans="1:7" x14ac:dyDescent="0.2">
      <c r="A121" t="s">
        <v>212</v>
      </c>
      <c r="B121" s="32" t="s">
        <v>213</v>
      </c>
      <c r="C121" s="95">
        <f>('DOE25'!L206)+('DOE25'!L224)+('DOE25'!L242)</f>
        <v>1307958.9900000002</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1588830.2100000002</v>
      </c>
      <c r="D123" s="24" t="s">
        <v>288</v>
      </c>
      <c r="E123" s="95">
        <f>+('DOE25'!L287)+('DOE25'!L306)+('DOE25'!L325)</f>
        <v>0</v>
      </c>
      <c r="F123" s="24" t="s">
        <v>288</v>
      </c>
      <c r="G123" s="24" t="s">
        <v>288</v>
      </c>
    </row>
    <row r="124" spans="1:7" x14ac:dyDescent="0.2">
      <c r="A124" t="s">
        <v>218</v>
      </c>
      <c r="B124" s="32" t="s">
        <v>219</v>
      </c>
      <c r="C124" s="95">
        <f>('DOE25'!L209)+('DOE25'!L227)+('DOE25'!L245+'DOE25'!L255)</f>
        <v>689267.82</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363285.1</v>
      </c>
      <c r="E127" s="24" t="s">
        <v>288</v>
      </c>
      <c r="F127" s="24" t="s">
        <v>288</v>
      </c>
      <c r="G127" s="24" t="s">
        <v>288</v>
      </c>
    </row>
    <row r="128" spans="1:7" ht="12.75" thickTop="1" thickBot="1" x14ac:dyDescent="0.25">
      <c r="A128" s="33" t="s">
        <v>226</v>
      </c>
      <c r="C128" s="86">
        <f>SUM(C118:C127)</f>
        <v>7097593.0900000008</v>
      </c>
      <c r="D128" s="86">
        <f>SUM(D118:D127)</f>
        <v>363285.1</v>
      </c>
      <c r="E128" s="86">
        <f>SUM(E118:E127)</f>
        <v>291901.68</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799600</v>
      </c>
      <c r="D131" s="24" t="s">
        <v>288</v>
      </c>
      <c r="E131" s="129">
        <f>'DOE25'!L342</f>
        <v>0</v>
      </c>
      <c r="F131" s="24" t="s">
        <v>288</v>
      </c>
      <c r="G131" s="24" t="s">
        <v>288</v>
      </c>
    </row>
    <row r="132" spans="1:7" x14ac:dyDescent="0.2">
      <c r="A132" t="s">
        <v>230</v>
      </c>
      <c r="B132" s="32">
        <v>5120</v>
      </c>
      <c r="C132" s="95">
        <f>'DOE25'!L262</f>
        <v>221755.18</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14812.330000000002</v>
      </c>
      <c r="F134" s="95">
        <f>'DOE25'!K382</f>
        <v>0</v>
      </c>
      <c r="G134" s="95">
        <f>'DOE25'!K435</f>
        <v>0</v>
      </c>
    </row>
    <row r="135" spans="1:7" x14ac:dyDescent="0.2">
      <c r="A135" t="s">
        <v>233</v>
      </c>
      <c r="B135" s="32" t="s">
        <v>234</v>
      </c>
      <c r="C135" s="95">
        <f>'DOE25'!L264</f>
        <v>53112.56</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204075.73</v>
      </c>
      <c r="D138" s="24" t="s">
        <v>288</v>
      </c>
      <c r="E138" s="24" t="s">
        <v>288</v>
      </c>
      <c r="F138" s="24" t="s">
        <v>288</v>
      </c>
      <c r="G138" s="24" t="s">
        <v>288</v>
      </c>
    </row>
    <row r="139" spans="1:7" x14ac:dyDescent="0.2">
      <c r="A139" t="s">
        <v>239</v>
      </c>
      <c r="B139" s="32">
        <v>5252</v>
      </c>
      <c r="C139" s="95">
        <f>'DOE25'!L402</f>
        <v>51490.9</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-5566.6300000000047</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1324467.7399999998</v>
      </c>
      <c r="D144" s="141">
        <f>SUM(D130:D143)</f>
        <v>0</v>
      </c>
      <c r="E144" s="141">
        <f>SUM(E130:E143)</f>
        <v>14812.330000000002</v>
      </c>
      <c r="F144" s="141">
        <f>SUM(F130:F143)</f>
        <v>0</v>
      </c>
      <c r="G144" s="141">
        <f>SUM(G130:G143)</f>
        <v>0</v>
      </c>
    </row>
    <row r="145" spans="1:9" ht="12.75" thickTop="1" thickBot="1" x14ac:dyDescent="0.25">
      <c r="A145" s="33" t="s">
        <v>244</v>
      </c>
      <c r="C145" s="86">
        <f>(C115+C128+C144)</f>
        <v>18700296.189999998</v>
      </c>
      <c r="D145" s="86">
        <f>(D115+D128+D144)</f>
        <v>363285.1</v>
      </c>
      <c r="E145" s="86">
        <f>(E115+E128+E144)</f>
        <v>554835.85</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10</v>
      </c>
      <c r="D151" s="153">
        <f>'DOE25'!H491</f>
        <v>0</v>
      </c>
      <c r="E151" s="153">
        <f>'DOE25'!I491</f>
        <v>0</v>
      </c>
      <c r="F151" s="153">
        <f>'DOE25'!J491</f>
        <v>0</v>
      </c>
      <c r="G151" s="24" t="s">
        <v>288</v>
      </c>
    </row>
    <row r="152" spans="1:9" x14ac:dyDescent="0.2">
      <c r="A152" s="136" t="s">
        <v>28</v>
      </c>
      <c r="B152" s="152" t="str">
        <f>'DOE25'!F492</f>
        <v>08/05</v>
      </c>
      <c r="C152" s="152" t="str">
        <f>'DOE25'!G492</f>
        <v>06/18</v>
      </c>
      <c r="D152" s="152">
        <f>'DOE25'!H492</f>
        <v>0</v>
      </c>
      <c r="E152" s="152">
        <f>'DOE25'!I492</f>
        <v>0</v>
      </c>
      <c r="F152" s="152">
        <f>'DOE25'!J492</f>
        <v>0</v>
      </c>
      <c r="G152" s="24" t="s">
        <v>288</v>
      </c>
    </row>
    <row r="153" spans="1:9" x14ac:dyDescent="0.2">
      <c r="A153" s="136" t="s">
        <v>29</v>
      </c>
      <c r="B153" s="152" t="str">
        <f>'DOE25'!F493</f>
        <v>08/25</v>
      </c>
      <c r="C153" s="152" t="str">
        <f>'DOE25'!G493</f>
        <v>08/28</v>
      </c>
      <c r="D153" s="152">
        <f>'DOE25'!H493</f>
        <v>0</v>
      </c>
      <c r="E153" s="152">
        <f>'DOE25'!I493</f>
        <v>0</v>
      </c>
      <c r="F153" s="152">
        <f>'DOE25'!J493</f>
        <v>0</v>
      </c>
      <c r="G153" s="24" t="s">
        <v>288</v>
      </c>
    </row>
    <row r="154" spans="1:9" x14ac:dyDescent="0.2">
      <c r="A154" s="136" t="s">
        <v>30</v>
      </c>
      <c r="B154" s="137">
        <f>'DOE25'!F494</f>
        <v>12072350</v>
      </c>
      <c r="C154" s="137">
        <f>'DOE25'!G494</f>
        <v>974600</v>
      </c>
      <c r="D154" s="137">
        <f>'DOE25'!H494</f>
        <v>0</v>
      </c>
      <c r="E154" s="137">
        <f>'DOE25'!I494</f>
        <v>0</v>
      </c>
      <c r="F154" s="137">
        <f>'DOE25'!J494</f>
        <v>0</v>
      </c>
      <c r="G154" s="24" t="s">
        <v>288</v>
      </c>
    </row>
    <row r="155" spans="1:9" x14ac:dyDescent="0.2">
      <c r="A155" s="136" t="s">
        <v>31</v>
      </c>
      <c r="B155" s="137">
        <f>'DOE25'!F495</f>
        <v>4.13</v>
      </c>
      <c r="C155" s="137">
        <f>'DOE25'!G495</f>
        <v>2.57</v>
      </c>
      <c r="D155" s="137">
        <f>'DOE25'!H495</f>
        <v>0</v>
      </c>
      <c r="E155" s="137">
        <f>'DOE25'!I495</f>
        <v>0</v>
      </c>
      <c r="F155" s="137">
        <f>'DOE25'!J495</f>
        <v>0</v>
      </c>
      <c r="G155" s="24" t="s">
        <v>288</v>
      </c>
    </row>
    <row r="156" spans="1:9" x14ac:dyDescent="0.2">
      <c r="A156" s="22" t="s">
        <v>32</v>
      </c>
      <c r="B156" s="137">
        <f>'DOE25'!F496</f>
        <v>5530000</v>
      </c>
      <c r="C156" s="137">
        <f>'DOE25'!G496</f>
        <v>974600</v>
      </c>
      <c r="D156" s="137">
        <f>'DOE25'!H496</f>
        <v>0</v>
      </c>
      <c r="E156" s="137">
        <f>'DOE25'!I496</f>
        <v>0</v>
      </c>
      <c r="F156" s="137">
        <f>'DOE25'!J496</f>
        <v>0</v>
      </c>
      <c r="G156" s="138">
        <f>SUM(B156:F156)</f>
        <v>6504600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695000</v>
      </c>
      <c r="C158" s="137">
        <f>'DOE25'!G498</f>
        <v>104600</v>
      </c>
      <c r="D158" s="137">
        <f>'DOE25'!H498</f>
        <v>0</v>
      </c>
      <c r="E158" s="137">
        <f>'DOE25'!I498</f>
        <v>0</v>
      </c>
      <c r="F158" s="137">
        <f>'DOE25'!J498</f>
        <v>0</v>
      </c>
      <c r="G158" s="138">
        <f t="shared" si="0"/>
        <v>799600</v>
      </c>
    </row>
    <row r="159" spans="1:9" x14ac:dyDescent="0.2">
      <c r="A159" s="22" t="s">
        <v>35</v>
      </c>
      <c r="B159" s="137">
        <f>'DOE25'!F499</f>
        <v>4835000</v>
      </c>
      <c r="C159" s="137">
        <f>'DOE25'!G499</f>
        <v>870000</v>
      </c>
      <c r="D159" s="137">
        <f>'DOE25'!H499</f>
        <v>0</v>
      </c>
      <c r="E159" s="137">
        <f>'DOE25'!I499</f>
        <v>0</v>
      </c>
      <c r="F159" s="137">
        <f>'DOE25'!J499</f>
        <v>0</v>
      </c>
      <c r="G159" s="138">
        <f t="shared" si="0"/>
        <v>5705000</v>
      </c>
    </row>
    <row r="160" spans="1:9" x14ac:dyDescent="0.2">
      <c r="A160" s="22" t="s">
        <v>36</v>
      </c>
      <c r="B160" s="137">
        <f>'DOE25'!F500</f>
        <v>425785.25</v>
      </c>
      <c r="C160" s="137">
        <f>'DOE25'!G500</f>
        <v>197370</v>
      </c>
      <c r="D160" s="137">
        <f>'DOE25'!H500</f>
        <v>0</v>
      </c>
      <c r="E160" s="137">
        <f>'DOE25'!I500</f>
        <v>0</v>
      </c>
      <c r="F160" s="137">
        <f>'DOE25'!J500</f>
        <v>0</v>
      </c>
      <c r="G160" s="138">
        <f t="shared" si="0"/>
        <v>623155.25</v>
      </c>
    </row>
    <row r="161" spans="1:7" x14ac:dyDescent="0.2">
      <c r="A161" s="22" t="s">
        <v>37</v>
      </c>
      <c r="B161" s="137">
        <f>'DOE25'!F501</f>
        <v>5260785.25</v>
      </c>
      <c r="C161" s="137">
        <f>'DOE25'!G501</f>
        <v>1067370</v>
      </c>
      <c r="D161" s="137">
        <f>'DOE25'!H501</f>
        <v>0</v>
      </c>
      <c r="E161" s="137">
        <f>'DOE25'!I501</f>
        <v>0</v>
      </c>
      <c r="F161" s="137">
        <f>'DOE25'!J501</f>
        <v>0</v>
      </c>
      <c r="G161" s="138">
        <f t="shared" si="0"/>
        <v>6328155.25</v>
      </c>
    </row>
    <row r="162" spans="1:7" x14ac:dyDescent="0.2">
      <c r="A162" s="22" t="s">
        <v>38</v>
      </c>
      <c r="B162" s="137">
        <f>'DOE25'!F502</f>
        <v>720000</v>
      </c>
      <c r="C162" s="137">
        <f>'DOE25'!G502</f>
        <v>100000</v>
      </c>
      <c r="D162" s="137">
        <f>'DOE25'!H502</f>
        <v>0</v>
      </c>
      <c r="E162" s="137">
        <f>'DOE25'!I502</f>
        <v>0</v>
      </c>
      <c r="F162" s="137">
        <f>'DOE25'!J502</f>
        <v>0</v>
      </c>
      <c r="G162" s="138">
        <f t="shared" si="0"/>
        <v>820000</v>
      </c>
    </row>
    <row r="163" spans="1:7" x14ac:dyDescent="0.2">
      <c r="A163" s="22" t="s">
        <v>39</v>
      </c>
      <c r="B163" s="137">
        <f>'DOE25'!F503</f>
        <v>145263.5</v>
      </c>
      <c r="C163" s="137">
        <f>'DOE25'!G503</f>
        <v>41820</v>
      </c>
      <c r="D163" s="137">
        <f>'DOE25'!H503</f>
        <v>0</v>
      </c>
      <c r="E163" s="137">
        <f>'DOE25'!I503</f>
        <v>0</v>
      </c>
      <c r="F163" s="137">
        <f>'DOE25'!J503</f>
        <v>0</v>
      </c>
      <c r="G163" s="138">
        <f t="shared" si="0"/>
        <v>187083.5</v>
      </c>
    </row>
    <row r="164" spans="1:7" x14ac:dyDescent="0.2">
      <c r="A164" s="22" t="s">
        <v>246</v>
      </c>
      <c r="B164" s="137">
        <f>'DOE25'!F504</f>
        <v>865263.5</v>
      </c>
      <c r="C164" s="137">
        <f>'DOE25'!G504</f>
        <v>141820</v>
      </c>
      <c r="D164" s="137">
        <f>'DOE25'!H504</f>
        <v>0</v>
      </c>
      <c r="E164" s="137">
        <f>'DOE25'!I504</f>
        <v>0</v>
      </c>
      <c r="F164" s="137">
        <f>'DOE25'!J504</f>
        <v>0</v>
      </c>
      <c r="G164" s="138">
        <f t="shared" si="0"/>
        <v>1007083.5</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Epping School District</v>
      </c>
    </row>
    <row r="3" spans="1:4" x14ac:dyDescent="0.2">
      <c r="B3" s="188" t="s">
        <v>1587</v>
      </c>
    </row>
    <row r="4" spans="1:4" x14ac:dyDescent="0.2">
      <c r="B4" t="s">
        <v>61</v>
      </c>
      <c r="C4" s="179">
        <f>IF('DOE25'!F666+'DOE25'!F671=0,0,ROUND('DOE25'!F673,0))</f>
        <v>16639</v>
      </c>
    </row>
    <row r="5" spans="1:4" x14ac:dyDescent="0.2">
      <c r="B5" t="s">
        <v>700</v>
      </c>
      <c r="C5" s="179">
        <f>IF('DOE25'!G666+'DOE25'!G671=0,0,ROUND('DOE25'!G673,0))</f>
        <v>19562</v>
      </c>
    </row>
    <row r="6" spans="1:4" x14ac:dyDescent="0.2">
      <c r="B6" t="s">
        <v>62</v>
      </c>
      <c r="C6" s="179">
        <f>IF('DOE25'!H666+'DOE25'!H671=0,0,ROUND('DOE25'!H673,0))</f>
        <v>22258</v>
      </c>
    </row>
    <row r="7" spans="1:4" x14ac:dyDescent="0.2">
      <c r="B7" t="s">
        <v>701</v>
      </c>
      <c r="C7" s="179">
        <f>IF('DOE25'!I666+'DOE25'!I671=0,0,ROUND('DOE25'!I673,0))</f>
        <v>18722</v>
      </c>
    </row>
    <row r="9" spans="1:4" x14ac:dyDescent="0.2">
      <c r="A9" s="187" t="s">
        <v>94</v>
      </c>
      <c r="B9" s="188" t="s">
        <v>1588</v>
      </c>
      <c r="C9" s="181" t="s">
        <v>720</v>
      </c>
      <c r="D9" s="181" t="s">
        <v>721</v>
      </c>
    </row>
    <row r="10" spans="1:4" x14ac:dyDescent="0.2">
      <c r="A10">
        <v>1100</v>
      </c>
      <c r="B10" t="s">
        <v>702</v>
      </c>
      <c r="C10" s="179">
        <f>ROUND('DOE25'!L198+'DOE25'!L216+'DOE25'!L234+'DOE25'!L277+'DOE25'!L296+'DOE25'!L315,0)</f>
        <v>7215729</v>
      </c>
      <c r="D10" s="182">
        <f>ROUND((C10/$C$28)*100,1)</f>
        <v>39.299999999999997</v>
      </c>
    </row>
    <row r="11" spans="1:4" x14ac:dyDescent="0.2">
      <c r="A11">
        <v>1200</v>
      </c>
      <c r="B11" t="s">
        <v>703</v>
      </c>
      <c r="C11" s="179">
        <f>ROUND('DOE25'!L199+'DOE25'!L217+'DOE25'!L235+'DOE25'!L278+'DOE25'!L297+'DOE25'!L316,0)</f>
        <v>2896141</v>
      </c>
      <c r="D11" s="182">
        <f>ROUND((C11/$C$28)*100,1)</f>
        <v>15.8</v>
      </c>
    </row>
    <row r="12" spans="1:4" x14ac:dyDescent="0.2">
      <c r="A12">
        <v>1300</v>
      </c>
      <c r="B12" t="s">
        <v>704</v>
      </c>
      <c r="C12" s="179">
        <f>ROUND('DOE25'!L200+'DOE25'!L218+'DOE25'!L236+'DOE25'!L279+'DOE25'!L298+'DOE25'!L317,0)</f>
        <v>123543</v>
      </c>
      <c r="D12" s="182">
        <f>ROUND((C12/$C$28)*100,1)</f>
        <v>0.7</v>
      </c>
    </row>
    <row r="13" spans="1:4" x14ac:dyDescent="0.2">
      <c r="A13">
        <v>1400</v>
      </c>
      <c r="B13" t="s">
        <v>705</v>
      </c>
      <c r="C13" s="179">
        <f>ROUND('DOE25'!L201+'DOE25'!L219+'DOE25'!L237+'DOE25'!L280+'DOE25'!L299+'DOE25'!L318,0)</f>
        <v>290944</v>
      </c>
      <c r="D13" s="182">
        <f>ROUND((C13/$C$28)*100,1)</f>
        <v>1.6</v>
      </c>
    </row>
    <row r="14" spans="1:4" x14ac:dyDescent="0.2">
      <c r="D14" s="182"/>
    </row>
    <row r="15" spans="1:4" x14ac:dyDescent="0.2">
      <c r="A15">
        <v>2100</v>
      </c>
      <c r="B15" t="s">
        <v>706</v>
      </c>
      <c r="C15" s="179">
        <f>ROUND('DOE25'!L203+'DOE25'!L221+'DOE25'!L239+'DOE25'!L282+'DOE25'!L301+'DOE25'!L320,0)</f>
        <v>1687115</v>
      </c>
      <c r="D15" s="182">
        <f t="shared" ref="D15:D27" si="0">ROUND((C15/$C$28)*100,1)</f>
        <v>9.1999999999999993</v>
      </c>
    </row>
    <row r="16" spans="1:4" x14ac:dyDescent="0.2">
      <c r="A16">
        <v>2200</v>
      </c>
      <c r="B16" t="s">
        <v>707</v>
      </c>
      <c r="C16" s="179">
        <f>ROUND('DOE25'!L204+'DOE25'!L222+'DOE25'!L240+'DOE25'!L283+'DOE25'!L302+'DOE25'!L321,0)</f>
        <v>1070045</v>
      </c>
      <c r="D16" s="182">
        <f t="shared" si="0"/>
        <v>5.8</v>
      </c>
    </row>
    <row r="17" spans="1:4" x14ac:dyDescent="0.2">
      <c r="A17" s="183" t="s">
        <v>723</v>
      </c>
      <c r="B17" t="s">
        <v>738</v>
      </c>
      <c r="C17" s="179">
        <f>ROUND('DOE25'!L205+'DOE25'!L210+'DOE25'!L223+'DOE25'!L228+'DOE25'!L241+'DOE25'!L246+'DOE25'!L284+'DOE25'!L289+'DOE25'!L303+'DOE25'!L308+'DOE25'!L322+'DOE25'!L327,0)</f>
        <v>1046279</v>
      </c>
      <c r="D17" s="182">
        <f t="shared" si="0"/>
        <v>5.7</v>
      </c>
    </row>
    <row r="18" spans="1:4" x14ac:dyDescent="0.2">
      <c r="A18">
        <v>2400</v>
      </c>
      <c r="B18" t="s">
        <v>711</v>
      </c>
      <c r="C18" s="179">
        <f>ROUND('DOE25'!L206+'DOE25'!L224+'DOE25'!L242+'DOE25'!L285+'DOE25'!L304+'DOE25'!L323,0)</f>
        <v>1307959</v>
      </c>
      <c r="D18" s="182">
        <f t="shared" si="0"/>
        <v>7.1</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1588830</v>
      </c>
      <c r="D20" s="182">
        <f t="shared" si="0"/>
        <v>8.6999999999999993</v>
      </c>
    </row>
    <row r="21" spans="1:4" x14ac:dyDescent="0.2">
      <c r="A21">
        <v>2700</v>
      </c>
      <c r="B21" t="s">
        <v>710</v>
      </c>
      <c r="C21" s="179">
        <f>ROUND('DOE25'!L209+'DOE25'!L227+'DOE25'!L245+'DOE25'!L288+'DOE25'!L307+'DOE25'!L326,0)</f>
        <v>689268</v>
      </c>
      <c r="D21" s="182">
        <f t="shared" si="0"/>
        <v>3.8</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221755</v>
      </c>
      <c r="D25" s="182">
        <f t="shared" si="0"/>
        <v>1.2</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213088.43999999997</v>
      </c>
      <c r="D27" s="182">
        <f t="shared" si="0"/>
        <v>1.2</v>
      </c>
    </row>
    <row r="28" spans="1:4" x14ac:dyDescent="0.2">
      <c r="B28" s="187" t="s">
        <v>719</v>
      </c>
      <c r="C28" s="180">
        <f>SUM(C10:C27)</f>
        <v>18350696.440000001</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18350696.440000001</v>
      </c>
    </row>
    <row r="31" spans="1:4" x14ac:dyDescent="0.2">
      <c r="B31" s="33"/>
      <c r="C31" s="180"/>
    </row>
    <row r="32" spans="1:4" x14ac:dyDescent="0.2">
      <c r="A32">
        <v>5100</v>
      </c>
      <c r="B32" s="33" t="s">
        <v>726</v>
      </c>
      <c r="C32" s="180">
        <f>ROUND('DOE25'!L261+'DOE25'!L342,0)</f>
        <v>799600</v>
      </c>
    </row>
    <row r="34" spans="1:4" x14ac:dyDescent="0.2">
      <c r="A34" s="187" t="s">
        <v>94</v>
      </c>
      <c r="B34" s="188" t="s">
        <v>1589</v>
      </c>
      <c r="C34" s="181" t="s">
        <v>720</v>
      </c>
      <c r="D34" s="181" t="s">
        <v>721</v>
      </c>
    </row>
    <row r="35" spans="1:4" x14ac:dyDescent="0.2">
      <c r="A35">
        <v>1100</v>
      </c>
      <c r="B35" s="185" t="s">
        <v>727</v>
      </c>
      <c r="C35" s="179">
        <f>ROUND('DOE25'!F60+'DOE25'!G60+'DOE25'!H60+'DOE25'!I60+'DOE25'!J60,0)</f>
        <v>13138970</v>
      </c>
      <c r="D35" s="182">
        <f t="shared" ref="D35:D40" si="1">ROUND((C35/$C$41)*100,1)</f>
        <v>67.400000000000006</v>
      </c>
    </row>
    <row r="36" spans="1:4" x14ac:dyDescent="0.2">
      <c r="B36" s="185" t="s">
        <v>739</v>
      </c>
      <c r="C36" s="179">
        <f>SUM('DOE25'!F112:J112)-SUM('DOE25'!G97:G110)+('DOE25'!F175+'DOE25'!F176+'DOE25'!I175+'DOE25'!I176)-C35</f>
        <v>204348.80000000075</v>
      </c>
      <c r="D36" s="182">
        <f t="shared" si="1"/>
        <v>1</v>
      </c>
    </row>
    <row r="37" spans="1:4" x14ac:dyDescent="0.2">
      <c r="A37" s="183" t="s">
        <v>835</v>
      </c>
      <c r="B37" s="185" t="s">
        <v>728</v>
      </c>
      <c r="C37" s="179">
        <f>ROUND('DOE25'!F117+'DOE25'!F118,0)</f>
        <v>5056136</v>
      </c>
      <c r="D37" s="182">
        <f t="shared" si="1"/>
        <v>25.9</v>
      </c>
    </row>
    <row r="38" spans="1:4" x14ac:dyDescent="0.2">
      <c r="A38" s="183" t="s">
        <v>734</v>
      </c>
      <c r="B38" s="185" t="s">
        <v>729</v>
      </c>
      <c r="C38" s="179">
        <f>ROUND(SUM('DOE25'!F140:J140)-SUM('DOE25'!F117:F119),0)</f>
        <v>476109</v>
      </c>
      <c r="D38" s="182">
        <f t="shared" si="1"/>
        <v>2.4</v>
      </c>
    </row>
    <row r="39" spans="1:4" x14ac:dyDescent="0.2">
      <c r="A39">
        <v>4000</v>
      </c>
      <c r="B39" s="185" t="s">
        <v>730</v>
      </c>
      <c r="C39" s="179">
        <f>ROUND('DOE25'!F170+'DOE25'!G170+'DOE25'!H170+'DOE25'!I170,0)</f>
        <v>614995</v>
      </c>
      <c r="D39" s="182">
        <f t="shared" si="1"/>
        <v>3.2</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19490558.800000001</v>
      </c>
      <c r="D41" s="184">
        <f>SUM(D35:D40)</f>
        <v>99.90000000000002</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Epping School District</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2020-09-30T13:03:43Z</cp:lastPrinted>
  <dcterms:created xsi:type="dcterms:W3CDTF">1997-12-04T19:04:30Z</dcterms:created>
  <dcterms:modified xsi:type="dcterms:W3CDTF">2020-12-11T14:46:17Z</dcterms:modified>
</cp:coreProperties>
</file>