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2" i="1" l="1"/>
  <c r="J466"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9" i="14"/>
  <c r="C10" i="14"/>
  <c r="C11" i="14"/>
  <c r="C13" i="14"/>
  <c r="C14" i="14"/>
  <c r="C15" i="14"/>
  <c r="C17" i="14"/>
  <c r="C18" i="14"/>
  <c r="C19" i="14"/>
  <c r="B6" i="14"/>
  <c r="B7" i="14"/>
  <c r="B8" i="14"/>
  <c r="C8" i="14" s="1"/>
  <c r="B9" i="14"/>
  <c r="B10" i="14"/>
  <c r="B11" i="14"/>
  <c r="B12" i="14"/>
  <c r="C12" i="14" s="1"/>
  <c r="B13" i="14"/>
  <c r="B14" i="14"/>
  <c r="B15" i="14"/>
  <c r="B16" i="14"/>
  <c r="C16" i="14" s="1"/>
  <c r="B17" i="14"/>
  <c r="B18" i="14"/>
  <c r="B19" i="14"/>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F111" i="1"/>
  <c r="G111" i="1"/>
  <c r="H79" i="1"/>
  <c r="H94" i="1"/>
  <c r="E58" i="2" s="1"/>
  <c r="H111" i="1"/>
  <c r="I111" i="1"/>
  <c r="I112" i="1" s="1"/>
  <c r="J111" i="1"/>
  <c r="J112" i="1" s="1"/>
  <c r="F121" i="1"/>
  <c r="F136" i="1"/>
  <c r="G121" i="1"/>
  <c r="G136" i="1"/>
  <c r="H121" i="1"/>
  <c r="H140" i="1" s="1"/>
  <c r="H136" i="1"/>
  <c r="I121" i="1"/>
  <c r="I136" i="1"/>
  <c r="J121" i="1"/>
  <c r="J140" i="1" s="1"/>
  <c r="J136" i="1"/>
  <c r="F147" i="1"/>
  <c r="F170" i="1"/>
  <c r="G147" i="1"/>
  <c r="D85" i="2" s="1"/>
  <c r="H147" i="1"/>
  <c r="H170" i="1" s="1"/>
  <c r="I147" i="1"/>
  <c r="C11"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D115" i="2"/>
  <c r="F115" i="2"/>
  <c r="G115" i="2"/>
  <c r="C119" i="2"/>
  <c r="E120" i="2"/>
  <c r="E121" i="2"/>
  <c r="E123" i="2"/>
  <c r="E124"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F258" i="1" s="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I409" i="1" s="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J572" i="1" s="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I170" i="1"/>
  <c r="G339" i="1"/>
  <c r="G353" i="1" s="1"/>
  <c r="L257" i="1" l="1"/>
  <c r="H193" i="1"/>
  <c r="J652" i="1"/>
  <c r="D50" i="2"/>
  <c r="E119" i="2"/>
  <c r="G553" i="1"/>
  <c r="G409" i="1"/>
  <c r="H646" i="1" s="1"/>
  <c r="J646" i="1" s="1"/>
  <c r="L402" i="1"/>
  <c r="C139" i="2" s="1"/>
  <c r="H409" i="1"/>
  <c r="H645" i="1" s="1"/>
  <c r="J645" i="1" s="1"/>
  <c r="G477" i="1"/>
  <c r="K339" i="1"/>
  <c r="K353" i="1" s="1"/>
  <c r="J258" i="1"/>
  <c r="H112" i="1"/>
  <c r="C91" i="2"/>
  <c r="F339" i="1"/>
  <c r="F353" i="1" s="1"/>
  <c r="J642" i="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E128" i="2" s="1"/>
  <c r="L248" i="1"/>
  <c r="L212" i="1"/>
  <c r="H648" i="1"/>
  <c r="J635" i="1"/>
  <c r="G626" i="1"/>
  <c r="L530" i="1"/>
  <c r="H546" i="1"/>
  <c r="G164" i="2"/>
  <c r="G161" i="2"/>
  <c r="G157" i="2"/>
  <c r="G156" i="2"/>
  <c r="G81" i="2"/>
  <c r="C78" i="2"/>
  <c r="F78" i="2"/>
  <c r="F81" i="2" s="1"/>
  <c r="C70" i="2"/>
  <c r="D62" i="2"/>
  <c r="D63" i="2" s="1"/>
  <c r="E57" i="2"/>
  <c r="E62" i="2" s="1"/>
  <c r="E63" i="2" s="1"/>
  <c r="C26" i="10"/>
  <c r="C18" i="10"/>
  <c r="J546" i="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G650" i="1"/>
  <c r="J650" i="1" s="1"/>
  <c r="L545" i="1"/>
  <c r="L525" i="1"/>
  <c r="J339" i="1"/>
  <c r="J353" i="1" s="1"/>
  <c r="D127" i="2"/>
  <c r="D128" i="2" s="1"/>
  <c r="D145" i="2" s="1"/>
  <c r="C124" i="2"/>
  <c r="C122" i="2"/>
  <c r="C118" i="2"/>
  <c r="C19" i="10"/>
  <c r="C16" i="10"/>
  <c r="D17" i="13"/>
  <c r="C17" i="13" s="1"/>
  <c r="D7" i="13"/>
  <c r="C7" i="13" s="1"/>
  <c r="E16" i="13"/>
  <c r="C16" i="13" s="1"/>
  <c r="H661" i="1"/>
  <c r="H665" i="1" s="1"/>
  <c r="H668" i="1" s="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0" i="1"/>
  <c r="D103" i="2"/>
  <c r="I140" i="1"/>
  <c r="A22" i="12"/>
  <c r="G50" i="2"/>
  <c r="J653" i="1"/>
  <c r="G572" i="1"/>
  <c r="I435" i="1"/>
  <c r="G435" i="1"/>
  <c r="I664" i="1"/>
  <c r="L572" i="1" l="1"/>
  <c r="C81" i="2"/>
  <c r="F51" i="2"/>
  <c r="F661" i="1"/>
  <c r="C141" i="2"/>
  <c r="C144" i="2" s="1"/>
  <c r="E145" i="2"/>
  <c r="H649" i="1"/>
  <c r="J649" i="1" s="1"/>
  <c r="F194" i="1"/>
  <c r="E51"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H673" i="1"/>
  <c r="C6" i="10" s="1"/>
  <c r="G4" i="14"/>
  <c r="H4" i="14" s="1"/>
  <c r="I4" i="14" s="1"/>
  <c r="L546" i="1"/>
  <c r="F104" i="2"/>
  <c r="B14" i="16"/>
  <c r="B22" i="16" s="1"/>
  <c r="G628" i="1"/>
  <c r="J628" i="1" s="1"/>
  <c r="E33" i="13"/>
  <c r="D35" i="13" s="1"/>
  <c r="J648" i="1"/>
  <c r="L258" i="1"/>
  <c r="L272" i="1" s="1"/>
  <c r="G633" i="1" s="1"/>
  <c r="J633" i="1" s="1"/>
  <c r="C115" i="2"/>
  <c r="C63" i="2"/>
  <c r="C104" i="2" s="1"/>
  <c r="C39" i="10"/>
  <c r="G33" i="13"/>
  <c r="C128" i="2"/>
  <c r="D31" i="13"/>
  <c r="C31" i="13" s="1"/>
  <c r="I462" i="1"/>
  <c r="G661" i="1"/>
  <c r="G665" i="1" s="1"/>
  <c r="G673" i="1" s="1"/>
  <c r="C5" i="10" s="1"/>
  <c r="C25" i="13"/>
  <c r="I33" i="13"/>
  <c r="K553" i="1"/>
  <c r="H24" i="14"/>
  <c r="I24" i="14" s="1"/>
  <c r="C51" i="2"/>
  <c r="G632" i="1"/>
  <c r="J632" i="1" s="1"/>
  <c r="G194" i="1"/>
  <c r="G629" i="1" s="1"/>
  <c r="J629" i="1" s="1"/>
  <c r="G627" i="1"/>
  <c r="J627" i="1" s="1"/>
  <c r="J52" i="1"/>
  <c r="H622" i="1" s="1"/>
  <c r="J622" i="1" s="1"/>
  <c r="C38" i="10"/>
  <c r="H643" i="1" l="1"/>
  <c r="J643" i="1" s="1"/>
  <c r="I477" i="1"/>
  <c r="H626" i="1" s="1"/>
  <c r="J626" i="1"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<sst xmlns="http://schemas.openxmlformats.org/spreadsheetml/2006/main" count="5544" uniqueCount="1642">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</sst>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topLeftCell="A26" zoomScaleNormal="100" workbookViewId="0">
      <selection activeCell="L419" sqref="L41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1030</v>
      </c>
      <c r="B2" s="21">
        <v>171</v>
      </c>
      <c r="C2" s="21">
        <v>171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14872.64</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78347.210000000006</v>
      </c>
      <c r="G10" s="18"/>
      <c r="H10" s="18"/>
      <c r="I10" s="18"/>
      <c r="J10" s="67">
        <f>SUM(I441)</f>
        <v>250476.16999999998</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4240+16143.05+6291.4</f>
        <v>26674.449999999997</v>
      </c>
      <c r="G12" s="18"/>
      <c r="H12" s="18"/>
      <c r="I12" s="18"/>
      <c r="J12" s="67">
        <f>SUM(I442)</f>
        <v>340</v>
      </c>
      <c r="K12" s="24" t="s">
        <v>288</v>
      </c>
      <c r="L12" s="24" t="s">
        <v>288</v>
      </c>
      <c r="M12" s="8"/>
      <c r="N12" s="266"/>
    </row>
    <row r="13" spans="1:14" s="3" customFormat="1" ht="12.2" customHeight="1" x14ac:dyDescent="0.15">
      <c r="A13" s="1" t="s">
        <v>604</v>
      </c>
      <c r="B13" s="2" t="s">
        <v>289</v>
      </c>
      <c r="C13" s="6">
        <v>5</v>
      </c>
      <c r="D13" s="2" t="s">
        <v>428</v>
      </c>
      <c r="E13" s="6">
        <v>140</v>
      </c>
      <c r="F13" s="18"/>
      <c r="G13" s="18">
        <v>3338.23</v>
      </c>
      <c r="H13" s="18">
        <v>20953.41</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119894.3</v>
      </c>
      <c r="G19" s="41">
        <f>SUM(G9:G18)</f>
        <v>3338.23</v>
      </c>
      <c r="H19" s="41">
        <f>SUM(H9:H18)</f>
        <v>20953.41</v>
      </c>
      <c r="I19" s="41">
        <f>SUM(I9:I18)</f>
        <v>0</v>
      </c>
      <c r="J19" s="41">
        <f>SUM(J9:J18)</f>
        <v>250816.16999999998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2349.5300000000002</v>
      </c>
      <c r="H22" s="18">
        <v>14133.52</v>
      </c>
      <c r="I22" s="18"/>
      <c r="J22" s="67">
        <f>SUM(I449)</f>
        <v>10531.4</v>
      </c>
      <c r="K22" s="24" t="s">
        <v>288</v>
      </c>
      <c r="L22" s="24" t="s">
        <v>288</v>
      </c>
      <c r="M22" s="8"/>
      <c r="N22" s="266"/>
    </row>
    <row r="23" spans="1:14" s="3" customFormat="1" ht="12.2" customHeight="1" x14ac:dyDescent="0.15">
      <c r="A23" s="1" t="s">
        <v>607</v>
      </c>
      <c r="B23" s="2" t="s">
        <v>289</v>
      </c>
      <c r="C23" s="6">
        <v>13</v>
      </c>
      <c r="D23" s="2" t="s">
        <v>429</v>
      </c>
      <c r="E23" s="6">
        <v>410</v>
      </c>
      <c r="F23" s="18">
        <v>4617.6400000000003</v>
      </c>
      <c r="G23" s="18">
        <v>988.7</v>
      </c>
      <c r="H23" s="18">
        <v>3512.1</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5439.12</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3307.79</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10056.76</v>
      </c>
      <c r="G32" s="41">
        <f>SUM(G22:G31)</f>
        <v>3338.2300000000005</v>
      </c>
      <c r="H32" s="41">
        <f>SUM(H22:H31)</f>
        <v>20953.41</v>
      </c>
      <c r="I32" s="41">
        <f>SUM(I22:I31)</f>
        <v>0</v>
      </c>
      <c r="J32" s="41">
        <f>SUM(J22:J31)</f>
        <v>10531.4</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20173.14</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12511</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220111.63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97326.54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109837.54</v>
      </c>
      <c r="G51" s="41">
        <f>SUM(G35:G50)</f>
        <v>0</v>
      </c>
      <c r="H51" s="41">
        <f>SUM(H35:H50)</f>
        <v>0</v>
      </c>
      <c r="I51" s="41">
        <f>SUM(I35:I50)</f>
        <v>0</v>
      </c>
      <c r="J51" s="41">
        <f>SUM(J35:J50)</f>
        <v>240284.77000000002</v>
      </c>
      <c r="K51" s="45" t="s">
        <v>288</v>
      </c>
      <c r="L51" s="45" t="s">
        <v>288</v>
      </c>
      <c r="N51" s="264"/>
    </row>
    <row r="52" spans="1:14" s="3" customFormat="1" ht="12.2" customHeight="1" thickTop="1" x14ac:dyDescent="0.15">
      <c r="A52" s="38" t="s">
        <v>455</v>
      </c>
      <c r="B52" s="39" t="s">
        <v>289</v>
      </c>
      <c r="C52" s="6">
        <v>37</v>
      </c>
      <c r="D52" s="39" t="s">
        <v>653</v>
      </c>
      <c r="E52" s="39"/>
      <c r="F52" s="41">
        <f>F51+F32</f>
        <v>119894.29999999999</v>
      </c>
      <c r="G52" s="41">
        <f>G51+G32</f>
        <v>3338.2300000000005</v>
      </c>
      <c r="H52" s="41">
        <f>H51+H32</f>
        <v>20953.41</v>
      </c>
      <c r="I52" s="41">
        <f>I51+I32</f>
        <v>0</v>
      </c>
      <c r="J52" s="41">
        <f>J51+J32</f>
        <v>250816.17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320592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320592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101130.12</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101130.12</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419.79</v>
      </c>
      <c r="G96" s="18"/>
      <c r="H96" s="18"/>
      <c r="I96" s="18"/>
      <c r="J96" s="18">
        <v>558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7239.05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175.4</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2537.27</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34.22</v>
      </c>
      <c r="G110" s="18"/>
      <c r="H110" s="18"/>
      <c r="I110" s="18"/>
      <c r="J110" s="18">
        <v>120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2991.2799999999997</v>
      </c>
      <c r="G111" s="41">
        <f>SUM(G96:G110)</f>
        <v>7239.05</v>
      </c>
      <c r="H111" s="41">
        <f>SUM(H96:H110)</f>
        <v>175.4</v>
      </c>
      <c r="I111" s="41">
        <f>SUM(I96:I110)</f>
        <v>0</v>
      </c>
      <c r="J111" s="41">
        <f>SUM(J96:J110)</f>
        <v>678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424713.4</v>
      </c>
      <c r="G112" s="41">
        <f>G60+G111</f>
        <v>7239.05</v>
      </c>
      <c r="H112" s="41">
        <f>H60+H79+H94+H111</f>
        <v>175.4</v>
      </c>
      <c r="I112" s="41">
        <f>I60+I111</f>
        <v>0</v>
      </c>
      <c r="J112" s="41">
        <f>J60+J111</f>
        <v>678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179829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179829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4858.18</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194.44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v>2093.1799999999998</v>
      </c>
      <c r="H135" s="18">
        <v>5515</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2287.62</v>
      </c>
      <c r="H136" s="41">
        <f>SUM(H123:H135)</f>
        <v>10373.18</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179829</v>
      </c>
      <c r="G140" s="41">
        <f>G121+SUM(G136:G137)</f>
        <v>2287.62</v>
      </c>
      <c r="H140" s="41">
        <f>H121+SUM(H136:H139)</f>
        <v>10373.18</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10864.26</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1128.3699999999999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4975.53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4859.91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4975.53</v>
      </c>
      <c r="H163" s="41">
        <f>SUM(H150:H162)</f>
        <v>16852.54</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346.07</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346.07</v>
      </c>
      <c r="G170" s="41">
        <f>G147+G163+SUM(G164:G169)</f>
        <v>4975.53</v>
      </c>
      <c r="H170" s="41">
        <f>H147+H163+SUM(H164:H169)</f>
        <v>16852.54</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14396.93</v>
      </c>
      <c r="H180" s="18"/>
      <c r="I180" s="18"/>
      <c r="J180" s="18">
        <v>11500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14396.93</v>
      </c>
      <c r="H184" s="41">
        <f>SUM(H180:H183)</f>
        <v>0</v>
      </c>
      <c r="I184" s="41">
        <f>SUM(I180:I183)</f>
        <v>0</v>
      </c>
      <c r="J184" s="41">
        <f>SUM(J180:J183)</f>
        <v>11500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4327.3999999999996</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4327.3999999999996</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4327.3999999999996</v>
      </c>
      <c r="G193" s="41">
        <f>G184+SUM(G189:G192)</f>
        <v>14396.93</v>
      </c>
      <c r="H193" s="41">
        <f>+H184+SUM(H189:H192)</f>
        <v>0</v>
      </c>
      <c r="I193" s="41">
        <f>I178+I184+SUM(I189:I192)</f>
        <v>0</v>
      </c>
      <c r="J193" s="41">
        <f>J184</f>
        <v>11500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609215.87</v>
      </c>
      <c r="G194" s="47">
        <f>G112+G140+G170+G193</f>
        <v>28899.13</v>
      </c>
      <c r="H194" s="47">
        <f>H112+H140+H170+H193</f>
        <v>27401.120000000003</v>
      </c>
      <c r="I194" s="47">
        <f>I112+I140+I170+I193</f>
        <v>0</v>
      </c>
      <c r="J194" s="47">
        <f>J112+J140+J193</f>
        <v>12178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134338.56</v>
      </c>
      <c r="G198" s="18">
        <v>70087.360000000001</v>
      </c>
      <c r="H198" s="18">
        <v>1344.96</v>
      </c>
      <c r="I198" s="18">
        <v>4731.41</v>
      </c>
      <c r="J198" s="18">
        <v>2674.42</v>
      </c>
      <c r="K198" s="18">
        <v>0</v>
      </c>
      <c r="L198" s="19">
        <f>SUM(F198:K198)</f>
        <v>213176.71</v>
      </c>
      <c r="M198" s="8"/>
      <c r="N198" s="266"/>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4116.34</v>
      </c>
      <c r="G203" s="18">
        <v>1834.39</v>
      </c>
      <c r="H203" s="18">
        <v>5269.1799999999994</v>
      </c>
      <c r="I203" s="18">
        <v>225.78</v>
      </c>
      <c r="J203" s="18"/>
      <c r="K203" s="18">
        <v>0</v>
      </c>
      <c r="L203" s="19">
        <f t="shared" ref="L203:L209" si="0">SUM(F203:K203)</f>
        <v>11445.69</v>
      </c>
      <c r="M203" s="8"/>
      <c r="N203" s="266"/>
    </row>
    <row r="204" spans="1:14" s="3" customFormat="1" ht="12.2" customHeight="1" x14ac:dyDescent="0.15">
      <c r="A204" s="1" t="s">
        <v>443</v>
      </c>
      <c r="B204" s="2" t="s">
        <v>341</v>
      </c>
      <c r="C204" s="2" t="s">
        <v>295</v>
      </c>
      <c r="D204" s="2" t="s">
        <v>431</v>
      </c>
      <c r="E204" s="6">
        <v>2200</v>
      </c>
      <c r="F204" s="18">
        <v>0</v>
      </c>
      <c r="G204" s="18">
        <v>0</v>
      </c>
      <c r="H204" s="18">
        <v>0</v>
      </c>
      <c r="I204" s="18">
        <v>439.06</v>
      </c>
      <c r="J204" s="18"/>
      <c r="K204" s="18"/>
      <c r="L204" s="19">
        <f t="shared" si="0"/>
        <v>439.06</v>
      </c>
      <c r="M204" s="8"/>
      <c r="N204" s="266"/>
    </row>
    <row r="205" spans="1:14" s="3" customFormat="1" ht="12.2" customHeight="1" x14ac:dyDescent="0.15">
      <c r="A205" s="1" t="s">
        <v>444</v>
      </c>
      <c r="B205" s="2" t="s">
        <v>341</v>
      </c>
      <c r="C205" s="2" t="s">
        <v>296</v>
      </c>
      <c r="D205" s="2" t="s">
        <v>431</v>
      </c>
      <c r="E205" s="6">
        <v>2300</v>
      </c>
      <c r="F205" s="18">
        <v>1250</v>
      </c>
      <c r="G205" s="18">
        <v>79.05</v>
      </c>
      <c r="H205" s="18">
        <v>46793.957142857143</v>
      </c>
      <c r="I205" s="18">
        <v>305.51428571428573</v>
      </c>
      <c r="J205" s="18">
        <v>0</v>
      </c>
      <c r="K205" s="18">
        <v>1208.7428571428572</v>
      </c>
      <c r="L205" s="19">
        <f t="shared" si="0"/>
        <v>49637.264285714293</v>
      </c>
      <c r="M205" s="8"/>
      <c r="N205" s="266"/>
    </row>
    <row r="206" spans="1:14" s="3" customFormat="1" ht="12.2" customHeight="1" x14ac:dyDescent="0.15">
      <c r="A206" s="1" t="s">
        <v>445</v>
      </c>
      <c r="B206" s="2" t="s">
        <v>341</v>
      </c>
      <c r="C206" s="2" t="s">
        <v>297</v>
      </c>
      <c r="D206" s="2" t="s">
        <v>431</v>
      </c>
      <c r="E206" s="6">
        <v>2400</v>
      </c>
      <c r="F206" s="18">
        <v>21891.1</v>
      </c>
      <c r="G206" s="18">
        <v>7763.26</v>
      </c>
      <c r="H206" s="18">
        <v>3263.74</v>
      </c>
      <c r="I206" s="18">
        <v>178.04</v>
      </c>
      <c r="J206" s="18">
        <v>0</v>
      </c>
      <c r="K206" s="18">
        <v>839.8</v>
      </c>
      <c r="L206" s="19">
        <f t="shared" si="0"/>
        <v>33935.94</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10983.7</v>
      </c>
      <c r="G208" s="18">
        <v>931.59</v>
      </c>
      <c r="H208" s="18">
        <v>11082.29</v>
      </c>
      <c r="I208" s="18">
        <v>8843.869999999999</v>
      </c>
      <c r="J208" s="18"/>
      <c r="K208" s="18"/>
      <c r="L208" s="19">
        <f t="shared" si="0"/>
        <v>31841.45</v>
      </c>
      <c r="M208" s="8"/>
      <c r="N208" s="266"/>
    </row>
    <row r="209" spans="1:14" s="3" customFormat="1" ht="12.2" customHeight="1" x14ac:dyDescent="0.15">
      <c r="A209" s="1" t="s">
        <v>448</v>
      </c>
      <c r="B209" s="2" t="s">
        <v>341</v>
      </c>
      <c r="C209" s="2" t="s">
        <v>300</v>
      </c>
      <c r="D209" s="2" t="s">
        <v>431</v>
      </c>
      <c r="E209" s="6">
        <v>2700</v>
      </c>
      <c r="F209" s="18"/>
      <c r="G209" s="18"/>
      <c r="H209" s="18">
        <v>20000</v>
      </c>
      <c r="I209" s="18"/>
      <c r="J209" s="18"/>
      <c r="K209" s="18"/>
      <c r="L209" s="19">
        <f t="shared" si="0"/>
        <v>20000</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172579.7</v>
      </c>
      <c r="G212" s="41">
        <f t="shared" si="1"/>
        <v>80695.649999999994</v>
      </c>
      <c r="H212" s="41">
        <f t="shared" si="1"/>
        <v>87754.127142857149</v>
      </c>
      <c r="I212" s="41">
        <f t="shared" si="1"/>
        <v>14723.674285714285</v>
      </c>
      <c r="J212" s="41">
        <f t="shared" si="1"/>
        <v>2674.42</v>
      </c>
      <c r="K212" s="41">
        <f t="shared" si="1"/>
        <v>2048.5428571428574</v>
      </c>
      <c r="L212" s="41">
        <f t="shared" si="1"/>
        <v>360476.11428571428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134066.20000000001</v>
      </c>
      <c r="I234" s="18"/>
      <c r="J234" s="18"/>
      <c r="K234" s="18"/>
      <c r="L234" s="19">
        <f>SUM(F234:K234)</f>
        <v>134066.20000000001</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500</v>
      </c>
      <c r="G241" s="18">
        <v>31.619999999999994</v>
      </c>
      <c r="H241" s="18">
        <v>18717.582857142857</v>
      </c>
      <c r="I241" s="18">
        <v>122.20571428571429</v>
      </c>
      <c r="J241" s="18">
        <v>0</v>
      </c>
      <c r="K241" s="18">
        <v>483.49714285714282</v>
      </c>
      <c r="L241" s="19">
        <f t="shared" si="4"/>
        <v>19854.905714285716</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500</v>
      </c>
      <c r="G248" s="41">
        <f t="shared" si="5"/>
        <v>31.619999999999994</v>
      </c>
      <c r="H248" s="41">
        <f t="shared" si="5"/>
        <v>152783.78285714285</v>
      </c>
      <c r="I248" s="41">
        <f t="shared" si="5"/>
        <v>122.20571428571429</v>
      </c>
      <c r="J248" s="41">
        <f t="shared" si="5"/>
        <v>0</v>
      </c>
      <c r="K248" s="41">
        <f t="shared" si="5"/>
        <v>483.49714285714282</v>
      </c>
      <c r="L248" s="41">
        <f t="shared" si="5"/>
        <v>153921.10571428572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173079.7</v>
      </c>
      <c r="G258" s="41">
        <f t="shared" si="8"/>
        <v>80727.26999999999</v>
      </c>
      <c r="H258" s="41">
        <f t="shared" si="8"/>
        <v>240537.91</v>
      </c>
      <c r="I258" s="41">
        <f t="shared" si="8"/>
        <v>14845.88</v>
      </c>
      <c r="J258" s="41">
        <f t="shared" si="8"/>
        <v>2674.42</v>
      </c>
      <c r="K258" s="41">
        <f t="shared" si="8"/>
        <v>2532.0400000000004</v>
      </c>
      <c r="L258" s="41">
        <f t="shared" si="8"/>
        <v>514397.22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14396.93</v>
      </c>
      <c r="L264" s="19">
        <f>SUM(F264:K264)</f>
        <v>14396.93</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11500</v>
      </c>
      <c r="L267" s="19">
        <f t="shared" si="9"/>
        <v>11500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25896.93</v>
      </c>
      <c r="L271" s="41">
        <f t="shared" si="9"/>
        <v>25896.93</v>
      </c>
      <c r="M271" s="8"/>
      <c r="N271" s="266"/>
    </row>
    <row r="272" spans="1:14" s="34" customFormat="1" ht="12.2" customHeight="1" thickTop="1" x14ac:dyDescent="0.2">
      <c r="A272" s="43" t="s">
        <v>464</v>
      </c>
      <c r="B272" s="40">
        <v>10</v>
      </c>
      <c r="C272" s="40">
        <v>18</v>
      </c>
      <c r="D272" s="39" t="s">
        <v>431</v>
      </c>
      <c r="E272" s="40"/>
      <c r="F272" s="42">
        <f t="shared" ref="F272:L272" si="11">F258+F271</f>
        <v>173079.7</v>
      </c>
      <c r="G272" s="42">
        <f t="shared" si="11"/>
        <v>80727.26999999999</v>
      </c>
      <c r="H272" s="42">
        <f t="shared" si="11"/>
        <v>240537.91</v>
      </c>
      <c r="I272" s="42">
        <f t="shared" si="11"/>
        <v>14845.88</v>
      </c>
      <c r="J272" s="42">
        <f t="shared" si="11"/>
        <v>2674.42</v>
      </c>
      <c r="K272" s="42">
        <f t="shared" si="11"/>
        <v>28428.97</v>
      </c>
      <c r="L272" s="42">
        <f t="shared" si="11"/>
        <v>540294.15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0</v>
      </c>
      <c r="G277" s="18"/>
      <c r="H277" s="18">
        <v>7505</v>
      </c>
      <c r="I277" s="18">
        <v>2529.88</v>
      </c>
      <c r="J277" s="18">
        <v>1113.1600000000001</v>
      </c>
      <c r="K277" s="18"/>
      <c r="L277" s="19">
        <f>SUM(F277:K277)</f>
        <v>11148.04</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0</v>
      </c>
      <c r="G282" s="18"/>
      <c r="H282" s="18">
        <v>4508.5099999999993</v>
      </c>
      <c r="I282" s="18"/>
      <c r="J282" s="18"/>
      <c r="K282" s="18"/>
      <c r="L282" s="19">
        <f t="shared" ref="L282:L288" si="12">SUM(F282:K282)</f>
        <v>4508.5099999999993</v>
      </c>
      <c r="M282" s="8"/>
      <c r="N282" s="266"/>
    </row>
    <row r="283" spans="1:14" s="3" customFormat="1" ht="12.2" customHeight="1" x14ac:dyDescent="0.15">
      <c r="A283" s="1" t="s">
        <v>443</v>
      </c>
      <c r="B283" s="2" t="s">
        <v>357</v>
      </c>
      <c r="C283" s="2" t="s">
        <v>295</v>
      </c>
      <c r="D283" s="2" t="s">
        <v>431</v>
      </c>
      <c r="E283" s="6">
        <v>2200</v>
      </c>
      <c r="F283" s="18">
        <v>2400</v>
      </c>
      <c r="G283" s="18">
        <v>608.30000000000007</v>
      </c>
      <c r="H283" s="18">
        <v>675</v>
      </c>
      <c r="I283" s="18"/>
      <c r="J283" s="18">
        <v>5515</v>
      </c>
      <c r="K283" s="18">
        <v>130</v>
      </c>
      <c r="L283" s="19">
        <f t="shared" si="12"/>
        <v>9328.2999999999993</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355</v>
      </c>
      <c r="I288" s="18"/>
      <c r="J288" s="18"/>
      <c r="K288" s="18"/>
      <c r="L288" s="19">
        <f t="shared" si="12"/>
        <v>355</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2400</v>
      </c>
      <c r="G291" s="42">
        <f t="shared" si="13"/>
        <v>608.30000000000007</v>
      </c>
      <c r="H291" s="42">
        <f t="shared" si="13"/>
        <v>13043.509999999998</v>
      </c>
      <c r="I291" s="42">
        <f t="shared" si="13"/>
        <v>2529.88</v>
      </c>
      <c r="J291" s="42">
        <f t="shared" si="13"/>
        <v>6628.16</v>
      </c>
      <c r="K291" s="42">
        <f t="shared" si="13"/>
        <v>130</v>
      </c>
      <c r="L291" s="41">
        <f t="shared" si="13"/>
        <v>25339.85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2400</v>
      </c>
      <c r="G339" s="41">
        <f t="shared" si="20"/>
        <v>608.30000000000007</v>
      </c>
      <c r="H339" s="41">
        <f t="shared" si="20"/>
        <v>13043.509999999998</v>
      </c>
      <c r="I339" s="41">
        <f t="shared" si="20"/>
        <v>2529.88</v>
      </c>
      <c r="J339" s="41">
        <f t="shared" si="20"/>
        <v>6628.16</v>
      </c>
      <c r="K339" s="41">
        <f t="shared" si="20"/>
        <v>130</v>
      </c>
      <c r="L339" s="41">
        <f t="shared" si="20"/>
        <v>25339.85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2061.27</v>
      </c>
      <c r="L351" s="19">
        <f t="shared" si="21"/>
        <v>2061.27</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2061.27</v>
      </c>
      <c r="L352" s="41">
        <f>SUM(L342:L351)</f>
        <v>2061.27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2400</v>
      </c>
      <c r="G353" s="41">
        <f>G339</f>
        <v>608.30000000000007</v>
      </c>
      <c r="H353" s="41">
        <f>H339</f>
        <v>13043.509999999998</v>
      </c>
      <c r="I353" s="41">
        <f>I339</f>
        <v>2529.88</v>
      </c>
      <c r="J353" s="41">
        <f>J339</f>
        <v>6628.16</v>
      </c>
      <c r="K353" s="47">
        <f>K339+K352</f>
        <v>2191.27</v>
      </c>
      <c r="L353" s="41">
        <f>L339+L352</f>
        <v>27401.119999999999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17503.95</v>
      </c>
      <c r="G359" s="18">
        <v>1484.77</v>
      </c>
      <c r="H359" s="18">
        <v>212.84</v>
      </c>
      <c r="I359" s="18">
        <v>9697.57</v>
      </c>
      <c r="J359" s="18">
        <v>0</v>
      </c>
      <c r="K359" s="18">
        <v>0</v>
      </c>
      <c r="L359" s="13">
        <f>SUM(F359:K359)</f>
        <v>28899.13</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17503.95</v>
      </c>
      <c r="G363" s="47">
        <f t="shared" si="22"/>
        <v>1484.77</v>
      </c>
      <c r="H363" s="47">
        <f t="shared" si="22"/>
        <v>212.84</v>
      </c>
      <c r="I363" s="47">
        <f t="shared" si="22"/>
        <v>9697.57</v>
      </c>
      <c r="J363" s="47">
        <f t="shared" si="22"/>
        <v>0</v>
      </c>
      <c r="K363" s="47">
        <f t="shared" si="22"/>
        <v>0</v>
      </c>
      <c r="L363" s="47">
        <f t="shared" si="22"/>
        <v>28899.13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8285.8700000000008</v>
      </c>
      <c r="G368" s="18"/>
      <c r="H368" s="18"/>
      <c r="I368" s="56">
        <f>SUM(F368:H368)</f>
        <v>8285.8700000000008</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1411.7</v>
      </c>
      <c r="G369" s="63"/>
      <c r="H369" s="63"/>
      <c r="I369" s="56">
        <f>SUM(F369:H369)</f>
        <v>1411.7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9697.5700000000015</v>
      </c>
      <c r="G370" s="47">
        <f>SUM(G368:G369)</f>
        <v>0</v>
      </c>
      <c r="H370" s="47">
        <f>SUM(H368:H369)</f>
        <v>0</v>
      </c>
      <c r="I370" s="47">
        <f>SUM(I368:I369)</f>
        <v>9697.5700000000015</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10000</v>
      </c>
      <c r="H390" s="18">
        <v>145.46</v>
      </c>
      <c r="I390" s="18"/>
      <c r="J390" s="24" t="s">
        <v>288</v>
      </c>
      <c r="K390" s="24" t="s">
        <v>288</v>
      </c>
      <c r="L390" s="56">
        <f t="shared" si="25"/>
        <v>10145.459999999999</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v>18.440000000000001</v>
      </c>
      <c r="I392" s="18"/>
      <c r="J392" s="24" t="s">
        <v>288</v>
      </c>
      <c r="K392" s="24" t="s">
        <v>288</v>
      </c>
      <c r="L392" s="56">
        <f t="shared" si="25"/>
        <v>18.440000000000001</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10000</v>
      </c>
      <c r="H394" s="139">
        <f>SUM(H388:H393)</f>
        <v>163.9</v>
      </c>
      <c r="I394" s="65">
        <f>SUM(I388:I393)</f>
        <v>0</v>
      </c>
      <c r="J394" s="45" t="s">
        <v>288</v>
      </c>
      <c r="K394" s="45" t="s">
        <v>288</v>
      </c>
      <c r="L394" s="47">
        <f>SUM(L388:L393)</f>
        <v>10163.9</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v>226.46</v>
      </c>
      <c r="I399" s="18"/>
      <c r="J399" s="24" t="s">
        <v>288</v>
      </c>
      <c r="K399" s="24" t="s">
        <v>288</v>
      </c>
      <c r="L399" s="56">
        <f t="shared" si="26"/>
        <v>226.46</v>
      </c>
      <c r="M399" s="8"/>
      <c r="N399" s="266"/>
    </row>
    <row r="400" spans="1:14" s="3" customFormat="1" ht="12.2" customHeight="1" x14ac:dyDescent="0.15">
      <c r="A400" s="79" t="s">
        <v>559</v>
      </c>
      <c r="B400" s="2" t="s">
        <v>381</v>
      </c>
      <c r="C400" s="6">
        <v>12</v>
      </c>
      <c r="D400" s="2" t="s">
        <v>432</v>
      </c>
      <c r="E400" s="6"/>
      <c r="F400" s="18"/>
      <c r="G400" s="18"/>
      <c r="H400" s="18">
        <v>74.319999999999993</v>
      </c>
      <c r="I400" s="18"/>
      <c r="J400" s="24" t="s">
        <v>288</v>
      </c>
      <c r="K400" s="24" t="s">
        <v>288</v>
      </c>
      <c r="L400" s="56">
        <f t="shared" si="26"/>
        <v>74.319999999999993</v>
      </c>
      <c r="M400" s="8"/>
      <c r="N400" s="266"/>
    </row>
    <row r="401" spans="1:21" s="3" customFormat="1" ht="12.2" customHeight="1" thickBot="1" x14ac:dyDescent="0.2">
      <c r="A401" s="79" t="s">
        <v>510</v>
      </c>
      <c r="B401" s="2" t="s">
        <v>381</v>
      </c>
      <c r="C401" s="6">
        <v>13</v>
      </c>
      <c r="D401" s="2" t="s">
        <v>432</v>
      </c>
      <c r="E401" s="6"/>
      <c r="F401" s="18"/>
      <c r="G401" s="18">
        <v>1500</v>
      </c>
      <c r="H401" s="18">
        <v>93.32</v>
      </c>
      <c r="I401" s="18">
        <v>120</v>
      </c>
      <c r="J401" s="24" t="s">
        <v>288</v>
      </c>
      <c r="K401" s="24" t="s">
        <v>288</v>
      </c>
      <c r="L401" s="56">
        <f t="shared" si="26"/>
        <v>1713.32</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1500</v>
      </c>
      <c r="H402" s="47">
        <f>SUM(H396:H401)</f>
        <v>394.09999999999997</v>
      </c>
      <c r="I402" s="47">
        <f>SUM(I396:I401)</f>
        <v>120</v>
      </c>
      <c r="J402" s="45" t="s">
        <v>288</v>
      </c>
      <c r="K402" s="45" t="s">
        <v>288</v>
      </c>
      <c r="L402" s="47">
        <f>SUM(L396:L401)</f>
        <v>2014.1</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11500</v>
      </c>
      <c r="H409" s="47">
        <f>H394+H402+H408</f>
        <v>558</v>
      </c>
      <c r="I409" s="47">
        <f>I394+I402+I408</f>
        <v>120</v>
      </c>
      <c r="J409" s="24" t="s">
        <v>288</v>
      </c>
      <c r="K409" s="24" t="s">
        <v>288</v>
      </c>
      <c r="L409" s="47">
        <f>L394+L402+L408</f>
        <v>12178</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4240</v>
      </c>
      <c r="I416" s="18"/>
      <c r="J416" s="18"/>
      <c r="K416" s="18"/>
      <c r="L416" s="56">
        <f t="shared" si="27"/>
        <v>4240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v>4327.3999999999996</v>
      </c>
      <c r="L419" s="56">
        <f t="shared" si="27"/>
        <v>4327.3999999999996</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4240</v>
      </c>
      <c r="I420" s="139">
        <f t="shared" si="28"/>
        <v>0</v>
      </c>
      <c r="J420" s="139">
        <f t="shared" si="28"/>
        <v>0</v>
      </c>
      <c r="K420" s="139">
        <f t="shared" si="28"/>
        <v>4327.3999999999996</v>
      </c>
      <c r="L420" s="47">
        <f t="shared" si="28"/>
        <v>8567.4</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4240</v>
      </c>
      <c r="I435" s="47">
        <f t="shared" si="32"/>
        <v>0</v>
      </c>
      <c r="J435" s="47">
        <f t="shared" si="32"/>
        <v>0</v>
      </c>
      <c r="K435" s="47">
        <f t="shared" si="32"/>
        <v>4327.3999999999996</v>
      </c>
      <c r="L435" s="47">
        <f t="shared" si="32"/>
        <v>8567.4</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58094.37</v>
      </c>
      <c r="G441" s="18">
        <v>192381.8</v>
      </c>
      <c r="H441" s="18"/>
      <c r="I441" s="56">
        <f t="shared" si="33"/>
        <v>250476.16999999998</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v>340</v>
      </c>
      <c r="H442" s="18"/>
      <c r="I442" s="56">
        <f t="shared" si="33"/>
        <v>340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58094.37</v>
      </c>
      <c r="G447" s="13">
        <f>SUM(G440:G446)</f>
        <v>192721.8</v>
      </c>
      <c r="H447" s="13">
        <f>SUM(H440:H446)</f>
        <v>0</v>
      </c>
      <c r="I447" s="13">
        <f>SUM(I440:I446)</f>
        <v>250816.16999999998</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v>6204</v>
      </c>
      <c r="G449" s="18">
        <v>4327.3999999999996</v>
      </c>
      <c r="H449" s="18"/>
      <c r="I449" s="56">
        <f>SUM(F449:H449)</f>
        <v>10531.4</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6204</v>
      </c>
      <c r="G453" s="72">
        <f>SUM(G449:G452)</f>
        <v>4327.3999999999996</v>
      </c>
      <c r="H453" s="72">
        <f>SUM(H449:H452)</f>
        <v>0</v>
      </c>
      <c r="I453" s="72">
        <f>SUM(I449:I452)</f>
        <v>10531.4</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v>20173.14</v>
      </c>
      <c r="H458" s="18"/>
      <c r="I458" s="56">
        <f t="shared" si="34"/>
        <v>20173.14</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51890.37</v>
      </c>
      <c r="G460" s="18">
        <v>168221.26</v>
      </c>
      <c r="H460" s="18"/>
      <c r="I460" s="56">
        <f t="shared" si="34"/>
        <v>220111.63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51890.37</v>
      </c>
      <c r="G461" s="83">
        <f>SUM(G455:G460)</f>
        <v>188394.40000000002</v>
      </c>
      <c r="H461" s="83">
        <f>SUM(H455:H460)</f>
        <v>0</v>
      </c>
      <c r="I461" s="83">
        <f>SUM(I455:I460)</f>
        <v>240284.77000000002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58094.37</v>
      </c>
      <c r="G462" s="42">
        <f>G453+G461</f>
        <v>192721.80000000002</v>
      </c>
      <c r="H462" s="42">
        <f>H453+H461</f>
        <v>0</v>
      </c>
      <c r="I462" s="42">
        <f>I453+I461</f>
        <v>250816.17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40915.82</v>
      </c>
      <c r="G466" s="18">
        <v>0</v>
      </c>
      <c r="H466" s="18">
        <v>0</v>
      </c>
      <c r="I466" s="18">
        <v>0</v>
      </c>
      <c r="J466" s="18">
        <f>236674.17</f>
        <v>236674.17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609215.87</v>
      </c>
      <c r="G469" s="18">
        <v>28899.13</v>
      </c>
      <c r="H469" s="18">
        <v>27401.119999999999</v>
      </c>
      <c r="I469" s="18"/>
      <c r="J469" s="18">
        <v>12178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609215.87</v>
      </c>
      <c r="G471" s="53">
        <f>SUM(G469:G470)</f>
        <v>28899.13</v>
      </c>
      <c r="H471" s="53">
        <f>SUM(H469:H470)</f>
        <v>27401.119999999999</v>
      </c>
      <c r="I471" s="53">
        <f>SUM(I469:I470)</f>
        <v>0</v>
      </c>
      <c r="J471" s="53">
        <f>SUM(J469:J470)</f>
        <v>12178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540294.15</v>
      </c>
      <c r="G473" s="18">
        <v>28899.13</v>
      </c>
      <c r="H473" s="18">
        <v>27401.119999999999</v>
      </c>
      <c r="I473" s="18"/>
      <c r="J473" s="18">
        <v>8567.4</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540294.15</v>
      </c>
      <c r="G475" s="53">
        <f>SUM(G473:G474)</f>
        <v>28899.13</v>
      </c>
      <c r="H475" s="53">
        <f>SUM(H473:H474)</f>
        <v>27401.119999999999</v>
      </c>
      <c r="I475" s="53">
        <f>SUM(I473:I474)</f>
        <v>0</v>
      </c>
      <c r="J475" s="53">
        <f>SUM(J473:J474)</f>
        <v>8567.4</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109837.53999999992</v>
      </c>
      <c r="G477" s="53">
        <f>(G466+G471)- G475</f>
        <v>0</v>
      </c>
      <c r="H477" s="53">
        <f>(H466+H471)- H475</f>
        <v>0</v>
      </c>
      <c r="I477" s="53">
        <f>(I466+I471)- I475</f>
        <v>0</v>
      </c>
      <c r="J477" s="53">
        <f>(J466+J471)- J475</f>
        <v>240284.77000000002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v>11629</v>
      </c>
      <c r="G513" s="24" t="s">
        <v>288</v>
      </c>
      <c r="H513" s="18">
        <v>10829</v>
      </c>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v>219033</v>
      </c>
      <c r="G514" s="24" t="s">
        <v>288</v>
      </c>
      <c r="H514" s="18">
        <v>215067</v>
      </c>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v>6673</v>
      </c>
      <c r="G515" s="24" t="s">
        <v>288</v>
      </c>
      <c r="H515" s="18">
        <v>5805</v>
      </c>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237335</v>
      </c>
      <c r="G518" s="42">
        <f>SUM(G512:G517)</f>
        <v>0</v>
      </c>
      <c r="H518" s="42">
        <f>SUM(H512:H517)</f>
        <v>231701</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0</v>
      </c>
      <c r="I525" s="108">
        <f t="shared" si="36"/>
        <v>0</v>
      </c>
      <c r="J525" s="108">
        <f t="shared" si="36"/>
        <v>0</v>
      </c>
      <c r="K525" s="108">
        <f t="shared" si="36"/>
        <v>0</v>
      </c>
      <c r="L525" s="89">
        <f t="shared" si="36"/>
        <v>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9081.23</v>
      </c>
      <c r="I527" s="18"/>
      <c r="J527" s="18"/>
      <c r="K527" s="18"/>
      <c r="L527" s="88">
        <f>SUM(F527:K527)</f>
        <v>9081.23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9081.23</v>
      </c>
      <c r="I530" s="89">
        <f t="shared" si="37"/>
        <v>0</v>
      </c>
      <c r="J530" s="89">
        <f t="shared" si="37"/>
        <v>0</v>
      </c>
      <c r="K530" s="89">
        <f t="shared" si="37"/>
        <v>0</v>
      </c>
      <c r="L530" s="89">
        <f t="shared" si="37"/>
        <v>9081.23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9520.81</v>
      </c>
      <c r="I532" s="18"/>
      <c r="J532" s="18"/>
      <c r="K532" s="18"/>
      <c r="L532" s="88">
        <f>SUM(F532:K532)</f>
        <v>9520.81</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9520.81</v>
      </c>
      <c r="I535" s="89">
        <f t="shared" si="38"/>
        <v>0</v>
      </c>
      <c r="J535" s="89">
        <f t="shared" si="38"/>
        <v>0</v>
      </c>
      <c r="K535" s="89">
        <f t="shared" si="38"/>
        <v>0</v>
      </c>
      <c r="L535" s="89">
        <f t="shared" si="38"/>
        <v>9520.81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18602.04</v>
      </c>
      <c r="I546" s="89">
        <f t="shared" si="41"/>
        <v>0</v>
      </c>
      <c r="J546" s="89">
        <f t="shared" si="41"/>
        <v>0</v>
      </c>
      <c r="K546" s="89">
        <f t="shared" si="41"/>
        <v>0</v>
      </c>
      <c r="L546" s="89">
        <f t="shared" si="41"/>
        <v>18602.04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9081.23</v>
      </c>
      <c r="H550" s="87">
        <f>L532</f>
        <v>9520.81</v>
      </c>
      <c r="I550" s="87">
        <f>L537</f>
        <v>0</v>
      </c>
      <c r="J550" s="87">
        <f>L542</f>
        <v>0</v>
      </c>
      <c r="K550" s="87">
        <f>SUM(F550:J550)</f>
        <v>18602.04</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0</v>
      </c>
      <c r="G553" s="89">
        <f t="shared" si="42"/>
        <v>9081.23</v>
      </c>
      <c r="H553" s="89">
        <f t="shared" si="42"/>
        <v>9520.81</v>
      </c>
      <c r="I553" s="89">
        <f t="shared" si="42"/>
        <v>0</v>
      </c>
      <c r="J553" s="89">
        <f t="shared" si="42"/>
        <v>0</v>
      </c>
      <c r="K553" s="89">
        <f t="shared" si="42"/>
        <v>18602.04</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134066.20000000001</v>
      </c>
      <c r="I576" s="87">
        <f>SUM(F576:H576)</f>
        <v>134066.20000000001</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20000</v>
      </c>
      <c r="I592" s="18"/>
      <c r="J592" s="18"/>
      <c r="K592" s="104">
        <f t="shared" ref="K592:K598" si="48">SUM(H592:J592)</f>
        <v>20000</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20000</v>
      </c>
      <c r="I599" s="108">
        <f>SUM(I592:I598)</f>
        <v>0</v>
      </c>
      <c r="J599" s="108">
        <f>SUM(J592:J598)</f>
        <v>0</v>
      </c>
      <c r="K599" s="108">
        <f>SUM(K592:K598)</f>
        <v>20000</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9302.58</v>
      </c>
      <c r="I605" s="18"/>
      <c r="J605" s="18"/>
      <c r="K605" s="104">
        <f>SUM(H605:J605)</f>
        <v>9302.58</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9302.58</v>
      </c>
      <c r="I606" s="108">
        <f>SUM(I603:I605)</f>
        <v>0</v>
      </c>
      <c r="J606" s="108">
        <f>SUM(J603:J605)</f>
        <v>0</v>
      </c>
      <c r="K606" s="108">
        <f>SUM(K603:K605)</f>
        <v>9302.58</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119894.3</v>
      </c>
      <c r="H618" s="109">
        <f>SUM(F52)</f>
        <v>119894.29999999999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3338.23</v>
      </c>
      <c r="H619" s="109">
        <f>SUM(G52)</f>
        <v>3338.2300000000005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20953.41</v>
      </c>
      <c r="H620" s="109">
        <f>SUM(H52)</f>
        <v>20953.41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250816.16999999998</v>
      </c>
      <c r="H622" s="109">
        <f>SUM(J52)</f>
        <v>250816.17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109837.54</v>
      </c>
      <c r="H623" s="109">
        <f>F477</f>
        <v>109837.53999999992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240284.77000000002</v>
      </c>
      <c r="H627" s="109">
        <f>J477</f>
        <v>240284.77000000002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609215.87</v>
      </c>
      <c r="H628" s="104">
        <f>SUM(F469)</f>
        <v>609215.87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28899.13</v>
      </c>
      <c r="H629" s="104">
        <f>SUM(G469)</f>
        <v>28899.13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27401.120000000003</v>
      </c>
      <c r="H630" s="104">
        <f>SUM(H469)</f>
        <v>27401.119999999999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12178</v>
      </c>
      <c r="H632" s="104">
        <f>SUM(J469)</f>
        <v>12178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540294.15</v>
      </c>
      <c r="H633" s="104">
        <f>SUM(F473)</f>
        <v>540294.15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27401.119999999999</v>
      </c>
      <c r="H634" s="104">
        <f>SUM(H473)</f>
        <v>27401.119999999999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9697.57</v>
      </c>
      <c r="H635" s="104">
        <f>I370</f>
        <v>9697.5700000000015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28899.13</v>
      </c>
      <c r="H636" s="104">
        <f>SUM(G473)</f>
        <v>28899.13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12178</v>
      </c>
      <c r="H638" s="164">
        <f>SUM(J469)</f>
        <v>12178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8567.4</v>
      </c>
      <c r="H639" s="164">
        <f>SUM(J473)</f>
        <v>8567.4</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58094.37</v>
      </c>
      <c r="H640" s="104">
        <f>SUM(F462)</f>
        <v>58094.37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192721.8</v>
      </c>
      <c r="H641" s="104">
        <f>SUM(G462)</f>
        <v>192721.80000000002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250816.16999999998</v>
      </c>
      <c r="H643" s="104">
        <f>SUM(I462)</f>
        <v>250816.17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558</v>
      </c>
      <c r="H645" s="104">
        <f>H409</f>
        <v>558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11500</v>
      </c>
      <c r="H646" s="104">
        <f>G409</f>
        <v>11500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12178</v>
      </c>
      <c r="H647" s="104">
        <f>L409</f>
        <v>12178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20000</v>
      </c>
      <c r="H648" s="104">
        <f>L209+L227+L245</f>
        <v>20000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9302.58</v>
      </c>
      <c r="H649" s="104">
        <f>(J258+J339)-(J256+J337)</f>
        <v>9302.58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20000</v>
      </c>
      <c r="H650" s="104">
        <f>H599</f>
        <v>20000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14396.93</v>
      </c>
      <c r="H653" s="104">
        <f>K264+K346</f>
        <v>14396.93</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11500</v>
      </c>
      <c r="H656" s="104">
        <f>K267+K348</f>
        <v>11500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414715.09428571427</v>
      </c>
      <c r="G661" s="19">
        <f>(L230+L310+L360)</f>
        <v>0</v>
      </c>
      <c r="H661" s="19">
        <f>(L248+L329+L361)</f>
        <v>153921.10571428572</v>
      </c>
      <c r="I661" s="19">
        <f>SUM(F661:H661)</f>
        <v>568636.19999999995</v>
      </c>
      <c r="J661" s="13"/>
      <c r="K661" s="13"/>
      <c r="L661" s="13"/>
      <c r="M661" s="9"/>
    </row>
    <row r="662" spans="1:13" s="3" customFormat="1" ht="12.2" customHeight="1" x14ac:dyDescent="0.2">
      <c r="A662" s="1" t="s">
        <v>127</v>
      </c>
      <c r="F662" s="19">
        <f>(L359/IF(SUM(L359:L361)=0,1,SUM(L359:L361))*(SUM(G97:G110)))</f>
        <v>7239.05</v>
      </c>
      <c r="G662" s="19">
        <f>(L360/IF(SUM(L359:L361)=0,1,SUM(L359:L361))*(SUM(G97:G110)))</f>
        <v>0</v>
      </c>
      <c r="H662" s="19">
        <f>(L361/IF(SUM(L359:L361)=0,1,SUM(L359:L361))*(SUM(G97:G110)))</f>
        <v>0</v>
      </c>
      <c r="I662" s="19">
        <f>SUM(F662:H662)</f>
        <v>7239.05</v>
      </c>
      <c r="J662"/>
      <c r="K662" s="13"/>
      <c r="L662" s="13"/>
      <c r="M662" s="8"/>
    </row>
    <row r="663" spans="1:13" s="3" customFormat="1" ht="12.2" customHeight="1" x14ac:dyDescent="0.2">
      <c r="A663" s="1" t="s">
        <v>128</v>
      </c>
      <c r="F663" s="19">
        <f>(L209+L288)-(J209+J288)</f>
        <v>20355</v>
      </c>
      <c r="G663" s="19">
        <f>(L227+L307)-(J227+J307)</f>
        <v>0</v>
      </c>
      <c r="H663" s="19">
        <f>(L245+L326)-(J245+J326)</f>
        <v>0</v>
      </c>
      <c r="I663" s="19">
        <f>SUM(F663:H663)</f>
        <v>20355</v>
      </c>
      <c r="J663"/>
      <c r="K663" s="13"/>
      <c r="L663" s="13"/>
      <c r="M663" s="9"/>
    </row>
    <row r="664" spans="1:13" s="3" customFormat="1" ht="12.2" customHeight="1" x14ac:dyDescent="0.15">
      <c r="A664" s="198" t="s">
        <v>129</v>
      </c>
      <c r="B664" s="169"/>
      <c r="C664" s="169"/>
      <c r="D664" s="169"/>
      <c r="E664" s="169"/>
      <c r="F664" s="199">
        <f>SUM(F576:F588)+SUM(H603:H605)+SUM(L612)</f>
        <v>9302.58</v>
      </c>
      <c r="G664" s="199">
        <f>SUM(G576:G588)+SUM(I603:I605)+L613</f>
        <v>0</v>
      </c>
      <c r="H664" s="199">
        <f>SUM(H576:H588)+SUM(J603:J605)+L614</f>
        <v>134066.20000000001</v>
      </c>
      <c r="I664" s="19">
        <f>SUM(F664:H664)</f>
        <v>143368.78</v>
      </c>
      <c r="J664" s="13"/>
      <c r="K664" s="13"/>
      <c r="L664" s="13"/>
      <c r="M664" s="9"/>
    </row>
    <row r="665" spans="1:13" s="3" customFormat="1" ht="12.2" customHeight="1" x14ac:dyDescent="0.15">
      <c r="A665" s="1" t="s">
        <v>130</v>
      </c>
      <c r="F665" s="19">
        <f>F661-SUM(F662:F664)</f>
        <v>377818.46428571426</v>
      </c>
      <c r="G665" s="19">
        <f>G661-SUM(G662:G664)</f>
        <v>0</v>
      </c>
      <c r="H665" s="19">
        <f>H661-SUM(H662:H664)</f>
        <v>19854.905714285705</v>
      </c>
      <c r="I665" s="19">
        <f>I661-SUM(I662:I664)</f>
        <v>397673.37</v>
      </c>
      <c r="J665" s="13"/>
      <c r="K665" s="13"/>
      <c r="L665" s="13"/>
      <c r="M665" s="8"/>
    </row>
    <row r="666" spans="1:13" s="3" customFormat="1" ht="12.2" customHeight="1" x14ac:dyDescent="0.2">
      <c r="A666" s="1" t="s">
        <v>131</v>
      </c>
      <c r="F666" s="246">
        <v>15</v>
      </c>
      <c r="G666" s="247"/>
      <c r="H666" s="247"/>
      <c r="I666" s="19">
        <f>SUM(F666:H666)</f>
        <v>15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25187.9</v>
      </c>
      <c r="G668" s="19" t="e">
        <f>ROUND(G665/G666,2)</f>
        <v>#DIV/0!</v>
      </c>
      <c r="H668" s="19" t="e">
        <f>ROUND(H665/H666,2)</f>
        <v>#DIV/0!</v>
      </c>
      <c r="I668" s="19">
        <f>ROUND(I665/I666,2)</f>
        <v>26511.56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-19854.91</v>
      </c>
      <c r="I670" s="19">
        <f>SUM(F670:H670)</f>
        <v>-19854.91</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25187.9</v>
      </c>
      <c r="G673" s="19" t="e">
        <f>ROUND((G665+G670)/(G666+G671),2)</f>
        <v>#DIV/0!</v>
      </c>
      <c r="H673" s="19" t="e">
        <f>ROUND((H665+H670)/(H666+H671),2)</f>
        <v>#DIV/0!</v>
      </c>
      <c r="I673" s="19">
        <f>ROUND((I665+I670)/(I666+I671),2)</f>
        <v>25187.9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3"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Errol</v>
      </c>
      <c r="C5" s="344"/>
      <c r="D5" s="344"/>
      <c r="E5" s="344"/>
      <c r="F5" s="344"/>
    </row>
    <row r="8" spans="1:9" ht="18" x14ac:dyDescent="0.25">
      <c r="A8" s="323" t="s">
        <v>1591</v>
      </c>
      <c r="F8" s="330" t="s">
        <v>1609</v>
      </c>
    </row>
    <row r="9" spans="1:9" ht="15" x14ac:dyDescent="0.2">
      <c r="A9" s="321" t="s">
        <v>1592</v>
      </c>
      <c r="B9" s="324">
        <f>'DOE25'!G97</f>
        <v>7239.05</v>
      </c>
      <c r="F9" s="321" t="s">
        <v>1605</v>
      </c>
    </row>
    <row r="10" spans="1:9" ht="15" x14ac:dyDescent="0.2">
      <c r="A10" s="321" t="s">
        <v>1593</v>
      </c>
      <c r="B10" s="324">
        <f>'DOE25'!G112-'DOE25'!G97</f>
        <v>0</v>
      </c>
      <c r="F10" s="321" t="s">
        <v>1606</v>
      </c>
    </row>
    <row r="11" spans="1:9" ht="15" x14ac:dyDescent="0.2">
      <c r="A11" s="321" t="s">
        <v>1594</v>
      </c>
      <c r="B11" s="324">
        <f>'DOE25'!G140</f>
        <v>2287.62</v>
      </c>
      <c r="F11" s="321" t="s">
        <v>1607</v>
      </c>
    </row>
    <row r="12" spans="1:9" ht="15" x14ac:dyDescent="0.2">
      <c r="A12" s="321" t="s">
        <v>1595</v>
      </c>
      <c r="B12" s="324">
        <f>'DOE25'!G170</f>
        <v>4975.53</v>
      </c>
      <c r="F12" s="321" t="s">
        <v>1608</v>
      </c>
    </row>
    <row r="13" spans="1:9" ht="15" x14ac:dyDescent="0.2">
      <c r="A13" s="321" t="s">
        <v>1596</v>
      </c>
      <c r="B13" s="324">
        <f>'DOE25'!G193-'DOE25'!G180</f>
        <v>0</v>
      </c>
      <c r="F13" s="321" t="s">
        <v>1618</v>
      </c>
    </row>
    <row r="14" spans="1:9" ht="18" x14ac:dyDescent="0.25">
      <c r="A14" s="323" t="s">
        <v>732</v>
      </c>
      <c r="B14" s="325">
        <f>SUM(B9:B13)</f>
        <v>14502.2</v>
      </c>
    </row>
    <row r="16" spans="1:9" ht="18" x14ac:dyDescent="0.25">
      <c r="A16" s="323" t="s">
        <v>786</v>
      </c>
      <c r="F16" s="330" t="s">
        <v>1610</v>
      </c>
    </row>
    <row r="17" spans="1:6" ht="15" x14ac:dyDescent="0.2">
      <c r="A17" s="321" t="s">
        <v>1597</v>
      </c>
      <c r="B17" s="324">
        <f>'DOE25'!L363-'DOE25'!L362</f>
        <v>28899.13</v>
      </c>
      <c r="F17" s="321" t="s">
        <v>1611</v>
      </c>
    </row>
    <row r="18" spans="1:6" ht="15" x14ac:dyDescent="0.2">
      <c r="A18" s="321" t="s">
        <v>1598</v>
      </c>
      <c r="B18" s="338">
        <v>0</v>
      </c>
      <c r="F18" s="330" t="s">
        <v>1637</v>
      </c>
    </row>
    <row r="19" spans="1:6" ht="18" x14ac:dyDescent="0.25">
      <c r="A19" s="323" t="s">
        <v>725</v>
      </c>
      <c r="B19" s="325">
        <f>SUM(B17:B18)</f>
        <v>28899.13</v>
      </c>
    </row>
    <row r="21" spans="1:6" ht="18.75" thickBot="1" x14ac:dyDescent="0.3">
      <c r="A21" s="323" t="s">
        <v>1599</v>
      </c>
    </row>
    <row r="22" spans="1:6" ht="18.75" thickTop="1" x14ac:dyDescent="0.25">
      <c r="A22" s="323" t="s">
        <v>1600</v>
      </c>
      <c r="B22" s="329">
        <f>B14-B19</f>
        <v>-14396.93</v>
      </c>
      <c r="F22" s="321" t="s">
        <v>1612</v>
      </c>
    </row>
    <row r="26" spans="1:6" ht="18" x14ac:dyDescent="0.25">
      <c r="A26" s="323" t="s">
        <v>186</v>
      </c>
    </row>
    <row r="27" spans="1:6" ht="15" x14ac:dyDescent="0.2">
      <c r="A27" s="321" t="s">
        <v>1601</v>
      </c>
      <c r="B27" s="324">
        <f>'DOE25'!G180</f>
        <v>14396.93</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2093.1799999999998</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Errol</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134338.56</v>
      </c>
      <c r="C9" s="229">
        <f>'DOE25'!G198+'DOE25'!G216+'DOE25'!G234+'DOE25'!G277+'DOE25'!G296+'DOE25'!G315</f>
        <v>70087.360000000001</v>
      </c>
    </row>
    <row r="10" spans="1:3" x14ac:dyDescent="0.2">
      <c r="A10" t="s">
        <v>775</v>
      </c>
      <c r="B10" s="240">
        <v>131041.31</v>
      </c>
      <c r="C10" s="240">
        <v>69828.34</v>
      </c>
    </row>
    <row r="11" spans="1:3" x14ac:dyDescent="0.2">
      <c r="A11" t="s">
        <v>776</v>
      </c>
      <c r="B11" s="240">
        <v>3297.25</v>
      </c>
      <c r="C11" s="240">
        <v>259.02</v>
      </c>
    </row>
    <row r="12" spans="1:3" x14ac:dyDescent="0.2">
      <c r="A12" t="s">
        <v>777</v>
      </c>
      <c r="B12" s="240"/>
      <c r="C12" s="240"/>
    </row>
    <row r="13" spans="1:3" x14ac:dyDescent="0.2">
      <c r="A13" t="str">
        <f>IF(B9=B13,IF(C9=C13,"Check Total OK","Check Total Error"),"Check Total Error")</f>
        <v>Check Total OK</v>
      </c>
      <c r="B13" s="231">
        <f>SUM(B10:B12)</f>
        <v>134338.56</v>
      </c>
      <c r="C13" s="231">
        <f>SUM(C10:C12)</f>
        <v>70087.360000000001</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Errol</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347242.91000000003</v>
      </c>
      <c r="D5" s="20">
        <f>SUM('DOE25'!L198:L201)+SUM('DOE25'!L216:L219)+SUM('DOE25'!L234:L237)-F5-G5-H5</f>
        <v>344568.49000000005</v>
      </c>
      <c r="E5" s="243"/>
      <c r="F5" s="244"/>
      <c r="G5" s="53">
        <f>SUM('DOE25'!J198:J201)+SUM('DOE25'!J216:J219)+SUM('DOE25'!J234:J237)</f>
        <v>2674.42</v>
      </c>
      <c r="H5" s="53">
        <f>SUM('DOE25'!K198:K201)+SUM('DOE25'!K216:K219)+SUM('DOE25'!K234:K237)</f>
        <v>0</v>
      </c>
      <c r="I5" s="256"/>
    </row>
    <row r="6" spans="1:9" x14ac:dyDescent="0.2">
      <c r="A6" s="32">
        <v>2100</v>
      </c>
      <c r="B6" t="s">
        <v>796</v>
      </c>
      <c r="C6" s="276">
        <f t="shared" si="0"/>
        <v>11445.69</v>
      </c>
      <c r="D6" s="20">
        <f>'DOE25'!L203+'DOE25'!L221+'DOE25'!L239-F6-G6-H6</f>
        <v>11445.69</v>
      </c>
      <c r="E6" s="243"/>
      <c r="F6" s="244"/>
      <c r="G6" s="53">
        <f>'DOE25'!J203+'DOE25'!J221+'DOE25'!J239</f>
        <v>0</v>
      </c>
      <c r="H6" s="53">
        <f>'DOE25'!K203+'DOE25'!K221+'DOE25'!K239</f>
        <v>0</v>
      </c>
      <c r="I6" s="256"/>
    </row>
    <row r="7" spans="1:9" x14ac:dyDescent="0.2">
      <c r="A7" s="32">
        <v>2200</v>
      </c>
      <c r="B7" t="s">
        <v>821</v>
      </c>
      <c r="C7" s="276">
        <f t="shared" si="0"/>
        <v>439.06</v>
      </c>
      <c r="D7" s="20">
        <f>'DOE25'!L204+'DOE25'!L222+'DOE25'!L240-F7-G7-H7</f>
        <v>439.06</v>
      </c>
      <c r="E7" s="243"/>
      <c r="F7" s="244"/>
      <c r="G7" s="53">
        <f>'DOE25'!J204+'DOE25'!J222+'DOE25'!J240</f>
        <v>0</v>
      </c>
      <c r="H7" s="53">
        <f>'DOE25'!K204+'DOE25'!K222+'DOE25'!K240</f>
        <v>0</v>
      </c>
      <c r="I7" s="256"/>
    </row>
    <row r="8" spans="1:9" x14ac:dyDescent="0.2">
      <c r="A8" s="32">
        <v>2300</v>
      </c>
      <c r="B8" t="s">
        <v>797</v>
      </c>
      <c r="C8" s="276">
        <f t="shared" si="0"/>
        <v>50513.210000000006</v>
      </c>
      <c r="D8" s="243"/>
      <c r="E8" s="20">
        <f>'DOE25'!L205+'DOE25'!L223+'DOE25'!L241-F8-G8-H8-D9-D11</f>
        <v>48820.970000000008</v>
      </c>
      <c r="F8" s="244"/>
      <c r="G8" s="53">
        <f>'DOE25'!J205+'DOE25'!J223+'DOE25'!J241</f>
        <v>0</v>
      </c>
      <c r="H8" s="53">
        <f>'DOE25'!K205+'DOE25'!K223+'DOE25'!K241</f>
        <v>1692.24</v>
      </c>
      <c r="I8" s="256"/>
    </row>
    <row r="9" spans="1:9" ht="14.25" x14ac:dyDescent="0.2">
      <c r="A9" s="32">
        <v>2310</v>
      </c>
      <c r="B9" s="185" t="s">
        <v>890</v>
      </c>
      <c r="C9" s="276">
        <f t="shared" si="0"/>
        <v>4917.96</v>
      </c>
      <c r="D9" s="244">
        <v>4917.96</v>
      </c>
      <c r="E9" s="243"/>
      <c r="F9" s="253"/>
      <c r="G9" s="253"/>
      <c r="H9" s="253"/>
      <c r="I9" s="256"/>
    </row>
    <row r="10" spans="1:9" ht="14.25" x14ac:dyDescent="0.2">
      <c r="A10" s="32">
        <v>2317</v>
      </c>
      <c r="B10" s="185" t="s">
        <v>891</v>
      </c>
      <c r="C10" s="276">
        <f t="shared" si="0"/>
        <v>4620.41</v>
      </c>
      <c r="D10" s="243"/>
      <c r="E10" s="244">
        <v>4620.41</v>
      </c>
      <c r="F10" s="253"/>
      <c r="G10" s="253"/>
      <c r="H10" s="253"/>
      <c r="I10" s="256"/>
    </row>
    <row r="11" spans="1:9" ht="14.25" x14ac:dyDescent="0.2">
      <c r="A11" s="32">
        <v>2321</v>
      </c>
      <c r="B11" s="185" t="s">
        <v>892</v>
      </c>
      <c r="C11" s="276">
        <f t="shared" si="0"/>
        <v>14061</v>
      </c>
      <c r="D11" s="244">
        <v>14061</v>
      </c>
      <c r="E11" s="243"/>
      <c r="F11" s="253"/>
      <c r="G11" s="253"/>
      <c r="H11" s="253"/>
      <c r="I11" s="256"/>
    </row>
    <row r="12" spans="1:9" x14ac:dyDescent="0.2">
      <c r="A12" s="32">
        <v>2400</v>
      </c>
      <c r="B12" t="s">
        <v>711</v>
      </c>
      <c r="C12" s="276">
        <f t="shared" si="0"/>
        <v>33935.94</v>
      </c>
      <c r="D12" s="20">
        <f>'DOE25'!L206+'DOE25'!L224+'DOE25'!L242-F12-G12-H12</f>
        <v>33096.14</v>
      </c>
      <c r="E12" s="243"/>
      <c r="F12" s="244"/>
      <c r="G12" s="53">
        <f>'DOE25'!J206+'DOE25'!J224+'DOE25'!J242</f>
        <v>0</v>
      </c>
      <c r="H12" s="53">
        <f>'DOE25'!K206+'DOE25'!K224+'DOE25'!K242</f>
        <v>839.8</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31841.45</v>
      </c>
      <c r="D14" s="20">
        <f>'DOE25'!L208+'DOE25'!L226+'DOE25'!L244-F14-G14-H14</f>
        <v>31841.45</v>
      </c>
      <c r="E14" s="243"/>
      <c r="F14" s="244"/>
      <c r="G14" s="53">
        <f>'DOE25'!J208+'DOE25'!J226+'DOE25'!J244</f>
        <v>0</v>
      </c>
      <c r="H14" s="53">
        <f>'DOE25'!K208+'DOE25'!K226+'DOE25'!K244</f>
        <v>0</v>
      </c>
      <c r="I14" s="256"/>
    </row>
    <row r="15" spans="1:9" x14ac:dyDescent="0.2">
      <c r="A15" s="32">
        <v>2700</v>
      </c>
      <c r="B15" t="s">
        <v>799</v>
      </c>
      <c r="C15" s="276">
        <f t="shared" si="0"/>
        <v>20000</v>
      </c>
      <c r="D15" s="20">
        <f>'DOE25'!L209+'DOE25'!L227+'DOE25'!L245-F15-G15-H15</f>
        <v>20000</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20613.260000000002</v>
      </c>
      <c r="D29" s="284">
        <f>'DOE25'!L359+'DOE25'!L360+'DOE25'!L361-'DOE25'!I368-F29-G29-H29</f>
        <v>20613.260000000002</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25339.85</v>
      </c>
      <c r="D31" s="20">
        <f>'DOE25'!L291+'DOE25'!L310+'DOE25'!L329+'DOE25'!L334+'DOE25'!L335+'DOE25'!L336-F31-G31-H31</f>
        <v>18581.689999999999</v>
      </c>
      <c r="E31" s="243"/>
      <c r="F31" s="244"/>
      <c r="G31" s="53">
        <f>'DOE25'!J291+'DOE25'!J310+'DOE25'!J329+'DOE25'!J334+'DOE25'!J335+'DOE25'!J336</f>
        <v>6628.16</v>
      </c>
      <c r="H31" s="53">
        <f>'DOE25'!K291+'DOE25'!K310+'DOE25'!K329+'DOE25'!K334+'DOE25'!K335+'DOE25'!K336</f>
        <v>130</v>
      </c>
      <c r="I31" s="256"/>
    </row>
    <row r="32" spans="1:9" ht="12" thickBot="1" x14ac:dyDescent="0.25">
      <c r="C32" s="277"/>
      <c r="G32" s="251"/>
      <c r="H32" s="251"/>
      <c r="I32" s="258"/>
    </row>
    <row r="33" spans="1:9" ht="12" thickTop="1" x14ac:dyDescent="0.2">
      <c r="B33" t="s">
        <v>809</v>
      </c>
      <c r="D33" s="245">
        <f t="shared" ref="D33:I33" si="1">SUM(D5:D31)</f>
        <v>499564.74000000011</v>
      </c>
      <c r="E33" s="245">
        <f t="shared" si="1"/>
        <v>53441.380000000005</v>
      </c>
      <c r="F33" s="245">
        <f t="shared" si="1"/>
        <v>0</v>
      </c>
      <c r="G33" s="245">
        <f t="shared" si="1"/>
        <v>9302.58</v>
      </c>
      <c r="H33" s="245">
        <f t="shared" si="1"/>
        <v>2662.04</v>
      </c>
      <c r="I33" s="245">
        <f t="shared" si="1"/>
        <v>0</v>
      </c>
    </row>
    <row r="35" spans="1:9" ht="12" thickBot="1" x14ac:dyDescent="0.25">
      <c r="B35" s="251" t="s">
        <v>831</v>
      </c>
      <c r="D35" s="252">
        <f>E33</f>
        <v>53441.380000000005</v>
      </c>
      <c r="E35" s="248"/>
    </row>
    <row r="36" spans="1:9" ht="12" thickTop="1" x14ac:dyDescent="0.2">
      <c r="B36" t="s">
        <v>810</v>
      </c>
      <c r="D36" s="20">
        <f>D33</f>
        <v>499564.74000000011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8" sqref="D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Errol</v>
      </c>
      <c r="B2" s="126">
        <f>'DOE25'!B2</f>
        <v>171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385815.96</v>
      </c>
      <c r="G4" s="303">
        <f>'DOE25'!L212+'DOE25'!L291</f>
        <v>385815.96428571426</v>
      </c>
      <c r="H4" s="337">
        <f>F4-G4</f>
        <v>-4.2857142398133874E-3</v>
      </c>
      <c r="I4" s="309" t="str">
        <f>IF(H4=0,"","Does not match DOE25 page 7 and 11 Totals!!")</f>
        <v>Does not match DOE25 page 7 and 11 Totals!!</v>
      </c>
      <c r="N4"/>
    </row>
    <row r="5" spans="1:18" x14ac:dyDescent="0.2">
      <c r="A5" s="21" t="s">
        <v>1031</v>
      </c>
      <c r="B5" s="304">
        <f>IFERROR(VLOOKUP(A5,'School Tables'!$C$3:$D$365,2,FALSE),"")</f>
        <v>20735</v>
      </c>
      <c r="C5" s="297" t="str">
        <f>IFERROR(INDEX('School Tables'!$B$3:$B$365,MATCH('School Level Expenditures'!B5,'School Tables'!$D$3:$D$365,0)),"")</f>
        <v>Errol</v>
      </c>
      <c r="D5" s="294">
        <v>371024.69</v>
      </c>
      <c r="E5" s="294">
        <v>14791.27</v>
      </c>
      <c r="F5" s="312">
        <f>D5+E5</f>
        <v>385815.96</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153921.10999999999</v>
      </c>
      <c r="G36" s="303">
        <f>'DOE25'!L248+'DOE25'!L329</f>
        <v>153921.10571428572</v>
      </c>
      <c r="H36" s="337">
        <f>F36-G36</f>
        <v>4.2857142689172179E-3</v>
      </c>
      <c r="I36" s="309" t="str">
        <f>IF(H36=0,"","Does not match DOE25 page 9 and 13 Totals!!")</f>
        <v>Does not match DOE25 page 9 and 13 Totals!!</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153921.10999999999</v>
      </c>
      <c r="E37" s="294"/>
      <c r="F37" s="307">
        <f>D37+E37</f>
        <v>153921.10999999999</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8"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Errol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14872.64</v>
      </c>
      <c r="D8" s="95">
        <f>'DOE25'!G9</f>
        <v>0</v>
      </c>
      <c r="E8" s="95">
        <f>'DOE25'!H9</f>
        <v>0</v>
      </c>
      <c r="F8" s="95">
        <f>'DOE25'!I9</f>
        <v>0</v>
      </c>
      <c r="G8" s="95">
        <f>'DOE25'!J9</f>
        <v>0</v>
      </c>
      <c r="H8" s="124"/>
      <c r="I8" s="124"/>
    </row>
    <row r="9" spans="1:9" x14ac:dyDescent="0.2">
      <c r="A9" s="1" t="s">
        <v>140</v>
      </c>
      <c r="B9" s="6">
        <v>110</v>
      </c>
      <c r="C9" s="95">
        <f>'DOE25'!F10</f>
        <v>78347.210000000006</v>
      </c>
      <c r="D9" s="95">
        <f>'DOE25'!G10</f>
        <v>0</v>
      </c>
      <c r="E9" s="95">
        <f>'DOE25'!H10</f>
        <v>0</v>
      </c>
      <c r="F9" s="95">
        <f>'DOE25'!I10</f>
        <v>0</v>
      </c>
      <c r="G9" s="95">
        <f>'DOE25'!J10</f>
        <v>250476.16999999998</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26674.449999999997</v>
      </c>
      <c r="D11" s="95">
        <f>'DOE25'!G12</f>
        <v>0</v>
      </c>
      <c r="E11" s="95">
        <f>'DOE25'!H12</f>
        <v>0</v>
      </c>
      <c r="F11" s="95">
        <f>'DOE25'!I12</f>
        <v>0</v>
      </c>
      <c r="G11" s="95">
        <f>'DOE25'!J12</f>
        <v>340</v>
      </c>
      <c r="H11" s="124"/>
      <c r="I11" s="124"/>
    </row>
    <row r="12" spans="1:9" x14ac:dyDescent="0.2">
      <c r="A12" s="1" t="s">
        <v>143</v>
      </c>
      <c r="B12" s="6">
        <v>140</v>
      </c>
      <c r="C12" s="95">
        <f>'DOE25'!F13</f>
        <v>0</v>
      </c>
      <c r="D12" s="95">
        <f>'DOE25'!G13</f>
        <v>3338.23</v>
      </c>
      <c r="E12" s="95">
        <f>'DOE25'!H13</f>
        <v>20953.41</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119894.3</v>
      </c>
      <c r="D18" s="41">
        <f>SUM(D8:D17)</f>
        <v>3338.23</v>
      </c>
      <c r="E18" s="41">
        <f>SUM(E8:E17)</f>
        <v>20953.41</v>
      </c>
      <c r="F18" s="41">
        <f>SUM(F8:F17)</f>
        <v>0</v>
      </c>
      <c r="G18" s="41">
        <f>SUM(G8:G17)</f>
        <v>250816.16999999998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2349.5300000000002</v>
      </c>
      <c r="E21" s="95">
        <f>'DOE25'!H22</f>
        <v>14133.52</v>
      </c>
      <c r="F21" s="95">
        <f>'DOE25'!I22</f>
        <v>0</v>
      </c>
      <c r="G21" s="95">
        <f>'DOE25'!J22</f>
        <v>10531.4</v>
      </c>
      <c r="H21" s="124"/>
      <c r="I21" s="124"/>
    </row>
    <row r="22" spans="1:9" x14ac:dyDescent="0.2">
      <c r="A22" s="1" t="s">
        <v>151</v>
      </c>
      <c r="B22" s="6">
        <v>410</v>
      </c>
      <c r="C22" s="95">
        <f>'DOE25'!F23</f>
        <v>4617.6400000000003</v>
      </c>
      <c r="D22" s="95">
        <f>'DOE25'!G23</f>
        <v>988.7</v>
      </c>
      <c r="E22" s="95">
        <f>'DOE25'!H23</f>
        <v>3512.1</v>
      </c>
      <c r="F22" s="95">
        <f>'DOE25'!I23</f>
        <v>0</v>
      </c>
      <c r="G22" s="95">
        <f>'DOE25'!J23</f>
        <v>0</v>
      </c>
      <c r="H22" s="124"/>
      <c r="I22" s="124"/>
    </row>
    <row r="23" spans="1:9" x14ac:dyDescent="0.2">
      <c r="A23" s="1" t="s">
        <v>152</v>
      </c>
      <c r="B23" s="6">
        <v>420</v>
      </c>
      <c r="C23" s="95">
        <f>'DOE25'!F24</f>
        <v>5439.12</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3307.79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10056.76</v>
      </c>
      <c r="D31" s="41">
        <f>SUM(D21:D30)</f>
        <v>3338.2300000000005</v>
      </c>
      <c r="E31" s="41">
        <f>SUM(E21:E30)</f>
        <v>20953.41</v>
      </c>
      <c r="F31" s="41">
        <f>SUM(F21:F30)</f>
        <v>0</v>
      </c>
      <c r="G31" s="41">
        <f>SUM(G21:G30)</f>
        <v>10531.4</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20173.14</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12511</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220111.63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97326.54</v>
      </c>
      <c r="D49" s="24" t="s">
        <v>288</v>
      </c>
      <c r="E49" s="24" t="s">
        <v>288</v>
      </c>
      <c r="F49" s="24" t="s">
        <v>288</v>
      </c>
      <c r="G49" s="24" t="s">
        <v>288</v>
      </c>
      <c r="H49" s="124"/>
      <c r="I49" s="124"/>
    </row>
    <row r="50" spans="1:9" ht="12.75" thickTop="1" thickBot="1" x14ac:dyDescent="0.25">
      <c r="A50" s="38" t="s">
        <v>884</v>
      </c>
      <c r="B50" s="48"/>
      <c r="C50" s="41">
        <f>SUM(C34:C49)</f>
        <v>109837.54</v>
      </c>
      <c r="D50" s="41">
        <f>SUM(D34:D49)</f>
        <v>0</v>
      </c>
      <c r="E50" s="41">
        <f>SUM(E34:E49)</f>
        <v>0</v>
      </c>
      <c r="F50" s="41">
        <f>SUM(F34:F49)</f>
        <v>0</v>
      </c>
      <c r="G50" s="41">
        <f>SUM(G34:G49)</f>
        <v>240284.77000000002</v>
      </c>
      <c r="H50" s="124"/>
      <c r="I50" s="124"/>
    </row>
    <row r="51" spans="1:9" ht="12" thickTop="1" x14ac:dyDescent="0.2">
      <c r="A51" s="38" t="s">
        <v>885</v>
      </c>
      <c r="B51" s="2"/>
      <c r="C51" s="41">
        <f>C50+C31</f>
        <v>119894.29999999999</v>
      </c>
      <c r="D51" s="41">
        <f>D50+D31</f>
        <v>3338.2300000000005</v>
      </c>
      <c r="E51" s="41">
        <f>E50+E31</f>
        <v>20953.41</v>
      </c>
      <c r="F51" s="41">
        <f>F50+F31</f>
        <v>0</v>
      </c>
      <c r="G51" s="41">
        <f>G50+G31</f>
        <v>250816.17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320592</v>
      </c>
      <c r="D56" s="95">
        <f>'DOE25'!G60</f>
        <v>0</v>
      </c>
      <c r="E56" s="95">
        <f>'DOE25'!H60</f>
        <v>0</v>
      </c>
      <c r="F56" s="95">
        <f>'DOE25'!I60</f>
        <v>0</v>
      </c>
      <c r="G56" s="95">
        <f>'DOE25'!J60</f>
        <v>0</v>
      </c>
      <c r="H56"/>
      <c r="I56"/>
    </row>
    <row r="57" spans="1:9" x14ac:dyDescent="0.2">
      <c r="A57" s="1" t="s">
        <v>164</v>
      </c>
      <c r="B57" s="6" t="s">
        <v>165</v>
      </c>
      <c r="C57" s="95">
        <f>'DOE25'!F79</f>
        <v>101130.12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419.79</v>
      </c>
      <c r="D59" s="95">
        <f>'DOE25'!G96</f>
        <v>0</v>
      </c>
      <c r="E59" s="95">
        <f>'DOE25'!H96</f>
        <v>0</v>
      </c>
      <c r="F59" s="95">
        <f>'DOE25'!I96</f>
        <v>0</v>
      </c>
      <c r="G59" s="95">
        <f>'DOE25'!J96</f>
        <v>558</v>
      </c>
      <c r="H59"/>
      <c r="I59"/>
    </row>
    <row r="60" spans="1:9" x14ac:dyDescent="0.2">
      <c r="A60" s="1" t="s">
        <v>170</v>
      </c>
      <c r="B60" s="118" t="s">
        <v>171</v>
      </c>
      <c r="C60" s="24" t="s">
        <v>288</v>
      </c>
      <c r="D60" s="95">
        <f>'DOE25'!G97</f>
        <v>7239.05</v>
      </c>
      <c r="E60" s="24" t="s">
        <v>288</v>
      </c>
      <c r="F60" s="24" t="s">
        <v>288</v>
      </c>
      <c r="G60" s="24" t="s">
        <v>288</v>
      </c>
      <c r="H60"/>
      <c r="I60"/>
    </row>
    <row r="61" spans="1:9" ht="12" thickBot="1" x14ac:dyDescent="0.25">
      <c r="A61" s="1" t="s">
        <v>172</v>
      </c>
      <c r="B61" s="118" t="s">
        <v>173</v>
      </c>
      <c r="C61" s="95">
        <f>SUM('DOE25'!F98:F110)</f>
        <v>2571.4899999999998</v>
      </c>
      <c r="D61" s="95">
        <f>SUM('DOE25'!G98:G110)</f>
        <v>0</v>
      </c>
      <c r="E61" s="95">
        <f>SUM('DOE25'!H98:H110)</f>
        <v>175.4</v>
      </c>
      <c r="F61" s="95">
        <f>SUM('DOE25'!I98:I110)</f>
        <v>0</v>
      </c>
      <c r="G61" s="95">
        <f>SUM('DOE25'!J98:J110)</f>
        <v>120</v>
      </c>
      <c r="H61"/>
      <c r="I61"/>
    </row>
    <row r="62" spans="1:9" ht="12.75" thickTop="1" thickBot="1" x14ac:dyDescent="0.25">
      <c r="A62" s="29" t="s">
        <v>174</v>
      </c>
      <c r="B62" s="6"/>
      <c r="C62" s="130">
        <f>SUM(C57:C61)</f>
        <v>104121.4</v>
      </c>
      <c r="D62" s="130">
        <f>SUM(D57:D61)</f>
        <v>7239.05</v>
      </c>
      <c r="E62" s="130">
        <f>SUM(E57:E61)</f>
        <v>175.4</v>
      </c>
      <c r="F62" s="130">
        <f>SUM(F57:F61)</f>
        <v>0</v>
      </c>
      <c r="G62" s="130">
        <f>SUM(G57:G61)</f>
        <v>678</v>
      </c>
      <c r="H62"/>
      <c r="I62"/>
    </row>
    <row r="63" spans="1:9" ht="12" thickTop="1" x14ac:dyDescent="0.2">
      <c r="A63" s="29" t="s">
        <v>175</v>
      </c>
      <c r="B63" s="6"/>
      <c r="C63" s="22">
        <f>C56+C62</f>
        <v>424713.4</v>
      </c>
      <c r="D63" s="22">
        <f>D56+D62</f>
        <v>7239.05</v>
      </c>
      <c r="E63" s="22">
        <f>E56+E62</f>
        <v>175.4</v>
      </c>
      <c r="F63" s="22">
        <f>F56+F62</f>
        <v>0</v>
      </c>
      <c r="G63" s="22">
        <f>G56+G62</f>
        <v>678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179829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179829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4858.18</v>
      </c>
      <c r="F76" s="95">
        <f>SUM('DOE25'!I127:I130)</f>
        <v>0</v>
      </c>
      <c r="G76" s="24" t="s">
        <v>288</v>
      </c>
      <c r="H76"/>
      <c r="I76"/>
    </row>
    <row r="77" spans="1:9" ht="12" thickBot="1" x14ac:dyDescent="0.25">
      <c r="A77" s="1" t="s">
        <v>258</v>
      </c>
      <c r="B77" s="6" t="s">
        <v>180</v>
      </c>
      <c r="C77" s="95">
        <f>SUM('DOE25'!F131:F135)</f>
        <v>0</v>
      </c>
      <c r="D77" s="95">
        <f>SUM('DOE25'!G131:G135)</f>
        <v>2287.62</v>
      </c>
      <c r="E77" s="95">
        <f>SUM('DOE25'!H131:H135)</f>
        <v>5515</v>
      </c>
      <c r="F77" s="95">
        <f>SUM('DOE25'!I131:I135)</f>
        <v>0</v>
      </c>
      <c r="G77" s="95">
        <f>SUM('DOE25'!J131:J135)</f>
        <v>0</v>
      </c>
      <c r="H77"/>
      <c r="I77"/>
    </row>
    <row r="78" spans="1:9" ht="12.75" thickTop="1" thickBot="1" x14ac:dyDescent="0.25">
      <c r="A78" s="29" t="s">
        <v>259</v>
      </c>
      <c r="B78" s="6"/>
      <c r="C78" s="130">
        <f>SUM(C72:C77)</f>
        <v>0</v>
      </c>
      <c r="D78" s="130">
        <f>SUM(D72:D77)</f>
        <v>2287.62</v>
      </c>
      <c r="E78" s="130">
        <f>SUM(E72:E77)</f>
        <v>10373.18</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179829</v>
      </c>
      <c r="D81" s="130">
        <f>SUM(D79:D80)+D78+D70</f>
        <v>2287.62</v>
      </c>
      <c r="E81" s="130">
        <f>SUM(E79:E80)+E78+E70</f>
        <v>10373.18</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10864.26</v>
      </c>
      <c r="F87" s="95">
        <f>SUM('DOE25'!I149:I152)</f>
        <v>0</v>
      </c>
      <c r="G87" s="24" t="s">
        <v>288</v>
      </c>
    </row>
    <row r="88" spans="1:9" x14ac:dyDescent="0.2">
      <c r="A88" s="291" t="s">
        <v>747</v>
      </c>
      <c r="B88" s="340" t="s">
        <v>184</v>
      </c>
      <c r="C88" s="341">
        <f>SUM('DOE25'!F153:F162)</f>
        <v>0</v>
      </c>
      <c r="D88" s="341">
        <f>SUM('DOE25'!G153:G162)</f>
        <v>4975.53</v>
      </c>
      <c r="E88" s="341">
        <f>SUM('DOE25'!H153:H162)</f>
        <v>5988.28</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346.07</v>
      </c>
      <c r="D90" s="24" t="s">
        <v>288</v>
      </c>
      <c r="E90" s="24" t="s">
        <v>288</v>
      </c>
      <c r="F90" s="24" t="s">
        <v>288</v>
      </c>
      <c r="G90" s="24" t="s">
        <v>288</v>
      </c>
    </row>
    <row r="91" spans="1:9" ht="12.75" thickTop="1" thickBot="1" x14ac:dyDescent="0.25">
      <c r="A91" s="33" t="s">
        <v>750</v>
      </c>
      <c r="C91" s="131">
        <f>SUM(C85:C90)</f>
        <v>346.07</v>
      </c>
      <c r="D91" s="131">
        <f>SUM(D85:D90)</f>
        <v>4975.53</v>
      </c>
      <c r="E91" s="131">
        <f>SUM(E85:E90)</f>
        <v>16852.54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14396.93</v>
      </c>
      <c r="E96" s="95">
        <f>'DOE25'!H180</f>
        <v>0</v>
      </c>
      <c r="F96" s="95">
        <f>'DOE25'!I180</f>
        <v>0</v>
      </c>
      <c r="G96" s="95">
        <f>'DOE25'!J180</f>
        <v>11500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4327.3999999999996</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4327.3999999999996</v>
      </c>
      <c r="D103" s="86">
        <f>SUM(D93:D102)</f>
        <v>14396.93</v>
      </c>
      <c r="E103" s="86">
        <f>SUM(E93:E102)</f>
        <v>0</v>
      </c>
      <c r="F103" s="86">
        <f>SUM(F93:F102)</f>
        <v>0</v>
      </c>
      <c r="G103" s="86">
        <f>SUM(G93:G102)</f>
        <v>11500</v>
      </c>
    </row>
    <row r="104" spans="1:7" ht="12.75" thickTop="1" thickBot="1" x14ac:dyDescent="0.25">
      <c r="A104" s="33" t="s">
        <v>761</v>
      </c>
      <c r="C104" s="86">
        <f>C63+C81+C91+C103</f>
        <v>609215.87</v>
      </c>
      <c r="D104" s="86">
        <f>D63+D81+D91+D103</f>
        <v>28899.13</v>
      </c>
      <c r="E104" s="86">
        <f>E63+E81+E91+E103</f>
        <v>27401.120000000003</v>
      </c>
      <c r="F104" s="86">
        <f>F63+F81+F91+F103</f>
        <v>0</v>
      </c>
      <c r="G104" s="86">
        <f>G63+G81+G103</f>
        <v>12178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347242.91000000003</v>
      </c>
      <c r="D109" s="24" t="s">
        <v>288</v>
      </c>
      <c r="E109" s="95">
        <f>('DOE25'!L277)+('DOE25'!L296)+('DOE25'!L315)</f>
        <v>11148.04</v>
      </c>
      <c r="F109" s="24" t="s">
        <v>288</v>
      </c>
      <c r="G109" s="24" t="s">
        <v>288</v>
      </c>
    </row>
    <row r="110" spans="1:7" x14ac:dyDescent="0.2">
      <c r="A110" t="s">
        <v>198</v>
      </c>
      <c r="B110" s="32" t="s">
        <v>199</v>
      </c>
      <c r="C110" s="95">
        <f>('DOE25'!L199)+('DOE25'!L217)+('DOE25'!L235)</f>
        <v>0</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347242.91000000003</v>
      </c>
      <c r="D115" s="86">
        <f>SUM(D109:D114)</f>
        <v>0</v>
      </c>
      <c r="E115" s="86">
        <f>SUM(E109:E114)</f>
        <v>11148.04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11445.69</v>
      </c>
      <c r="D118" s="24" t="s">
        <v>288</v>
      </c>
      <c r="E118" s="95">
        <f>+('DOE25'!L282)+('DOE25'!L301)+('DOE25'!L320)</f>
        <v>4508.5099999999993</v>
      </c>
      <c r="F118" s="24" t="s">
        <v>288</v>
      </c>
      <c r="G118" s="24" t="s">
        <v>288</v>
      </c>
    </row>
    <row r="119" spans="1:7" x14ac:dyDescent="0.2">
      <c r="A119" t="s">
        <v>208</v>
      </c>
      <c r="B119" s="32" t="s">
        <v>209</v>
      </c>
      <c r="C119" s="95">
        <f>('DOE25'!L204)+('DOE25'!L222)+('DOE25'!L240)</f>
        <v>439.06</v>
      </c>
      <c r="D119" s="24" t="s">
        <v>288</v>
      </c>
      <c r="E119" s="95">
        <f>+('DOE25'!L283)+('DOE25'!L302)+('DOE25'!L321)</f>
        <v>9328.2999999999993</v>
      </c>
      <c r="F119" s="24" t="s">
        <v>288</v>
      </c>
      <c r="G119" s="24" t="s">
        <v>288</v>
      </c>
    </row>
    <row r="120" spans="1:7" x14ac:dyDescent="0.2">
      <c r="A120" t="s">
        <v>210</v>
      </c>
      <c r="B120" s="32" t="s">
        <v>211</v>
      </c>
      <c r="C120" s="95">
        <f>('DOE25'!L205)+('DOE25'!L223)+('DOE25'!L241)</f>
        <v>69492.170000000013</v>
      </c>
      <c r="D120" s="24" t="s">
        <v>288</v>
      </c>
      <c r="E120" s="95">
        <f>+('DOE25'!L284)+('DOE25'!L303)+('DOE25'!L322)</f>
        <v>0</v>
      </c>
      <c r="F120" s="24" t="s">
        <v>288</v>
      </c>
      <c r="G120" s="24" t="s">
        <v>288</v>
      </c>
    </row>
    <row r="121" spans="1:7" x14ac:dyDescent="0.2">
      <c r="A121" t="s">
        <v>212</v>
      </c>
      <c r="B121" s="32" t="s">
        <v>213</v>
      </c>
      <c r="C121" s="95">
        <f>('DOE25'!L206)+('DOE25'!L224)+('DOE25'!L242)</f>
        <v>33935.94</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31841.45</v>
      </c>
      <c r="D123" s="24" t="s">
        <v>288</v>
      </c>
      <c r="E123" s="95">
        <f>+('DOE25'!L287)+('DOE25'!L306)+('DOE25'!L325)</f>
        <v>0</v>
      </c>
      <c r="F123" s="24" t="s">
        <v>288</v>
      </c>
      <c r="G123" s="24" t="s">
        <v>288</v>
      </c>
    </row>
    <row r="124" spans="1:7" x14ac:dyDescent="0.2">
      <c r="A124" t="s">
        <v>218</v>
      </c>
      <c r="B124" s="32" t="s">
        <v>219</v>
      </c>
      <c r="C124" s="95">
        <f>('DOE25'!L209)+('DOE25'!L227)+('DOE25'!L245+'DOE25'!L255)</f>
        <v>20000</v>
      </c>
      <c r="D124" s="24" t="s">
        <v>288</v>
      </c>
      <c r="E124" s="95">
        <f>+('DOE25'!L288)+('DOE25'!L307)+('DOE25'!L326)</f>
        <v>355</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28899.13</v>
      </c>
      <c r="E127" s="24" t="s">
        <v>288</v>
      </c>
      <c r="F127" s="24" t="s">
        <v>288</v>
      </c>
      <c r="G127" s="24" t="s">
        <v>288</v>
      </c>
    </row>
    <row r="128" spans="1:7" ht="12.75" thickTop="1" thickBot="1" x14ac:dyDescent="0.25">
      <c r="A128" s="33" t="s">
        <v>226</v>
      </c>
      <c r="C128" s="86">
        <f>SUM(C118:C127)</f>
        <v>167154.31000000003</v>
      </c>
      <c r="D128" s="86">
        <f>SUM(D118:D127)</f>
        <v>28899.13</v>
      </c>
      <c r="E128" s="86">
        <f>SUM(E118:E127)</f>
        <v>14191.809999999998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4327.3999999999996</v>
      </c>
    </row>
    <row r="135" spans="1:7" x14ac:dyDescent="0.2">
      <c r="A135" t="s">
        <v>233</v>
      </c>
      <c r="B135" s="32" t="s">
        <v>234</v>
      </c>
      <c r="C135" s="95">
        <f>'DOE25'!L264</f>
        <v>14396.93</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10163.9</v>
      </c>
      <c r="D138" s="24" t="s">
        <v>288</v>
      </c>
      <c r="E138" s="24" t="s">
        <v>288</v>
      </c>
      <c r="F138" s="24" t="s">
        <v>288</v>
      </c>
      <c r="G138" s="24" t="s">
        <v>288</v>
      </c>
    </row>
    <row r="139" spans="1:7" x14ac:dyDescent="0.2">
      <c r="A139" t="s">
        <v>239</v>
      </c>
      <c r="B139" s="32">
        <v>5252</v>
      </c>
      <c r="C139" s="95">
        <f>'DOE25'!L402</f>
        <v>2014.1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-678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2061.27</v>
      </c>
      <c r="F143" s="24" t="s">
        <v>288</v>
      </c>
      <c r="G143" s="24" t="s">
        <v>288</v>
      </c>
    </row>
    <row r="144" spans="1:7" ht="12" thickBot="1" x14ac:dyDescent="0.25">
      <c r="A144" s="33" t="s">
        <v>243</v>
      </c>
      <c r="C144" s="141">
        <f>SUM(C130:C143)</f>
        <v>25896.93</v>
      </c>
      <c r="D144" s="141">
        <f>SUM(D130:D143)</f>
        <v>0</v>
      </c>
      <c r="E144" s="141">
        <f>SUM(E130:E143)</f>
        <v>2061.27</v>
      </c>
      <c r="F144" s="141">
        <f>SUM(F130:F143)</f>
        <v>0</v>
      </c>
      <c r="G144" s="141">
        <f>SUM(G130:G143)</f>
        <v>4327.3999999999996</v>
      </c>
    </row>
    <row r="145" spans="1:9" ht="12.75" thickTop="1" thickBot="1" x14ac:dyDescent="0.25">
      <c r="A145" s="33" t="s">
        <v>244</v>
      </c>
      <c r="C145" s="86">
        <f>(C115+C128+C144)</f>
        <v>540294.15000000014</v>
      </c>
      <c r="D145" s="86">
        <f>(D115+D128+D144)</f>
        <v>28899.13</v>
      </c>
      <c r="E145" s="86">
        <f>(E115+E128+E144)</f>
        <v>27401.119999999999</v>
      </c>
      <c r="F145" s="86">
        <f>(F115+F128+F144)</f>
        <v>0</v>
      </c>
      <c r="G145" s="86">
        <f>(G115+G128+G144)</f>
        <v>4327.3999999999996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3" workbookViewId="0">
      <selection activeCell="B33" sqref="B3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Errol</v>
      </c>
    </row>
    <row r="3" spans="1:4" x14ac:dyDescent="0.2">
      <c r="B3" s="188" t="s">
        <v>1587</v>
      </c>
    </row>
    <row r="4" spans="1:4" x14ac:dyDescent="0.2">
      <c r="B4" t="s">
        <v>61</v>
      </c>
      <c r="C4" s="179">
        <f>IF('DOE25'!F666+'DOE25'!F671=0,0,ROUND('DOE25'!F673,0))</f>
        <v>25188</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25188</v>
      </c>
    </row>
    <row r="9" spans="1:4" x14ac:dyDescent="0.2">
      <c r="A9" s="187" t="s">
        <v>94</v>
      </c>
      <c r="B9" s="188" t="s">
        <v>1588</v>
      </c>
      <c r="C9" s="181" t="s">
        <v>720</v>
      </c>
      <c r="D9" s="181" t="s">
        <v>721</v>
      </c>
    </row>
    <row r="10" spans="1:4" x14ac:dyDescent="0.2">
      <c r="A10">
        <v>1100</v>
      </c>
      <c r="B10" t="s">
        <v>702</v>
      </c>
      <c r="C10" s="179">
        <f>ROUND('DOE25'!L198+'DOE25'!L216+'DOE25'!L234+'DOE25'!L277+'DOE25'!L296+'DOE25'!L315,0)</f>
        <v>358391</v>
      </c>
      <c r="D10" s="182">
        <f>ROUND((C10/$C$28)*100,1)</f>
        <v>63.6</v>
      </c>
    </row>
    <row r="11" spans="1:4" x14ac:dyDescent="0.2">
      <c r="A11">
        <v>1200</v>
      </c>
      <c r="B11" t="s">
        <v>703</v>
      </c>
      <c r="C11" s="179">
        <f>ROUND('DOE25'!L199+'DOE25'!L217+'DOE25'!L235+'DOE25'!L278+'DOE25'!L297+'DOE25'!L316,0)</f>
        <v>0</v>
      </c>
      <c r="D11" s="182">
        <f>ROUND((C11/$C$28)*100,1)</f>
        <v>0</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15954</v>
      </c>
      <c r="D15" s="182">
        <f t="shared" ref="D15:D27" si="0">ROUND((C15/$C$28)*100,1)</f>
        <v>2.8</v>
      </c>
    </row>
    <row r="16" spans="1:4" x14ac:dyDescent="0.2">
      <c r="A16">
        <v>2200</v>
      </c>
      <c r="B16" t="s">
        <v>707</v>
      </c>
      <c r="C16" s="179">
        <f>ROUND('DOE25'!L204+'DOE25'!L222+'DOE25'!L240+'DOE25'!L283+'DOE25'!L302+'DOE25'!L321,0)</f>
        <v>9767</v>
      </c>
      <c r="D16" s="182">
        <f t="shared" si="0"/>
        <v>1.7</v>
      </c>
    </row>
    <row r="17" spans="1:4" x14ac:dyDescent="0.2">
      <c r="A17" s="183" t="s">
        <v>723</v>
      </c>
      <c r="B17" t="s">
        <v>738</v>
      </c>
      <c r="C17" s="179">
        <f>ROUND('DOE25'!L205+'DOE25'!L210+'DOE25'!L223+'DOE25'!L228+'DOE25'!L241+'DOE25'!L246+'DOE25'!L284+'DOE25'!L289+'DOE25'!L303+'DOE25'!L308+'DOE25'!L322+'DOE25'!L327,0)</f>
        <v>69492</v>
      </c>
      <c r="D17" s="182">
        <f t="shared" si="0"/>
        <v>12.3</v>
      </c>
    </row>
    <row r="18" spans="1:4" x14ac:dyDescent="0.2">
      <c r="A18">
        <v>2400</v>
      </c>
      <c r="B18" t="s">
        <v>711</v>
      </c>
      <c r="C18" s="179">
        <f>ROUND('DOE25'!L206+'DOE25'!L224+'DOE25'!L242+'DOE25'!L285+'DOE25'!L304+'DOE25'!L323,0)</f>
        <v>33936</v>
      </c>
      <c r="D18" s="182">
        <f t="shared" si="0"/>
        <v>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31841</v>
      </c>
      <c r="D20" s="182">
        <f t="shared" si="0"/>
        <v>5.7</v>
      </c>
    </row>
    <row r="21" spans="1:4" x14ac:dyDescent="0.2">
      <c r="A21">
        <v>2700</v>
      </c>
      <c r="B21" t="s">
        <v>710</v>
      </c>
      <c r="C21" s="179">
        <f>ROUND('DOE25'!L209+'DOE25'!L227+'DOE25'!L245+'DOE25'!L288+'DOE25'!L307+'DOE25'!L326,0)</f>
        <v>20355</v>
      </c>
      <c r="D21" s="182">
        <f t="shared" si="0"/>
        <v>3.6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2061.27</v>
      </c>
      <c r="D26" s="182">
        <f t="shared" si="0"/>
        <v>0.4</v>
      </c>
    </row>
    <row r="27" spans="1:4" x14ac:dyDescent="0.2">
      <c r="A27">
        <v>3100</v>
      </c>
      <c r="B27" t="s">
        <v>11</v>
      </c>
      <c r="C27" s="179">
        <f>ROUND('DOE25'!L363-'DOE25'!L362,0)-SUM('DOE25'!G97:G110)</f>
        <v>21659.95</v>
      </c>
      <c r="D27" s="182">
        <f t="shared" si="0"/>
        <v>3.8</v>
      </c>
    </row>
    <row r="28" spans="1:4" x14ac:dyDescent="0.2">
      <c r="B28" s="187" t="s">
        <v>719</v>
      </c>
      <c r="C28" s="180">
        <f>SUM(C10:C27)</f>
        <v>563457.22</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563457.22</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320592</v>
      </c>
      <c r="D35" s="182">
        <f t="shared" ref="D35:D40" si="1">ROUND((C35/$C$41)*100,1)</f>
        <v>50.1</v>
      </c>
    </row>
    <row r="36" spans="1:4" x14ac:dyDescent="0.2">
      <c r="B36" s="185" t="s">
        <v>739</v>
      </c>
      <c r="C36" s="179">
        <f>SUM('DOE25'!F112:J112)-SUM('DOE25'!G97:G110)+('DOE25'!F175+'DOE25'!F176+'DOE25'!I175+'DOE25'!I176)-C35</f>
        <v>104974.80000000005</v>
      </c>
      <c r="D36" s="182">
        <f t="shared" si="1"/>
        <v>16.399999999999999</v>
      </c>
    </row>
    <row r="37" spans="1:4" x14ac:dyDescent="0.2">
      <c r="A37" s="183" t="s">
        <v>835</v>
      </c>
      <c r="B37" s="185" t="s">
        <v>728</v>
      </c>
      <c r="C37" s="179">
        <f>ROUND('DOE25'!F117+'DOE25'!F118,0)</f>
        <v>179829</v>
      </c>
      <c r="D37" s="182">
        <f t="shared" si="1"/>
        <v>28.1</v>
      </c>
    </row>
    <row r="38" spans="1:4" x14ac:dyDescent="0.2">
      <c r="A38" s="183" t="s">
        <v>734</v>
      </c>
      <c r="B38" s="185" t="s">
        <v>729</v>
      </c>
      <c r="C38" s="179">
        <f>ROUND(SUM('DOE25'!F140:J140)-SUM('DOE25'!F117:F119),0)</f>
        <v>12661</v>
      </c>
      <c r="D38" s="182">
        <f t="shared" si="1"/>
        <v>2</v>
      </c>
    </row>
    <row r="39" spans="1:4" x14ac:dyDescent="0.2">
      <c r="A39">
        <v>4000</v>
      </c>
      <c r="B39" s="185" t="s">
        <v>730</v>
      </c>
      <c r="C39" s="179">
        <f>ROUND('DOE25'!F170+'DOE25'!G170+'DOE25'!H170+'DOE25'!I170,0)</f>
        <v>22174</v>
      </c>
      <c r="D39" s="182">
        <f t="shared" si="1"/>
        <v>3.5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640230.80000000005</v>
      </c>
      <c r="D41" s="184">
        <f>SUM(D35:D40)</f>
        <v>100.1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Errol</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2020-11-25T21:51:55Z</cp:lastPrinted>
  <dcterms:created xsi:type="dcterms:W3CDTF">1997-12-04T19:04:30Z</dcterms:created>
  <dcterms:modified xsi:type="dcterms:W3CDTF">2020-11-25T21:52:21Z</dcterms:modified>
</cp:coreProperties>
</file>