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850" tabRatio="773" activeTab="4"/>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159" i="1" l="1"/>
  <c r="C19" i="12" l="1"/>
  <c r="B19" i="12"/>
  <c r="C10" i="12"/>
  <c r="B10" i="12"/>
  <c r="H473" i="1"/>
  <c r="H469" i="1"/>
  <c r="H605" i="1"/>
  <c r="H204" i="1"/>
  <c r="H203" i="1"/>
  <c r="J199" i="1"/>
  <c r="I199" i="1"/>
  <c r="H199" i="1"/>
  <c r="G199" i="1"/>
  <c r="G198" i="1"/>
  <c r="F199" i="1"/>
  <c r="F198" i="1"/>
  <c r="H154"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7" i="14"/>
  <c r="C8" i="14"/>
  <c r="C9" i="14"/>
  <c r="C10" i="14"/>
  <c r="C11" i="14"/>
  <c r="C12" i="14"/>
  <c r="C13" i="14"/>
  <c r="C14" i="14"/>
  <c r="C15" i="14"/>
  <c r="C16" i="14"/>
  <c r="C17" i="14"/>
  <c r="C18" i="14"/>
  <c r="C19" i="14"/>
  <c r="C20" i="14"/>
  <c r="B6" i="14"/>
  <c r="C6" i="14" s="1"/>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L201" i="1"/>
  <c r="C13" i="10" s="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C32" i="10" s="1"/>
  <c r="L262" i="1"/>
  <c r="C132" i="2" s="1"/>
  <c r="L342" i="1"/>
  <c r="L343" i="1"/>
  <c r="L256" i="1"/>
  <c r="L337" i="1"/>
  <c r="E130" i="2" s="1"/>
  <c r="C11" i="13"/>
  <c r="C10" i="13"/>
  <c r="C9" i="13"/>
  <c r="L362" i="1"/>
  <c r="B4" i="12"/>
  <c r="B36" i="12"/>
  <c r="C36" i="12"/>
  <c r="B40" i="12"/>
  <c r="A40" i="12" s="1"/>
  <c r="C40" i="12"/>
  <c r="B27" i="12"/>
  <c r="C27" i="12"/>
  <c r="B31" i="12"/>
  <c r="A31" i="12" s="1"/>
  <c r="C31" i="12"/>
  <c r="B9" i="12"/>
  <c r="B13" i="12"/>
  <c r="C9" i="12"/>
  <c r="C13" i="12"/>
  <c r="B18" i="12"/>
  <c r="C18" i="12"/>
  <c r="C22" i="12"/>
  <c r="B1" i="12"/>
  <c r="L388" i="1"/>
  <c r="L389" i="1"/>
  <c r="L390" i="1"/>
  <c r="L391" i="1"/>
  <c r="L392" i="1"/>
  <c r="L393" i="1"/>
  <c r="L396" i="1"/>
  <c r="L397" i="1"/>
  <c r="L398" i="1"/>
  <c r="L399" i="1"/>
  <c r="L402" i="1" s="1"/>
  <c r="C139" i="2" s="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H147" i="1"/>
  <c r="H170" i="1"/>
  <c r="I147" i="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2" i="2"/>
  <c r="D115" i="2"/>
  <c r="F115" i="2"/>
  <c r="G115" i="2"/>
  <c r="C119"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F258" i="1" s="1"/>
  <c r="G212" i="1"/>
  <c r="H212" i="1"/>
  <c r="I212" i="1"/>
  <c r="J212" i="1"/>
  <c r="J258" i="1" s="1"/>
  <c r="K212" i="1"/>
  <c r="F230" i="1"/>
  <c r="G230" i="1"/>
  <c r="H230" i="1"/>
  <c r="I230" i="1"/>
  <c r="J230" i="1"/>
  <c r="K230" i="1"/>
  <c r="F248" i="1"/>
  <c r="G248" i="1"/>
  <c r="H248" i="1"/>
  <c r="I248" i="1"/>
  <c r="J248" i="1"/>
  <c r="K248" i="1"/>
  <c r="F257" i="1"/>
  <c r="G257" i="1"/>
  <c r="H257" i="1"/>
  <c r="I257" i="1"/>
  <c r="L257" i="1" s="1"/>
  <c r="J257" i="1"/>
  <c r="K257" i="1"/>
  <c r="F291" i="1"/>
  <c r="G291" i="1"/>
  <c r="G339" i="1" s="1"/>
  <c r="G353" i="1" s="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s="1"/>
  <c r="G653" i="1"/>
  <c r="H653" i="1"/>
  <c r="G654" i="1"/>
  <c r="H654" i="1"/>
  <c r="G655" i="1"/>
  <c r="H655" i="1"/>
  <c r="H656" i="1"/>
  <c r="G62" i="2"/>
  <c r="I170" i="1"/>
  <c r="J140" i="1"/>
  <c r="H140" i="1"/>
  <c r="C11" i="10" l="1"/>
  <c r="J656" i="1"/>
  <c r="H477" i="1"/>
  <c r="H625" i="1" s="1"/>
  <c r="J625" i="1" s="1"/>
  <c r="H112" i="1"/>
  <c r="H194" i="1" s="1"/>
  <c r="G630" i="1" s="1"/>
  <c r="J630" i="1" s="1"/>
  <c r="C120" i="2"/>
  <c r="C20" i="10"/>
  <c r="C121" i="2"/>
  <c r="C112" i="2"/>
  <c r="G662" i="1"/>
  <c r="F339" i="1"/>
  <c r="F353" i="1" s="1"/>
  <c r="J642" i="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E128" i="2" s="1"/>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G36" i="14"/>
  <c r="H36" i="14" s="1"/>
  <c r="I36" i="14"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G50" i="2"/>
  <c r="H649" i="1"/>
  <c r="J653" i="1"/>
  <c r="G572" i="1"/>
  <c r="I435" i="1"/>
  <c r="G435" i="1"/>
  <c r="I664" i="1"/>
  <c r="L572" i="1" l="1"/>
  <c r="C81" i="2"/>
  <c r="F194" i="1"/>
  <c r="G628" i="1" s="1"/>
  <c r="J628" i="1" s="1"/>
  <c r="F661" i="1"/>
  <c r="F665" i="1" s="1"/>
  <c r="F668" i="1" s="1"/>
  <c r="E145" i="2"/>
  <c r="H665" i="1"/>
  <c r="H668" i="1" s="1"/>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<sst xmlns="http://schemas.openxmlformats.org/spreadsheetml/2006/main" count="5546" uniqueCount="1645">
  <si>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</si>
  <si>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</si>
  <si>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</si>
  <si>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</si>
  <si>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</si>
  <si>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</si>
  <si>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</si>
  <si>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</si>
  <si>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</si>
  <si>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</si>
  <si>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</si>
  <si>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</si>
  <si>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</si>
  <si>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</si>
  <si>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</si>
  <si>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</si>
  <si>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</si>
  <si>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</si>
  <si>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</si>
  <si>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</si>
  <si>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</si>
  <si>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</si>
  <si>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</si>
  <si>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</si>
  <si>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</si>
  <si>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</si>
  <si>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</si>
  <si>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</si>
  <si>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</si>
  <si>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</si>
  <si>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</si>
  <si>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</si>
  <si>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</si>
  <si>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</si>
  <si>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</si>
  <si>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</si>
  <si>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</si>
  <si>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</si>
  <si>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</si>
  <si>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</si>
  <si>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</si>
  <si>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</si>
  <si>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</si>
  <si>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</si>
  <si>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</si>
  <si>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</si>
  <si>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</si>
  <si>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</si>
  <si>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</si>
  <si>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</si>
  <si>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</si>
  <si>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</si>
  <si>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</si>
  <si>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</si>
  <si>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</si>
  <si>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</si>
  <si>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</si>
  <si>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</si>
  <si>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</si>
  <si>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</si>
  <si>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</si>
  <si>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</si>
  <si>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</si>
  <si>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</si>
  <si>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</si>
  <si>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</si>
  <si>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</si>
  <si>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</si>
  <si>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</si>
  <si>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</si>
  <si>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</si>
  <si>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</si>
  <si>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</si>
  <si>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</si>
  <si>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</si>
  <si>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</si>
  <si>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</si>
  <si>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</si>
  <si>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</si>
  <si>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</si>
  <si>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</si>
  <si>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</si>
  <si>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</si>
  <si>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</si>
  <si>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</si>
  <si>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</si>
  <si>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</si>
  <si>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</si>
  <si>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</si>
  <si>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</si>
  <si>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</si>
  <si>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</si>
  <si>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</si>
  <si>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</si>
  <si>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</si>
  <si>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</si>
  <si>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</si>
  <si>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</si>
  <si>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</si>
  <si>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</si>
  <si>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</si>
  <si>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</si>
  <si>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</si>
  <si>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</si>
  <si>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</si>
  <si>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</si>
  <si>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</si>
  <si>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</si>
  <si>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</si>
  <si>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</si>
  <si>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</si>
  <si>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</si>
  <si>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</si>
  <si>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</si>
  <si>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</si>
  <si>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</si>
  <si>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</si>
  <si>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</si>
  <si>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</si>
  <si>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</si>
  <si>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</si>
  <si>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</si>
  <si>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</si>
  <si>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</si>
  <si>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</si>
  <si>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</si>
  <si>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</si>
  <si>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</si>
  <si>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</si>
  <si>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</si>
  <si>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</si>
  <si>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</si>
  <si>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</si>
  <si>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</si>
  <si>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</si>
  <si>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</si>
  <si>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</si>
  <si>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</si>
  <si>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</si>
  <si>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</si>
  <si>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</si>
  <si>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</si>
  <si>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</si>
  <si>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</si>
  <si>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</si>
  <si>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</si>
  <si>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</si>
  <si>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</si>
  <si>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</si>
  <si>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</si>
  <si>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</si>
  <si>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</si>
  <si>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</si>
  <si>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</si>
  <si>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</si>
  <si>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</si>
  <si>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</si>
  <si>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</si>
  <si>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</si>
  <si>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</si>
  <si>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</si>
  <si>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</si>
  <si>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</si>
  <si>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</si>
  <si>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</si>
  <si>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</si>
  <si>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</si>
  <si>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</si>
  <si>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</si>
  <si>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</si>
  <si>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</si>
  <si>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</si>
  <si>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</si>
  <si>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</si>
  <si>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</si>
  <si>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</si>
  <si>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</si>
  <si>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</si>
  <si>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</si>
  <si>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</si>
  <si>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</si>
  <si>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</si>
  <si>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</si>
  <si>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</si>
  <si>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</si>
  <si>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</si>
  <si>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</si>
  <si>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</si>
  <si>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</si>
  <si>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</si>
  <si>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</si>
  <si>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</si>
  <si>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</si>
  <si>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</si>
  <si>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</si>
  <si>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</si>
  <si>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</si>
  <si>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</si>
  <si>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</si>
  <si>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</si>
  <si>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</si>
  <si>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</si>
  <si>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</si>
  <si>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</si>
  <si>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</si>
  <si>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</si>
  <si>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</si>
  <si>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</si>
  <si>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</si>
  <si>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</si>
  <si>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</si>
  <si>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</si>
  <si>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</si>
  <si>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</si>
  <si>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</si>
  <si>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</si>
  <si>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</si>
  <si>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</si>
  <si>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</si>
  <si>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</si>
  <si>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</si>
  <si>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</si>
  <si>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</si>
  <si>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</si>
  <si>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</si>
  <si>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</si>
  <si>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</si>
  <si>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</si>
  <si>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</si>
  <si>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</si>
  <si>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</si>
  <si>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</si>
  <si>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</si>
  <si>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</si>
  <si>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</si>
  <si>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</si>
  <si>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</si>
  <si>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</si>
  <si>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</si>
  <si>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</si>
  <si>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</si>
  <si>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</si>
  <si>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</si>
  <si>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</si>
  <si>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</si>
  <si>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</si>
  <si>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</si>
  <si>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</si>
  <si>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</si>
  <si>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</si>
  <si>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</si>
  <si>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</si>
  <si>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</si>
  <si>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</si>
  <si>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</si>
  <si>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</si>
  <si>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</si>
  <si>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</si>
  <si>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</si>
  <si>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</si>
  <si>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</si>
  <si>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</si>
  <si>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</si>
  <si>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</si>
  <si>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</si>
  <si>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</si>
  <si>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</si>
  <si>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</si>
  <si>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</si>
  <si>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</si>
  <si>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</si>
  <si>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</si>
  <si>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</si>
  <si>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</si>
  <si>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</si>
  <si>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</si>
  <si>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</si>
  <si>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</si>
  <si>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</si>
  <si>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</si>
  <si>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</si>
  <si>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</si>
  <si>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</si>
  <si>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</si>
  <si>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</si>
  <si>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</si>
  <si>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</si>
  <si>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</si>
  <si>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</si>
  <si>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</si>
  <si>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</si>
  <si>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</si>
  <si>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</si>
  <si>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</si>
  <si>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</si>
  <si>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</si>
  <si>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</si>
  <si>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</si>
  <si>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</si>
  <si>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</si>
  <si>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</si>
  <si>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</si>
  <si>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</si>
  <si>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</si>
  <si>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</si>
  <si>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</si>
  <si>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</si>
  <si>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</si>
  <si>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</si>
  <si>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</si>
  <si>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</si>
  <si>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</si>
  <si>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</si>
  <si>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</si>
  <si>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</si>
  <si>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</si>
  <si>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</si>
  <si>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</si>
  <si>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</si>
  <si>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</si>
  <si>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</si>
  <si>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</si>
  <si>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</si>
  <si>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</si>
  <si>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</si>
  <si>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</si>
  <si>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</si>
  <si>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</si>
  <si>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</si>
  <si>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</si>
  <si>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</si>
  <si>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</si>
  <si>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</si>
  <si>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</si>
  <si>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</si>
  <si>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</si>
  <si>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</si>
  <si>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</si>
  <si>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</si>
  <si>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</si>
  <si>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</si>
  <si>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</si>
  <si>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</si>
  <si>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</si>
  <si>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</si>
  <si>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</si>
  <si>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</si>
  <si>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</si>
  <si>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</si>
  <si>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</si>
  <si>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</si>
  <si>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</si>
  <si>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</si>
  <si>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</si>
  <si>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</si>
  <si>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</si>
  <si>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</si>
  <si>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</si>
  <si>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</si>
  <si>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</si>
  <si>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</si>
  <si>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</si>
  <si>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</si>
  <si>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</si>
  <si>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</si>
  <si>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</si>
  <si>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</si>
  <si>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</si>
  <si>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</si>
  <si>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</si>
  <si>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</si>
  <si>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</si>
  <si>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</si>
  <si>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</si>
  <si>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</si>
  <si>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</si>
  <si>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</si>
  <si>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</si>
  <si>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</si>
  <si>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</si>
  <si>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</si>
  <si>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</si>
  <si>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</si>
  <si>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</si>
  <si>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</si>
  <si>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</si>
  <si>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</si>
  <si>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</si>
  <si>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</si>
  <si>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</si>
  <si>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</si>
  <si>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</si>
  <si>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</si>
  <si>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</si>
  <si>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</si>
  <si>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</si>
  <si>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</si>
  <si>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</si>
  <si>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</si>
  <si>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</si>
  <si>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</si>
  <si>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</si>
  <si>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</si>
  <si>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</si>
  <si>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</si>
  <si>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</si>
  <si>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</si>
  <si>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</si>
  <si>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</si>
  <si>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</si>
  <si>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</si>
  <si>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</si>
  <si>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</si>
  <si>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</si>
  <si>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</si>
  <si>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</si>
  <si>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</si>
  <si>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</si>
  <si>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</si>
  <si>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</si>
  <si>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</si>
  <si>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</si>
  <si>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</si>
  <si>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</si>
  <si>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</si>
  <si>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</si>
  <si>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</si>
  <si>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</si>
  <si>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</si>
  <si>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</si>
  <si>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</si>
  <si>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</si>
  <si>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</si>
  <si>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</si>
  <si>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</si>
  <si>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</si>
  <si>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</si>
  <si>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</si>
  <si>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</si>
  <si>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</si>
  <si>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</si>
  <si>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</si>
  <si>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</si>
  <si>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</si>
  <si>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</si>
  <si>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</si>
  <si>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</si>
  <si>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</si>
  <si>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</si>
  <si>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</si>
  <si>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</si>
  <si>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</si>
  <si>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</si>
  <si>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</si>
  <si>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</si>
  <si>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</si>
  <si>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</si>
  <si>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</si>
  <si>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</si>
  <si>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</si>
  <si>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</si>
  <si>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</si>
  <si>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</si>
  <si>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</si>
  <si>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</si>
  <si>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</si>
  <si>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</si>
  <si>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</si>
  <si>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</si>
  <si>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</si>
  <si>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</si>
  <si>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</si>
  <si>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</si>
  <si>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</si>
  <si>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</si>
  <si>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</si>
  <si>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</si>
  <si>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</si>
  <si>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</si>
  <si>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</si>
  <si>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</si>
  <si>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</si>
  <si>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</si>
  <si>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</si>
  <si>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</si>
  <si>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</si>
  <si>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</si>
  <si>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</si>
  <si>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</si>
  <si>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</si>
  <si>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</si>
  <si>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</si>
  <si>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</si>
  <si>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</si>
  <si>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</si>
  <si>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</si>
  <si>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</si>
  <si>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</si>
  <si>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</si>
  <si>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</si>
  <si>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</si>
  <si>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</si>
  <si>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</si>
  <si>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</si>
  <si>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</si>
  <si>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</si>
  <si>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</si>
  <si>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</si>
  <si>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</si>
  <si>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</si>
  <si>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</si>
  <si>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</si>
  <si>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</si>
  <si>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</si>
  <si>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</si>
  <si>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</si>
  <si>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</si>
  <si>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</si>
  <si>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</si>
  <si>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</si>
  <si>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</si>
  <si>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</si>
  <si>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</si>
  <si>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</si>
  <si>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</si>
  <si>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</si>
  <si>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</si>
  <si>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</si>
  <si>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</si>
  <si>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</si>
  <si>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</si>
  <si>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</si>
  <si>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</si>
  <si>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</si>
  <si>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</si>
  <si>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</si>
  <si>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</si>
  <si>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</si>
  <si>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</si>
  <si>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</si>
  <si>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</si>
  <si>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</si>
  <si>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</si>
  <si>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</si>
  <si>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</si>
  <si>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</si>
  <si>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</si>
  <si>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</si>
  <si>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</si>
  <si>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</si>
  <si>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</si>
  <si>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</si>
  <si>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</si>
  <si>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</si>
  <si>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</si>
  <si>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</si>
  <si>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</si>
  <si>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</si>
  <si>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</si>
  <si>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</si>
  <si>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</si>
  <si>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</si>
  <si>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</si>
  <si>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</si>
  <si>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</si>
  <si>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</si>
  <si>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</si>
  <si>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</si>
  <si>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</si>
  <si>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</si>
  <si>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</si>
  <si>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</si>
  <si>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</si>
  <si>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</si>
  <si>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</si>
  <si>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</si>
  <si>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</si>
  <si>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</si>
  <si>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</si>
  <si>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</si>
  <si>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</si>
  <si>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</si>
  <si>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</si>
  <si>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</si>
  <si>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</si>
  <si>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</si>
  <si>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</si>
  <si>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</si>
  <si>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</si>
  <si>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</si>
  <si>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</si>
  <si>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</si>
  <si>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</si>
  <si>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</si>
  <si>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</si>
  <si>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</si>
  <si>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</si>
  <si>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</si>
  <si>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</si>
  <si>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</si>
  <si>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</si>
  <si>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</si>
  <si>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</si>
  <si>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</si>
  <si>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</si>
  <si>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</si>
  <si>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</si>
  <si>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</si>
  <si>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</si>
  <si>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</si>
  <si>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</si>
  <si>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</si>
  <si>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</si>
  <si>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</si>
  <si>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</si>
  <si>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</si>
  <si>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</si>
  <si>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</si>
  <si>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</si>
  <si>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</si>
  <si>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</si>
  <si>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</si>
  <si>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</si>
  <si>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</si>
  <si>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</si>
  <si>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</si>
  <si>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</si>
  <si>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</si>
  <si>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</si>
  <si>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</si>
  <si>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</si>
  <si>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</si>
  <si>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</si>
  <si>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</si>
  <si>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</si>
  <si>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</si>
  <si>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</si>
  <si>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</si>
  <si>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</si>
  <si>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</si>
  <si>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</si>
  <si>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</si>
  <si>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</si>
  <si>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</si>
  <si>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</si>
  <si>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</si>
  <si>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</si>
  <si>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</si>
  <si>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</si>
  <si>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</si>
  <si>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</si>
  <si>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</si>
  <si>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</si>
  <si>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</si>
  <si>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</si>
  <si>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</si>
  <si>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</si>
  <si>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</si>
  <si>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</si>
  <si>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</si>
  <si>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</si>
  <si>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</si>
  <si>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</si>
  <si>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</si>
  <si>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</si>
  <si>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</si>
  <si>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</si>
  <si>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</si>
  <si>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</si>
  <si>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</si>
  <si>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</si>
  <si>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</si>
  <si>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</si>
  <si>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</si>
  <si>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</si>
  <si>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</si>
  <si>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</si>
  <si>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</si>
  <si>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</si>
  <si>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</si>
  <si>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</si>
  <si>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</si>
  <si>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</si>
  <si>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</si>
  <si>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</si>
  <si>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</si>
  <si>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</si>
  <si>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</si>
  <si>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</si>
  <si>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</si>
  <si>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</si>
  <si>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</si>
  <si>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</si>
  <si>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</si>
  <si>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</si>
  <si>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</si>
  <si>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</si>
  <si>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</si>
  <si>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</si>
  <si>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</si>
  <si>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</si>
  <si>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</si>
  <si>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</si>
  <si>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</si>
  <si>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</si>
  <si>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</si>
  <si>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</si>
  <si>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</si>
  <si>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</si>
  <si>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</si>
  <si>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</si>
  <si>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</si>
  <si>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</si>
  <si>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</si>
  <si>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</si>
  <si>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</si>
  <si>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</si>
  <si>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</si>
  <si>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</si>
  <si>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</si>
  <si>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</si>
  <si>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</si>
  <si>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</si>
  <si>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</si>
  <si>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</si>
  <si>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</si>
  <si>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</si>
  <si>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</si>
  <si>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</si>
  <si>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</si>
  <si>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</si>
  <si>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</si>
  <si>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</si>
  <si>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</si>
  <si>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</si>
  <si>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</si>
  <si>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</si>
  <si>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</si>
  <si>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</si>
  <si>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</si>
  <si>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</si>
  <si>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</si>
  <si>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</si>
  <si>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</si>
  <si>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</si>
  <si>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</si>
  <si>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</si>
  <si>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</si>
  <si>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</si>
  <si>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</si>
  <si>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</si>
  <si>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</si>
  <si>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</si>
  <si>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</si>
  <si>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</si>
  <si>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</si>
  <si>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</si>
  <si>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</si>
  <si>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</si>
  <si>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</si>
  <si>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</si>
  <si>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</si>
  <si>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</si>
  <si>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</si>
  <si>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</si>
  <si>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</si>
  <si>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</si>
  <si>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</si>
  <si>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</si>
  <si>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</si>
  <si>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</si>
  <si>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</si>
  <si>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</si>
  <si>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</si>
  <si>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</si>
  <si>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</si>
  <si>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</si>
  <si>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</si>
  <si>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</si>
  <si>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</si>
  <si>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</si>
  <si>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</si>
  <si>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</si>
  <si>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</si>
  <si>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</si>
  <si>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</si>
  <si>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</si>
  <si>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</si>
  <si>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</si>
  <si>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</si>
  <si>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</si>
  <si>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</si>
  <si>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</si>
  <si>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</si>
  <si>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</si>
  <si>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</si>
  <si>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</si>
  <si>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</si>
  <si>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</si>
  <si>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</si>
  <si>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</si>
  <si>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</si>
  <si>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</si>
  <si>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</si>
  <si>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</si>
  <si>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</si>
  <si>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</si>
  <si>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</si>
  <si>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</si>
  <si>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</si>
  <si>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</si>
  <si>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</si>
  <si>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</si>
  <si>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</si>
  <si>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</si>
  <si>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</si>
  <si>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</si>
  <si>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</si>
  <si>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</si>
  <si>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</si>
  <si>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</si>
  <si>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</si>
  <si>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</si>
  <si>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</si>
  <si>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</si>
  <si>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</si>
  <si>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</si>
  <si>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</si>
  <si>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</si>
  <si>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</si>
  <si>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</si>
  <si>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</si>
  <si>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</si>
  <si>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</si>
  <si>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</si>
  <si>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</si>
  <si>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</si>
  <si>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</si>
  <si>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</si>
  <si>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</si>
  <si>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</si>
  <si>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</si>
  <si>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</si>
  <si>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</si>
  <si>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</si>
  <si>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</si>
  <si>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</si>
  <si>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</si>
  <si>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</si>
  <si>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</si>
  <si>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</si>
  <si>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</si>
  <si>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</si>
  <si>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</si>
  <si>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</si>
  <si>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</si>
  <si>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</si>
  <si>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</si>
  <si>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</si>
  <si>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</si>
  <si>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</si>
  <si>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</si>
  <si>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</si>
  <si>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</si>
  <si>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</si>
  <si>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</si>
  <si>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</si>
  <si>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</si>
  <si>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</si>
  <si>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</si>
  <si>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</si>
  <si>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</si>
  <si>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</si>
  <si>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</si>
  <si>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</si>
  <si>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</si>
  <si>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</si>
  <si>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</si>
  <si>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</si>
  <si>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</si>
  <si>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</si>
  <si>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</si>
  <si>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</si>
  <si>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</si>
  <si>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</si>
  <si>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</si>
  <si>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</si>
  <si>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</si>
  <si>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</si>
  <si>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</si>
  <si>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</si>
  <si>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</si>
  <si>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</si>
  <si>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</si>
  <si>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</si>
  <si>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</si>
  <si>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</si>
  <si>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</si>
  <si>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</si>
  <si>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</si>
  <si>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</si>
  <si>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</si>
  <si>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</si>
  <si>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</si>
  <si>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</si>
  <si>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</si>
  <si>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</si>
  <si>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</si>
  <si>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</si>
  <si>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</si>
  <si>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</si>
  <si>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</si>
  <si>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</si>
  <si>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</si>
  <si>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</si>
  <si>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</si>
  <si>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</si>
  <si>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</si>
  <si>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</si>
  <si>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</si>
  <si>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</si>
  <si>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</si>
  <si>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</si>
  <si>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</si>
  <si>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</si>
  <si>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</si>
  <si>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</si>
  <si>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</si>
  <si>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</si>
  <si>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</si>
  <si>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</si>
  <si>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</si>
  <si>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</si>
  <si>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</si>
  <si>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</si>
  <si>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</si>
  <si>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</si>
  <si>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</si>
  <si>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</si>
  <si>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</si>
  <si>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</si>
  <si>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</si>
  <si>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</si>
  <si>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</si>
  <si>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</si>
  <si>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</si>
  <si>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</si>
  <si>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</si>
  <si>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</si>
  <si>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</si>
  <si>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</si>
  <si>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</si>
  <si>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</si>
  <si>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</si>
  <si>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</si>
  <si>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</si>
  <si>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</si>
  <si>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</si>
  <si>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</si>
  <si>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</si>
  <si>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</si>
  <si>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</si>
  <si>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</si>
  <si>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</si>
  <si>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</si>
  <si>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</si>
  <si>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</si>
  <si>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</si>
  <si>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</si>
  <si>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</si>
  <si>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</si>
  <si>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</si>
  <si>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</si>
  <si>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</si>
  <si>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</si>
  <si>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</si>
  <si>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</si>
  <si>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</si>
  <si>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</si>
  <si>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</si>
  <si>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</si>
  <si>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</si>
  <si>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</si>
  <si>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</si>
  <si>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</si>
  <si>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</si>
  <si>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</si>
  <si>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</si>
  <si>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</si>
  <si>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</si>
  <si>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</si>
  <si>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</si>
  <si>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</si>
  <si>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</si>
  <si>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</si>
  <si>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</si>
  <si>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</si>
  <si>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</si>
  <si>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</si>
  <si>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</si>
  <si>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</si>
  <si>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</si>
  <si>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</si>
  <si>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</si>
  <si>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</si>
  <si>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</si>
  <si>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</si>
  <si>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</si>
  <si>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</si>
  <si>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</si>
  <si>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</si>
  <si>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</si>
  <si>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</si>
  <si>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</si>
  <si>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</si>
  <si>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</si>
  <si>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</si>
  <si>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</si>
  <si>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</si>
  <si>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</si>
  <si>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</si>
  <si>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</si>
  <si>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</si>
  <si>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</si>
  <si>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</si>
  <si>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</si>
  <si>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</si>
  <si>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</si>
  <si>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</si>
  <si>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</si>
  <si>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</si>
  <si>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</si>
  <si>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</si>
  <si>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</si>
  <si>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</si>
  <si>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</si>
  <si>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</si>
  <si>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</si>
  <si>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</si>
  <si>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</si>
  <si>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</si>
  <si>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</si>
  <si>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</si>
  <si>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</si>
  <si>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</si>
  <si>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</si>
  <si>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</si>
  <si>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</si>
  <si>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</si>
  <si>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</si>
  <si>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</si>
  <si>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</si>
  <si>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</si>
  <si>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</si>
  <si>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</si>
  <si>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</si>
  <si>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</si>
  <si>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</si>
  <si>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</si>
  <si>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</si>
  <si>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</si>
  <si>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</si>
  <si>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</si>
  <si>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</si>
  <si>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</si>
  <si>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</si>
  <si>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</si>
  <si>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</si>
  <si>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</si>
  <si>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</si>
  <si>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</si>
  <si>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</si>
  <si>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</si>
  <si>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</si>
  <si>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</si>
  <si>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</si>
  <si>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</si>
  <si>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</si>
  <si>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</si>
  <si>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</si>
  <si>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</si>
  <si>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</si>
  <si>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</si>
  <si>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</si>
  <si>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</si>
  <si>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</si>
  <si>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</si>
  <si>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</si>
  <si>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</si>
  <si>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</si>
  <si>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</si>
  <si>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</si>
  <si>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</si>
  <si>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</si>
  <si>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</si>
  <si>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</si>
  <si>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</si>
  <si>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</si>
  <si>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</si>
  <si>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</si>
  <si>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</si>
  <si>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</si>
  <si>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</si>
  <si>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</si>
  <si>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</si>
  <si>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</si>
  <si>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</si>
  <si>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</si>
  <si>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</si>
  <si>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</si>
  <si>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</si>
  <si>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</si>
  <si>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</si>
  <si>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</si>
  <si>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</si>
  <si>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</si>
  <si>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</si>
  <si>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</si>
  <si>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</si>
  <si>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</si>
  <si>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</si>
  <si>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</si>
  <si>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</si>
  <si>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</si>
  <si>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</si>
  <si>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</si>
  <si>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</si>
  <si>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</si>
  <si>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</si>
  <si>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</si>
  <si>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</si>
  <si>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</si>
  <si>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</si>
  <si>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</si>
  <si>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</si>
  <si>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</si>
  <si>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</si>
  <si>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</si>
  <si>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</si>
  <si>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</si>
  <si>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</si>
  <si>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</si>
  <si>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</si>
  <si>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</si>
  <si>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</si>
  <si>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</si>
  <si>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</si>
  <si>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</si>
  <si>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</si>
  <si>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</si>
  <si>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</si>
  <si>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</si>
  <si>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</si>
  <si>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</si>
  <si>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</si>
  <si>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</si>
  <si>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</si>
  <si>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</si>
  <si>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</si>
  <si>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</si>
  <si>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</si>
  <si>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</si>
  <si>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</si>
  <si>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</si>
  <si>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</si>
  <si>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</si>
  <si>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</si>
  <si>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</si>
  <si>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</si>
  <si>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</si>
  <si>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</si>
  <si>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</si>
  <si>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</si>
  <si>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</si>
  <si>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</si>
  <si>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</si>
  <si>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</si>
  <si>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</si>
  <si>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</si>
  <si>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</si>
  <si>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</si>
  <si>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</si>
  <si>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</si>
  <si>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</si>
  <si>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</si>
  <si>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</si>
  <si>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</si>
  <si>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</si>
  <si>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</si>
  <si>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</si>
  <si>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</si>
  <si>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</si>
  <si>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</si>
  <si>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</si>
  <si>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</si>
  <si>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</si>
  <si>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</si>
  <si>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</si>
  <si>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</si>
  <si>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</si>
  <si>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</si>
  <si>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</si>
  <si>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</si>
  <si>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</si>
  <si>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</si>
  <si>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</si>
  <si>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</si>
  <si>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</si>
  <si>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</si>
  <si>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</si>
  <si>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</si>
  <si>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</si>
  <si>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</si>
  <si>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</si>
  <si>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</si>
  <si>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</si>
  <si>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</si>
  <si>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</si>
  <si>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</si>
  <si>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</si>
  <si>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</si>
  <si>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</si>
  <si>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</si>
  <si>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</si>
  <si>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</si>
  <si>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</si>
  <si>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</si>
  <si>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</si>
  <si>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</si>
  <si>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</si>
  <si>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</si>
  <si>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</si>
  <si>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</si>
  <si>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</si>
  <si>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</si>
  <si>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</si>
  <si>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</si>
  <si>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</si>
  <si>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</si>
  <si>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</si>
  <si>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</si>
  <si>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</si>
  <si>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</si>
  <si>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</si>
  <si>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</si>
  <si>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</si>
  <si>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</si>
  <si>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</si>
  <si>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</si>
  <si>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</si>
  <si>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</si>
  <si>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</si>
  <si>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</si>
  <si>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</si>
  <si>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</si>
  <si>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</si>
  <si>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</si>
  <si>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</si>
  <si>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</si>
  <si>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</si>
  <si>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</si>
  <si>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</si>
  <si>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</si>
  <si>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</si>
  <si>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</si>
  <si>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</si>
  <si>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</si>
  <si>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</si>
  <si>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</si>
  <si>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</si>
  <si>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</si>
  <si>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</si>
  <si>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</si>
  <si>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</si>
  <si>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</si>
  <si>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</si>
  <si>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</si>
  <si>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</si>
  <si>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</si>
  <si>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</si>
  <si>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</si>
  <si>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</si>
  <si>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</si>
  <si>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</si>
  <si>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</si>
  <si>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</si>
  <si>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</si>
  <si>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</si>
  <si>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</si>
  <si>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</si>
  <si>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</si>
  <si>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</si>
  <si>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</si>
  <si>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</si>
  <si>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</si>
  <si>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</si>
  <si>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</si>
  <si>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</si>
  <si>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</si>
  <si>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</si>
  <si>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</si>
  <si>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</si>
  <si>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</si>
  <si>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</si>
  <si>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</si>
  <si>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</si>
  <si>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</si>
  <si>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</si>
  <si>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</si>
  <si>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</si>
  <si>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</si>
  <si>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</si>
  <si>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</si>
  <si>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</si>
  <si>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</si>
  <si>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</si>
  <si>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</si>
  <si>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</si>
  <si>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</si>
  <si>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</si>
  <si>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</si>
  <si>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</si>
  <si>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</si>
  <si>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</si>
  <si>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</si>
  <si>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</si>
  <si>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</si>
  <si>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</si>
  <si>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</si>
  <si>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</si>
  <si>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</si>
  <si>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</si>
  <si>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</si>
  <si>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</si>
  <si>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</si>
  <si>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</si>
  <si>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</si>
  <si>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</si>
  <si>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</si>
  <si>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</si>
  <si>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</si>
  <si>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</si>
  <si>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</si>
  <si>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</si>
  <si>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</si>
  <si>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</si>
  <si>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</si>
  <si>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</si>
  <si>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</si>
  <si>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</si>
  <si>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</si>
  <si>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</si>
  <si>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</si>
  <si>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</si>
  <si>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</si>
  <si>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</si>
  <si>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</si>
  <si>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</si>
  <si>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</si>
  <si>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</si>
  <si>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</si>
  <si>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</si>
  <si>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</si>
  <si>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</si>
  <si>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</si>
  <si>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</si>
  <si>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</si>
  <si>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</si>
  <si>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</si>
  <si>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</si>
  <si>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</si>
  <si>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</si>
  <si>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</si>
  <si>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</si>
  <si>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</si>
  <si>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</si>
  <si>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</si>
  <si>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</si>
  <si>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</si>
  <si>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</si>
  <si>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</si>
  <si>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</si>
  <si>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</si>
  <si>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</si>
  <si>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</si>
  <si>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</si>
  <si>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</si>
  <si>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</si>
  <si>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</si>
  <si>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</si>
  <si>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</si>
  <si>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</si>
  <si>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</si>
  <si>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</si>
  <si>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</si>
  <si>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</si>
  <si>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</si>
  <si>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</si>
  <si>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</si>
  <si>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</si>
  <si>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</si>
  <si>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</si>
  <si>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</si>
  <si>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</si>
  <si>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</si>
  <si>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</si>
  <si>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</si>
  <si>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</si>
  <si>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</si>
  <si>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</si>
  <si>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</si>
  <si>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</si>
  <si>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</si>
  <si>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</si>
  <si>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</si>
  <si>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</si>
  <si>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</si>
  <si>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</si>
  <si>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</si>
  <si>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</si>
  <si>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</si>
  <si>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</si>
  <si>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</si>
  <si>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</si>
  <si>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</si>
  <si>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</si>
  <si>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</si>
  <si>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</si>
  <si>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</si>
  <si>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</si>
  <si>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</si>
  <si>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</si>
  <si>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</si>
  <si>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</si>
  <si>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</si>
  <si>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</si>
  <si>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</si>
  <si>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</si>
  <si>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</si>
  <si>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</si>
  <si>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</si>
  <si>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</si>
  <si>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</si>
  <si>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</si>
  <si>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</si>
  <si>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</si>
  <si>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</si>
  <si>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</si>
  <si>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</si>
  <si>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</si>
  <si>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</si>
  <si>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</si>
  <si>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</si>
  <si>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</si>
  <si>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</si>
  <si>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</si>
  <si>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</si>
  <si>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</si>
  <si>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</si>
  <si>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</si>
  <si>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</si>
  <si>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</si>
  <si>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</si>
  <si>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</si>
  <si>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</si>
  <si>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</si>
  <si>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</si>
  <si>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</si>
  <si>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</si>
  <si>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</si>
  <si>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</si>
  <si>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</si>
  <si>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</si>
  <si>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</si>
  <si>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</si>
  <si>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</si>
  <si>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</si>
  <si>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</si>
  <si>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</si>
  <si>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</si>
  <si>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</si>
  <si>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</si>
  <si>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</si>
  <si>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</si>
  <si>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</si>
  <si>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</si>
  <si>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</si>
  <si>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</si>
  <si>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</si>
  <si>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</si>
  <si>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</si>
  <si>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</si>
  <si>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</si>
  <si>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</si>
  <si>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</si>
  <si>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</si>
  <si>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</si>
  <si>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</si>
  <si>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</si>
  <si>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</si>
  <si>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</si>
  <si>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</si>
  <si>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</si>
  <si>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</si>
  <si>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</si>
  <si>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</si>
  <si>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</si>
  <si>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</si>
  <si>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</si>
  <si>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</si>
  <si>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</si>
  <si>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</si>
  <si>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</si>
  <si>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</si>
  <si>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</si>
  <si>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</si>
  <si>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</si>
  <si>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</si>
  <si>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</si>
  <si>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</si>
  <si>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</si>
  <si>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</si>
  <si>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</si>
  <si>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</si>
  <si>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</si>
  <si>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</si>
  <si>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</si>
  <si>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</si>
  <si>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</si>
  <si>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</si>
  <si>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</si>
  <si>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</si>
  <si>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</si>
  <si>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</si>
  <si>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</si>
  <si>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</si>
  <si>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</si>
  <si>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</si>
  <si>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</si>
  <si>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</si>
  <si>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</si>
  <si>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</si>
  <si>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</si>
  <si>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</si>
  <si>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</si>
  <si>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</si>
  <si>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</si>
  <si>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</si>
  <si>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</si>
  <si>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</si>
  <si>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</si>
  <si>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</si>
  <si>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</si>
  <si>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</si>
  <si>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</si>
  <si>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</si>
  <si>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</si>
  <si>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</si>
  <si>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</si>
  <si>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</si>
  <si>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</si>
  <si>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</si>
  <si>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</si>
  <si>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</si>
  <si>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</si>
  <si>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</si>
  <si>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</si>
  <si>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</si>
  <si>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</si>
  <si>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</si>
  <si>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</si>
  <si>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</si>
  <si>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</si>
  <si>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</si>
  <si>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</si>
  <si>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</si>
  <si>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</si>
  <si>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</si>
  <si>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</si>
  <si>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</si>
  <si>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</si>
  <si>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</si>
  <si>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</si>
  <si>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</si>
  <si>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</si>
  <si>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</si>
  <si>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</si>
  <si>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</si>
  <si>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</si>
  <si>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</si>
  <si>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</si>
  <si>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</si>
  <si>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</si>
  <si>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</si>
  <si>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</si>
  <si>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</si>
  <si>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</si>
  <si>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</si>
  <si>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</si>
  <si>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</si>
  <si>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</si>
  <si>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</si>
  <si>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</si>
  <si>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</si>
  <si>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</si>
  <si>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</si>
  <si>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</si>
  <si>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</si>
  <si>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</si>
  <si>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</si>
  <si>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</si>
  <si>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</si>
  <si>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</si>
  <si>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</si>
  <si>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</si>
  <si>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</si>
  <si>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</si>
  <si>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</si>
  <si>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</si>
  <si>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</si>
  <si>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</si>
  <si>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</si>
  <si>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</si>
  <si>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</si>
  <si>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</si>
  <si>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</si>
  <si>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</si>
  <si>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</si>
  <si>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</si>
  <si>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</si>
  <si>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</si>
  <si>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</si>
  <si>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</si>
  <si>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</si>
  <si>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</si>
  <si>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</si>
  <si>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</si>
  <si>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</si>
  <si>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</si>
  <si>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</si>
  <si>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</si>
  <si>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</si>
  <si>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EXETER SCHOOL DISTRICT</t>
  </si>
  <si>
    <t>6/16</t>
  </si>
  <si>
    <t>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</si>
</sst>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7" borderId="0" xfId="0" applyFill="1" applyAlignment="1">
      <alignment horizontal="center"/>
    </xf>
    <xf numFmtId="40" fontId="3" fillId="7" borderId="0" xfId="0" applyNumberFormat="1" applyFont="1" applyFill="1" applyProtection="1"/>
    <xf numFmtId="4" fontId="0" fillId="41" borderId="0" xfId="0" applyNumberFormat="1" applyFill="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zoomScaleNormal="100" workbookViewId="0">
      <pane xSplit="5" ySplit="3" topLeftCell="F133" activePane="bottomRight" state="frozen"/>
      <selection pane="topRight" activeCell="F1" sqref="F1"/>
      <selection pane="bottomLeft" activeCell="A4" sqref="A4"/>
      <selection pane="bottomRight" activeCell="C2" sqref="C2"/>
    </sheetView>
  </sheetViews>
  <sheetFormatPr defaultRowHeight="12.4" customHeight="1" x14ac:dyDescent="0.2"/>
  <cols>
    <col min="1" max="1" width="45.1640625" customWidth="1"/>
    <col min="2" max="2" width="5.332031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4" customHeight="1" x14ac:dyDescent="0.15">
      <c r="A1" s="1" t="s">
        <v>261</v>
      </c>
      <c r="B1" s="2" t="s">
        <v>262</v>
      </c>
      <c r="C1" s="2" t="s">
        <v>263</v>
      </c>
      <c r="D1" s="2"/>
      <c r="E1" s="2"/>
      <c r="F1" s="13"/>
      <c r="G1" s="13"/>
      <c r="H1" s="15" t="s">
        <v>1582</v>
      </c>
      <c r="I1" s="13"/>
      <c r="J1" s="13"/>
      <c r="K1" s="13"/>
      <c r="L1" s="13"/>
    </row>
    <row r="2" spans="1:14" s="3" customFormat="1" ht="12.4" customHeight="1" x14ac:dyDescent="0.2">
      <c r="A2" s="176" t="s">
        <v>1642</v>
      </c>
      <c r="B2" s="21">
        <v>173</v>
      </c>
      <c r="C2" s="21">
        <v>173</v>
      </c>
      <c r="D2" s="21"/>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3" t="s">
        <v>402</v>
      </c>
    </row>
    <row r="4" spans="1:14" s="3" customFormat="1" ht="12.4" customHeight="1" x14ac:dyDescent="0.15">
      <c r="A4" s="1" t="s">
        <v>278</v>
      </c>
      <c r="K4" s="13"/>
      <c r="L4" s="13"/>
    </row>
    <row r="5" spans="1:14" s="3" customFormat="1" ht="12.4" customHeight="1" x14ac:dyDescent="0.15">
      <c r="A5" s="1" t="s">
        <v>279</v>
      </c>
      <c r="F5" s="23" t="s">
        <v>273</v>
      </c>
      <c r="G5" s="23" t="s">
        <v>274</v>
      </c>
      <c r="H5" s="23" t="s">
        <v>275</v>
      </c>
      <c r="I5" s="23" t="s">
        <v>276</v>
      </c>
      <c r="J5" s="23" t="s">
        <v>277</v>
      </c>
      <c r="K5" s="13"/>
      <c r="L5" s="13"/>
    </row>
    <row r="6" spans="1:14" s="3" customFormat="1" ht="12.4" customHeight="1" x14ac:dyDescent="0.15">
      <c r="B6" s="7"/>
      <c r="C6" s="7"/>
      <c r="D6" s="7"/>
      <c r="F6" s="225" t="s">
        <v>280</v>
      </c>
      <c r="G6" s="225" t="s">
        <v>281</v>
      </c>
      <c r="H6" s="225" t="s">
        <v>282</v>
      </c>
      <c r="I6" s="225" t="s">
        <v>283</v>
      </c>
      <c r="J6" s="225" t="s">
        <v>284</v>
      </c>
      <c r="K6" s="13"/>
      <c r="L6" s="13"/>
      <c r="M6" s="8"/>
    </row>
    <row r="7" spans="1:14" s="3" customFormat="1" ht="12.4" customHeight="1" x14ac:dyDescent="0.15">
      <c r="A7" s="1" t="s">
        <v>285</v>
      </c>
      <c r="B7" s="7"/>
      <c r="C7" s="7"/>
      <c r="D7" s="7"/>
      <c r="E7" s="7"/>
      <c r="F7" s="225"/>
      <c r="G7" s="226"/>
      <c r="H7" s="225" t="s">
        <v>768</v>
      </c>
      <c r="I7" s="226"/>
      <c r="J7" s="226"/>
      <c r="K7" s="13"/>
      <c r="L7" s="13"/>
      <c r="M7" s="8"/>
    </row>
    <row r="8" spans="1:14" s="3" customFormat="1" ht="12.4"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4" customHeight="1" x14ac:dyDescent="0.15">
      <c r="A9" s="1" t="s">
        <v>561</v>
      </c>
      <c r="B9" s="2" t="s">
        <v>289</v>
      </c>
      <c r="C9" s="6">
        <v>1</v>
      </c>
      <c r="D9" s="2" t="s">
        <v>428</v>
      </c>
      <c r="E9" s="6">
        <v>100</v>
      </c>
      <c r="F9" s="18">
        <v>263585.53000000003</v>
      </c>
      <c r="G9" s="18"/>
      <c r="H9" s="18"/>
      <c r="I9" s="18">
        <v>268243.88</v>
      </c>
      <c r="J9" s="67">
        <f>SUM(I440)</f>
        <v>451853.28</v>
      </c>
      <c r="K9" s="24" t="s">
        <v>288</v>
      </c>
      <c r="L9" s="24" t="s">
        <v>288</v>
      </c>
      <c r="M9" s="8"/>
      <c r="N9" s="266"/>
    </row>
    <row r="10" spans="1:14" s="3" customFormat="1" ht="12.4" customHeight="1" x14ac:dyDescent="0.15">
      <c r="A10" s="1" t="s">
        <v>562</v>
      </c>
      <c r="B10" s="2" t="s">
        <v>289</v>
      </c>
      <c r="C10" s="6">
        <v>2</v>
      </c>
      <c r="D10" s="2" t="s">
        <v>428</v>
      </c>
      <c r="E10" s="6">
        <v>110</v>
      </c>
      <c r="F10" s="18">
        <v>1830883.51</v>
      </c>
      <c r="G10" s="18"/>
      <c r="H10" s="18"/>
      <c r="I10" s="18"/>
      <c r="J10" s="67">
        <f>SUM(I441)</f>
        <v>0</v>
      </c>
      <c r="K10" s="24" t="s">
        <v>288</v>
      </c>
      <c r="L10" s="24" t="s">
        <v>288</v>
      </c>
      <c r="M10" s="8"/>
      <c r="N10" s="266"/>
    </row>
    <row r="11" spans="1:14" s="3" customFormat="1" ht="12.4"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4" customHeight="1" x14ac:dyDescent="0.15">
      <c r="A12" s="1" t="s">
        <v>564</v>
      </c>
      <c r="B12" s="2" t="s">
        <v>289</v>
      </c>
      <c r="C12" s="6">
        <v>4</v>
      </c>
      <c r="D12" s="2" t="s">
        <v>428</v>
      </c>
      <c r="E12" s="6">
        <v>130</v>
      </c>
      <c r="F12" s="18">
        <v>14544.45</v>
      </c>
      <c r="G12" s="18"/>
      <c r="H12" s="18">
        <v>21640.81</v>
      </c>
      <c r="I12" s="18"/>
      <c r="J12" s="67">
        <f>SUM(I442)</f>
        <v>0</v>
      </c>
      <c r="K12" s="24" t="s">
        <v>288</v>
      </c>
      <c r="L12" s="24" t="s">
        <v>288</v>
      </c>
      <c r="M12" s="8"/>
      <c r="N12" s="266"/>
    </row>
    <row r="13" spans="1:14" s="3" customFormat="1" ht="12.4" customHeight="1" x14ac:dyDescent="0.15">
      <c r="A13" s="1" t="s">
        <v>604</v>
      </c>
      <c r="B13" s="2" t="s">
        <v>289</v>
      </c>
      <c r="C13" s="6">
        <v>5</v>
      </c>
      <c r="D13" s="2" t="s">
        <v>428</v>
      </c>
      <c r="E13" s="6">
        <v>140</v>
      </c>
      <c r="F13" s="18">
        <v>64720.87</v>
      </c>
      <c r="G13" s="18"/>
      <c r="H13" s="18"/>
      <c r="I13" s="18"/>
      <c r="J13" s="67">
        <f>SUM(I443)</f>
        <v>0</v>
      </c>
      <c r="K13" s="24" t="s">
        <v>288</v>
      </c>
      <c r="L13" s="24" t="s">
        <v>288</v>
      </c>
      <c r="M13" s="8"/>
      <c r="N13" s="266"/>
    </row>
    <row r="14" spans="1:14" s="3" customFormat="1" ht="12.4" customHeight="1" x14ac:dyDescent="0.15">
      <c r="A14" s="1" t="s">
        <v>565</v>
      </c>
      <c r="B14" s="2" t="s">
        <v>289</v>
      </c>
      <c r="C14" s="6">
        <v>6</v>
      </c>
      <c r="D14" s="2" t="s">
        <v>428</v>
      </c>
      <c r="E14" s="6">
        <v>150</v>
      </c>
      <c r="F14" s="18">
        <v>5760</v>
      </c>
      <c r="G14" s="18"/>
      <c r="H14" s="18"/>
      <c r="I14" s="18"/>
      <c r="J14" s="67">
        <f>SUM(I444)</f>
        <v>0</v>
      </c>
      <c r="K14" s="24" t="s">
        <v>288</v>
      </c>
      <c r="L14" s="24" t="s">
        <v>288</v>
      </c>
      <c r="M14" s="8"/>
      <c r="N14" s="266"/>
    </row>
    <row r="15" spans="1:14" s="3" customFormat="1" ht="12.4"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4"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4"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4"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4" customHeight="1" thickTop="1" x14ac:dyDescent="0.15">
      <c r="A19" s="38" t="s">
        <v>404</v>
      </c>
      <c r="B19" s="39" t="s">
        <v>289</v>
      </c>
      <c r="C19" s="40">
        <v>11</v>
      </c>
      <c r="D19" s="39" t="s">
        <v>428</v>
      </c>
      <c r="E19" s="39"/>
      <c r="F19" s="41">
        <f>SUM(F9:F18)</f>
        <v>2179494.3600000003</v>
      </c>
      <c r="G19" s="41">
        <f>SUM(G9:G18)</f>
        <v>0</v>
      </c>
      <c r="H19" s="41">
        <f>SUM(H9:H18)</f>
        <v>21640.81</v>
      </c>
      <c r="I19" s="41">
        <f>SUM(I9:I18)</f>
        <v>268243.88</v>
      </c>
      <c r="J19" s="41">
        <f>SUM(J9:J18)</f>
        <v>451853.28</v>
      </c>
      <c r="K19" s="45" t="s">
        <v>288</v>
      </c>
      <c r="L19" s="45" t="s">
        <v>288</v>
      </c>
      <c r="M19" s="8"/>
      <c r="N19" s="266"/>
    </row>
    <row r="20" spans="1:14" s="3" customFormat="1" ht="12.4" customHeight="1" x14ac:dyDescent="0.15">
      <c r="A20" s="1" t="s">
        <v>454</v>
      </c>
      <c r="C20" s="159"/>
      <c r="F20" s="13"/>
      <c r="G20" s="13"/>
      <c r="H20" s="13"/>
      <c r="I20" s="13"/>
      <c r="J20" s="13"/>
      <c r="K20" s="13"/>
      <c r="L20" s="13"/>
      <c r="M20" s="8"/>
      <c r="N20" s="266"/>
    </row>
    <row r="21" spans="1:14" s="3" customFormat="1" ht="12.4"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4" customHeight="1" x14ac:dyDescent="0.15">
      <c r="A22" s="1" t="s">
        <v>569</v>
      </c>
      <c r="B22" s="2" t="s">
        <v>289</v>
      </c>
      <c r="C22" s="6">
        <v>12</v>
      </c>
      <c r="D22" s="2" t="s">
        <v>429</v>
      </c>
      <c r="E22" s="6">
        <v>400</v>
      </c>
      <c r="F22" s="18">
        <v>21640.81</v>
      </c>
      <c r="G22" s="18"/>
      <c r="H22" s="18"/>
      <c r="I22" s="18">
        <v>14544.45</v>
      </c>
      <c r="J22" s="67">
        <f>SUM(I449)</f>
        <v>0</v>
      </c>
      <c r="K22" s="24" t="s">
        <v>288</v>
      </c>
      <c r="L22" s="24" t="s">
        <v>288</v>
      </c>
      <c r="M22" s="8"/>
      <c r="N22" s="266"/>
    </row>
    <row r="23" spans="1:14" s="3" customFormat="1" ht="12.4" customHeight="1" x14ac:dyDescent="0.15">
      <c r="A23" s="1" t="s">
        <v>607</v>
      </c>
      <c r="B23" s="2" t="s">
        <v>289</v>
      </c>
      <c r="C23" s="6">
        <v>13</v>
      </c>
      <c r="D23" s="2" t="s">
        <v>429</v>
      </c>
      <c r="E23" s="6">
        <v>410</v>
      </c>
      <c r="F23" s="18">
        <v>463394.24</v>
      </c>
      <c r="G23" s="18"/>
      <c r="H23" s="18"/>
      <c r="I23" s="18"/>
      <c r="J23" s="67">
        <f>SUM(I450)</f>
        <v>0</v>
      </c>
      <c r="K23" s="24" t="s">
        <v>288</v>
      </c>
      <c r="L23" s="24" t="s">
        <v>288</v>
      </c>
      <c r="M23" s="8"/>
      <c r="N23" s="266"/>
    </row>
    <row r="24" spans="1:14" s="3" customFormat="1" ht="12.4" customHeight="1" x14ac:dyDescent="0.15">
      <c r="A24" s="1" t="s">
        <v>570</v>
      </c>
      <c r="B24" s="2" t="s">
        <v>289</v>
      </c>
      <c r="C24" s="6">
        <v>14</v>
      </c>
      <c r="D24" s="2" t="s">
        <v>429</v>
      </c>
      <c r="E24" s="6">
        <v>420</v>
      </c>
      <c r="F24" s="18">
        <v>4193.37</v>
      </c>
      <c r="G24" s="18"/>
      <c r="H24" s="18"/>
      <c r="I24" s="18"/>
      <c r="J24" s="67">
        <f>SUM(I451)</f>
        <v>0</v>
      </c>
      <c r="K24" s="24" t="s">
        <v>288</v>
      </c>
      <c r="L24" s="24" t="s">
        <v>288</v>
      </c>
      <c r="M24" s="8"/>
      <c r="N24" s="266"/>
    </row>
    <row r="25" spans="1:14" s="3" customFormat="1" ht="12.4"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4"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4"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4" customHeight="1" x14ac:dyDescent="0.15">
      <c r="A28" s="1" t="s">
        <v>573</v>
      </c>
      <c r="B28" s="2" t="s">
        <v>289</v>
      </c>
      <c r="C28" s="6">
        <v>18</v>
      </c>
      <c r="D28" s="2" t="s">
        <v>429</v>
      </c>
      <c r="E28" s="6">
        <v>460</v>
      </c>
      <c r="F28" s="18">
        <v>882798.07</v>
      </c>
      <c r="G28" s="18"/>
      <c r="H28" s="18"/>
      <c r="I28" s="18"/>
      <c r="J28" s="24" t="s">
        <v>288</v>
      </c>
      <c r="K28" s="24" t="s">
        <v>288</v>
      </c>
      <c r="L28" s="24" t="s">
        <v>288</v>
      </c>
      <c r="M28" s="8"/>
      <c r="N28" s="266"/>
    </row>
    <row r="29" spans="1:14" s="3" customFormat="1" ht="12.4"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4"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4" customHeight="1" thickBot="1" x14ac:dyDescent="0.2">
      <c r="A31" s="1" t="s">
        <v>585</v>
      </c>
      <c r="B31" s="2" t="s">
        <v>289</v>
      </c>
      <c r="C31" s="6">
        <v>21</v>
      </c>
      <c r="D31" s="2" t="s">
        <v>429</v>
      </c>
      <c r="E31" s="6">
        <v>490</v>
      </c>
      <c r="F31" s="18">
        <v>17297.16</v>
      </c>
      <c r="G31" s="18"/>
      <c r="H31" s="18"/>
      <c r="I31" s="18"/>
      <c r="J31" s="67">
        <f>SUM(I452)</f>
        <v>0</v>
      </c>
      <c r="K31" s="24" t="s">
        <v>288</v>
      </c>
      <c r="L31" s="24" t="s">
        <v>288</v>
      </c>
      <c r="M31" s="8"/>
      <c r="N31" s="266"/>
    </row>
    <row r="32" spans="1:14" s="3" customFormat="1" ht="12.4" customHeight="1" thickTop="1" x14ac:dyDescent="0.15">
      <c r="A32" s="38" t="s">
        <v>406</v>
      </c>
      <c r="B32" s="39" t="s">
        <v>289</v>
      </c>
      <c r="C32" s="40">
        <v>22</v>
      </c>
      <c r="D32" s="39" t="s">
        <v>429</v>
      </c>
      <c r="E32" s="39"/>
      <c r="F32" s="41">
        <f>SUM(F22:F31)</f>
        <v>1389323.65</v>
      </c>
      <c r="G32" s="41">
        <f>SUM(G22:G31)</f>
        <v>0</v>
      </c>
      <c r="H32" s="41">
        <f>SUM(H22:H31)</f>
        <v>0</v>
      </c>
      <c r="I32" s="41">
        <f>SUM(I22:I31)</f>
        <v>14544.45</v>
      </c>
      <c r="J32" s="41">
        <f>SUM(J22:J31)</f>
        <v>0</v>
      </c>
      <c r="K32" s="45" t="s">
        <v>288</v>
      </c>
      <c r="L32" s="45" t="s">
        <v>288</v>
      </c>
      <c r="M32" s="8"/>
      <c r="N32" s="266"/>
    </row>
    <row r="33" spans="1:14" s="3" customFormat="1" ht="12.4"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4"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4"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4"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4"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4"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4"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4"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4"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4"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4"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4" customHeight="1" x14ac:dyDescent="0.15">
      <c r="A44" s="1" t="s">
        <v>837</v>
      </c>
      <c r="B44" s="6">
        <v>1</v>
      </c>
      <c r="C44" s="6">
        <v>30</v>
      </c>
      <c r="D44" s="2" t="s">
        <v>653</v>
      </c>
      <c r="E44" s="6">
        <v>755</v>
      </c>
      <c r="F44" s="18">
        <v>75000</v>
      </c>
      <c r="G44" s="18"/>
      <c r="H44" s="18"/>
      <c r="I44" s="18"/>
      <c r="J44" s="24" t="s">
        <v>288</v>
      </c>
      <c r="K44" s="24" t="s">
        <v>288</v>
      </c>
      <c r="L44" s="24" t="s">
        <v>288</v>
      </c>
      <c r="M44" s="8"/>
      <c r="N44" s="266"/>
    </row>
    <row r="45" spans="1:14" s="3" customFormat="1" ht="12.4" customHeight="1" x14ac:dyDescent="0.15">
      <c r="A45" s="1" t="s">
        <v>838</v>
      </c>
      <c r="B45" s="6">
        <v>1</v>
      </c>
      <c r="C45" s="6">
        <v>31</v>
      </c>
      <c r="D45" s="2"/>
      <c r="E45" s="6">
        <v>753</v>
      </c>
      <c r="F45" s="18">
        <v>304486.3</v>
      </c>
      <c r="G45" s="18"/>
      <c r="H45" s="18"/>
      <c r="I45" s="18"/>
      <c r="J45" s="13">
        <f>I456</f>
        <v>0</v>
      </c>
      <c r="K45" s="24" t="s">
        <v>288</v>
      </c>
      <c r="L45" s="24" t="s">
        <v>288</v>
      </c>
      <c r="M45" s="8"/>
      <c r="N45" s="266"/>
    </row>
    <row r="46" spans="1:14" s="3" customFormat="1" ht="12.4"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4"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4" customHeight="1" x14ac:dyDescent="0.15">
      <c r="A48" s="1" t="s">
        <v>839</v>
      </c>
      <c r="B48" s="2" t="s">
        <v>289</v>
      </c>
      <c r="C48" s="6">
        <v>33</v>
      </c>
      <c r="D48" s="2" t="s">
        <v>653</v>
      </c>
      <c r="E48" s="6">
        <v>760</v>
      </c>
      <c r="F48" s="18"/>
      <c r="G48" s="18"/>
      <c r="H48" s="18">
        <v>21640.81</v>
      </c>
      <c r="I48" s="18">
        <v>253699.43</v>
      </c>
      <c r="J48" s="13">
        <f>SUM(I460)</f>
        <v>451853.28</v>
      </c>
      <c r="K48" s="24" t="s">
        <v>288</v>
      </c>
      <c r="L48" s="24" t="s">
        <v>288</v>
      </c>
      <c r="M48" s="8"/>
      <c r="N48" s="266"/>
    </row>
    <row r="49" spans="1:14" s="3" customFormat="1" ht="12.4" customHeight="1" x14ac:dyDescent="0.15">
      <c r="A49" s="1" t="s">
        <v>859</v>
      </c>
      <c r="B49" s="2" t="s">
        <v>289</v>
      </c>
      <c r="C49" s="6">
        <v>34</v>
      </c>
      <c r="D49" s="2"/>
      <c r="E49" s="6">
        <v>753</v>
      </c>
      <c r="F49" s="18"/>
      <c r="G49" s="18"/>
      <c r="H49" s="18"/>
      <c r="I49" s="18"/>
      <c r="J49" s="13">
        <f>I455</f>
        <v>0</v>
      </c>
      <c r="K49" s="24"/>
      <c r="L49" s="24"/>
      <c r="M49" s="8"/>
      <c r="N49" s="266"/>
    </row>
    <row r="50" spans="1:14" s="3" customFormat="1" ht="12.4" customHeight="1" thickBot="1" x14ac:dyDescent="0.2">
      <c r="A50" s="29" t="s">
        <v>840</v>
      </c>
      <c r="B50" s="2" t="s">
        <v>289</v>
      </c>
      <c r="C50" s="71">
        <v>35</v>
      </c>
      <c r="D50" s="2" t="s">
        <v>653</v>
      </c>
      <c r="E50" s="6">
        <v>770</v>
      </c>
      <c r="F50" s="18">
        <v>410684.41</v>
      </c>
      <c r="G50" s="24" t="s">
        <v>288</v>
      </c>
      <c r="H50" s="24" t="s">
        <v>288</v>
      </c>
      <c r="I50" s="24" t="s">
        <v>288</v>
      </c>
      <c r="J50" s="24" t="s">
        <v>288</v>
      </c>
      <c r="K50" s="24" t="s">
        <v>288</v>
      </c>
      <c r="L50" s="24" t="s">
        <v>288</v>
      </c>
      <c r="M50" s="8"/>
      <c r="N50" s="266"/>
    </row>
    <row r="51" spans="1:14" ht="12.4" customHeight="1" thickTop="1" thickBot="1" x14ac:dyDescent="0.25">
      <c r="A51" s="38" t="s">
        <v>407</v>
      </c>
      <c r="B51" s="39" t="s">
        <v>289</v>
      </c>
      <c r="C51" s="51">
        <v>36</v>
      </c>
      <c r="D51" s="39" t="s">
        <v>653</v>
      </c>
      <c r="E51" s="39"/>
      <c r="F51" s="41">
        <f>SUM(F35:F50)</f>
        <v>790170.71</v>
      </c>
      <c r="G51" s="41">
        <f>SUM(G35:G50)</f>
        <v>0</v>
      </c>
      <c r="H51" s="41">
        <f>SUM(H35:H50)</f>
        <v>21640.81</v>
      </c>
      <c r="I51" s="41">
        <f>SUM(I35:I50)</f>
        <v>253699.43</v>
      </c>
      <c r="J51" s="41">
        <f>SUM(J35:J50)</f>
        <v>451853.28</v>
      </c>
      <c r="K51" s="45" t="s">
        <v>288</v>
      </c>
      <c r="L51" s="45" t="s">
        <v>288</v>
      </c>
      <c r="N51" s="264"/>
    </row>
    <row r="52" spans="1:14" s="3" customFormat="1" ht="12.4" customHeight="1" thickTop="1" x14ac:dyDescent="0.15">
      <c r="A52" s="38" t="s">
        <v>455</v>
      </c>
      <c r="B52" s="39" t="s">
        <v>289</v>
      </c>
      <c r="C52" s="6">
        <v>37</v>
      </c>
      <c r="D52" s="39" t="s">
        <v>653</v>
      </c>
      <c r="E52" s="39"/>
      <c r="F52" s="41">
        <f>F51+F32</f>
        <v>2179494.36</v>
      </c>
      <c r="G52" s="41">
        <f>G51+G32</f>
        <v>0</v>
      </c>
      <c r="H52" s="41">
        <f>H51+H32</f>
        <v>21640.81</v>
      </c>
      <c r="I52" s="41">
        <f>I51+I32</f>
        <v>268243.88</v>
      </c>
      <c r="J52" s="41">
        <f>J51+J32</f>
        <v>451853.28</v>
      </c>
      <c r="K52" s="45" t="s">
        <v>288</v>
      </c>
      <c r="L52" s="45" t="s">
        <v>288</v>
      </c>
      <c r="M52" s="8"/>
      <c r="N52" s="266"/>
    </row>
    <row r="53" spans="1:14" s="3" customFormat="1" ht="12.4" customHeight="1" x14ac:dyDescent="0.2">
      <c r="A53"/>
      <c r="B53"/>
      <c r="C53"/>
      <c r="D53"/>
      <c r="E53"/>
      <c r="F53" s="23" t="s">
        <v>273</v>
      </c>
      <c r="G53" s="23" t="s">
        <v>274</v>
      </c>
      <c r="H53" s="23" t="s">
        <v>275</v>
      </c>
      <c r="I53" s="23" t="s">
        <v>276</v>
      </c>
      <c r="J53" s="23" t="s">
        <v>277</v>
      </c>
      <c r="K53" s="20"/>
      <c r="L53" s="20"/>
      <c r="M53" s="8"/>
      <c r="N53" s="266"/>
    </row>
    <row r="54" spans="1:14" s="3" customFormat="1" ht="12.4" customHeight="1" x14ac:dyDescent="0.2">
      <c r="A54" s="1" t="s">
        <v>305</v>
      </c>
      <c r="F54" s="23"/>
      <c r="G54" s="23"/>
      <c r="H54" s="23" t="s">
        <v>282</v>
      </c>
      <c r="I54" s="23"/>
      <c r="J54" s="23"/>
      <c r="K54" s="20"/>
      <c r="L54" s="20"/>
      <c r="M54" s="8"/>
      <c r="N54" s="266"/>
    </row>
    <row r="55" spans="1:14" s="3" customFormat="1" ht="12.4" customHeight="1" x14ac:dyDescent="0.2">
      <c r="A55" s="28" t="s">
        <v>307</v>
      </c>
      <c r="E55" s="6"/>
      <c r="F55" s="16" t="s">
        <v>280</v>
      </c>
      <c r="G55" s="16" t="s">
        <v>281</v>
      </c>
      <c r="H55" s="16" t="s">
        <v>768</v>
      </c>
      <c r="I55" s="16" t="s">
        <v>283</v>
      </c>
      <c r="J55" s="16" t="s">
        <v>284</v>
      </c>
      <c r="K55" s="20"/>
      <c r="L55" s="20"/>
      <c r="M55" s="8"/>
      <c r="N55" s="266"/>
    </row>
    <row r="56" spans="1:14" s="3" customFormat="1" ht="12.4"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4" customHeight="1" x14ac:dyDescent="0.15">
      <c r="A57" s="1" t="s">
        <v>511</v>
      </c>
      <c r="B57" s="2" t="s">
        <v>309</v>
      </c>
      <c r="C57" s="6">
        <v>1</v>
      </c>
      <c r="D57" s="2" t="s">
        <v>430</v>
      </c>
      <c r="E57" s="6">
        <v>1111</v>
      </c>
      <c r="F57" s="18">
        <v>15577954</v>
      </c>
      <c r="G57" s="18"/>
      <c r="H57" s="18"/>
      <c r="I57" s="18"/>
      <c r="J57" s="18"/>
      <c r="K57" s="24" t="s">
        <v>288</v>
      </c>
      <c r="L57" s="24" t="s">
        <v>288</v>
      </c>
      <c r="M57" s="8"/>
      <c r="N57" s="266"/>
    </row>
    <row r="58" spans="1:14" s="3" customFormat="1" ht="12.4"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4"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4" customHeight="1" thickTop="1" x14ac:dyDescent="0.15">
      <c r="A60" s="38" t="s">
        <v>408</v>
      </c>
      <c r="B60" s="39" t="s">
        <v>309</v>
      </c>
      <c r="C60" s="40">
        <v>4</v>
      </c>
      <c r="D60" s="39" t="s">
        <v>430</v>
      </c>
      <c r="E60" s="40">
        <v>1100</v>
      </c>
      <c r="F60" s="41">
        <f>SUM(F57:F59)</f>
        <v>15577954</v>
      </c>
      <c r="G60" s="41">
        <f>SUM(G57:G59)</f>
        <v>0</v>
      </c>
      <c r="H60" s="41">
        <f>SUM(H57:H59)</f>
        <v>0</v>
      </c>
      <c r="I60" s="41">
        <f>SUM(I57:I59)</f>
        <v>0</v>
      </c>
      <c r="J60" s="41">
        <f>SUM(J57:J59)</f>
        <v>0</v>
      </c>
      <c r="K60" s="45" t="s">
        <v>288</v>
      </c>
      <c r="L60" s="45" t="s">
        <v>288</v>
      </c>
      <c r="M60" s="31"/>
      <c r="N60" s="267"/>
    </row>
    <row r="61" spans="1:14" s="3" customFormat="1" ht="12.4"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4"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4" customHeight="1" x14ac:dyDescent="0.15">
      <c r="A63" s="1" t="s">
        <v>513</v>
      </c>
      <c r="B63" s="2" t="s">
        <v>309</v>
      </c>
      <c r="C63" s="6">
        <v>5</v>
      </c>
      <c r="D63" s="2" t="s">
        <v>430</v>
      </c>
      <c r="E63" s="6">
        <v>1311</v>
      </c>
      <c r="F63" s="18">
        <v>7162.5</v>
      </c>
      <c r="G63" s="24" t="s">
        <v>288</v>
      </c>
      <c r="H63" s="18"/>
      <c r="I63" s="24" t="s">
        <v>288</v>
      </c>
      <c r="J63" s="24" t="s">
        <v>288</v>
      </c>
      <c r="K63" s="24" t="s">
        <v>288</v>
      </c>
      <c r="L63" s="24" t="s">
        <v>288</v>
      </c>
      <c r="M63" s="8"/>
      <c r="N63" s="266"/>
    </row>
    <row r="64" spans="1:14" s="3" customFormat="1" ht="12.4"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4"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4"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4"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4"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4" customHeight="1" x14ac:dyDescent="0.15">
      <c r="A69" s="1" t="s">
        <v>515</v>
      </c>
      <c r="B69" s="2" t="s">
        <v>309</v>
      </c>
      <c r="C69" s="6">
        <v>10</v>
      </c>
      <c r="D69" s="2" t="s">
        <v>430</v>
      </c>
      <c r="E69" s="6">
        <v>1322</v>
      </c>
      <c r="F69" s="18">
        <v>32725</v>
      </c>
      <c r="G69" s="24" t="s">
        <v>288</v>
      </c>
      <c r="H69" s="18"/>
      <c r="I69" s="24" t="s">
        <v>288</v>
      </c>
      <c r="J69" s="24" t="s">
        <v>288</v>
      </c>
      <c r="K69" s="24" t="s">
        <v>288</v>
      </c>
      <c r="L69" s="24" t="s">
        <v>288</v>
      </c>
      <c r="M69" s="8"/>
      <c r="N69" s="266"/>
    </row>
    <row r="70" spans="1:14" s="3" customFormat="1" ht="12.4"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4"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4"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4"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4"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4"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4"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4"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4"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4" customHeight="1" thickTop="1" x14ac:dyDescent="0.15">
      <c r="A79" s="38" t="s">
        <v>409</v>
      </c>
      <c r="B79" s="39" t="s">
        <v>309</v>
      </c>
      <c r="C79" s="39" t="s">
        <v>314</v>
      </c>
      <c r="D79" s="39" t="s">
        <v>430</v>
      </c>
      <c r="E79" s="40">
        <v>1300</v>
      </c>
      <c r="F79" s="41">
        <f>SUM(F63:F78)</f>
        <v>39887.5</v>
      </c>
      <c r="G79" s="45" t="s">
        <v>288</v>
      </c>
      <c r="H79" s="41">
        <f>SUM(H63:H78)</f>
        <v>0</v>
      </c>
      <c r="I79" s="45" t="s">
        <v>288</v>
      </c>
      <c r="J79" s="45" t="s">
        <v>288</v>
      </c>
      <c r="K79" s="45" t="s">
        <v>288</v>
      </c>
      <c r="L79" s="45" t="s">
        <v>288</v>
      </c>
      <c r="M79" s="8">
        <v>278</v>
      </c>
      <c r="N79" s="266"/>
    </row>
    <row r="80" spans="1:14" s="3" customFormat="1" ht="12.4" customHeight="1" x14ac:dyDescent="0.2">
      <c r="A80"/>
      <c r="B80"/>
      <c r="C80" s="32"/>
      <c r="D80" s="32"/>
      <c r="E80" s="32"/>
      <c r="F80" s="23" t="s">
        <v>273</v>
      </c>
      <c r="G80" s="23" t="s">
        <v>274</v>
      </c>
      <c r="H80" s="23" t="s">
        <v>275</v>
      </c>
      <c r="I80" s="23" t="s">
        <v>276</v>
      </c>
      <c r="J80" s="23" t="s">
        <v>277</v>
      </c>
      <c r="K80" s="20"/>
      <c r="L80" s="20"/>
      <c r="M80" s="8"/>
      <c r="N80" s="266"/>
    </row>
    <row r="81" spans="1:14" s="3" customFormat="1" ht="12.4" customHeight="1" x14ac:dyDescent="0.2">
      <c r="A81" s="170" t="s">
        <v>518</v>
      </c>
      <c r="C81" s="23"/>
      <c r="D81" s="23"/>
      <c r="E81" s="23"/>
      <c r="F81" s="23"/>
      <c r="G81" s="23"/>
      <c r="H81" s="23" t="s">
        <v>282</v>
      </c>
      <c r="I81" s="23"/>
      <c r="J81" s="23"/>
      <c r="K81" s="20"/>
      <c r="L81" s="20"/>
      <c r="M81" s="8"/>
      <c r="N81" s="266"/>
    </row>
    <row r="82" spans="1:14" s="3" customFormat="1" ht="12.4"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4"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4"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4"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4"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4"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4"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4"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4"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4"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4"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4"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4"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4"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4" customHeight="1" x14ac:dyDescent="0.15">
      <c r="A96" s="1" t="s">
        <v>592</v>
      </c>
      <c r="B96" s="2" t="s">
        <v>315</v>
      </c>
      <c r="C96" s="6">
        <v>11</v>
      </c>
      <c r="D96" s="2" t="s">
        <v>430</v>
      </c>
      <c r="E96" s="6">
        <v>1500</v>
      </c>
      <c r="F96" s="18">
        <v>38817.97</v>
      </c>
      <c r="G96" s="18">
        <v>200.48</v>
      </c>
      <c r="H96" s="18"/>
      <c r="I96" s="18">
        <v>7408.69</v>
      </c>
      <c r="J96" s="18">
        <v>2713.88</v>
      </c>
      <c r="K96" s="24" t="s">
        <v>288</v>
      </c>
      <c r="L96" s="24" t="s">
        <v>288</v>
      </c>
      <c r="M96" s="8"/>
      <c r="N96" s="266"/>
    </row>
    <row r="97" spans="1:14" s="3" customFormat="1" ht="12.4" customHeight="1" x14ac:dyDescent="0.15">
      <c r="A97" s="1" t="s">
        <v>503</v>
      </c>
      <c r="B97" s="2" t="s">
        <v>315</v>
      </c>
      <c r="C97" s="6">
        <v>12</v>
      </c>
      <c r="D97" s="2" t="s">
        <v>430</v>
      </c>
      <c r="E97" s="6">
        <v>1600</v>
      </c>
      <c r="F97" s="24" t="s">
        <v>288</v>
      </c>
      <c r="G97" s="18">
        <v>154425.29999999999</v>
      </c>
      <c r="H97" s="24" t="s">
        <v>288</v>
      </c>
      <c r="I97" s="24" t="s">
        <v>288</v>
      </c>
      <c r="J97" s="24" t="s">
        <v>288</v>
      </c>
      <c r="K97" s="24" t="s">
        <v>288</v>
      </c>
      <c r="L97" s="24" t="s">
        <v>288</v>
      </c>
      <c r="M97" s="8"/>
      <c r="N97" s="266"/>
    </row>
    <row r="98" spans="1:14" s="3" customFormat="1" ht="12.4" customHeight="1" x14ac:dyDescent="0.15">
      <c r="A98" s="1" t="s">
        <v>504</v>
      </c>
      <c r="B98" s="2" t="s">
        <v>315</v>
      </c>
      <c r="C98" s="6">
        <v>13</v>
      </c>
      <c r="D98" s="2" t="s">
        <v>430</v>
      </c>
      <c r="E98" s="6">
        <v>1700</v>
      </c>
      <c r="F98" s="18">
        <v>7966</v>
      </c>
      <c r="G98" s="24" t="s">
        <v>288</v>
      </c>
      <c r="H98" s="18">
        <v>13970</v>
      </c>
      <c r="I98" s="24" t="s">
        <v>288</v>
      </c>
      <c r="J98" s="24" t="s">
        <v>288</v>
      </c>
      <c r="K98" s="24" t="s">
        <v>288</v>
      </c>
      <c r="L98" s="24" t="s">
        <v>288</v>
      </c>
      <c r="M98" s="8"/>
      <c r="N98" s="266"/>
    </row>
    <row r="99" spans="1:14" s="3" customFormat="1" ht="12.4"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4"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4"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4"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4"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4"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4"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4"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4"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4"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4"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4" customHeight="1" thickBot="1" x14ac:dyDescent="0.2">
      <c r="A110" s="1" t="s">
        <v>510</v>
      </c>
      <c r="B110" s="2" t="s">
        <v>315</v>
      </c>
      <c r="C110" s="6">
        <v>24</v>
      </c>
      <c r="D110" s="2" t="s">
        <v>430</v>
      </c>
      <c r="E110" s="6">
        <v>1990</v>
      </c>
      <c r="F110" s="18">
        <v>47837.95</v>
      </c>
      <c r="G110" s="18"/>
      <c r="H110" s="18"/>
      <c r="I110" s="18"/>
      <c r="J110" s="18"/>
      <c r="K110" s="24" t="s">
        <v>288</v>
      </c>
      <c r="L110" s="24" t="s">
        <v>288</v>
      </c>
      <c r="M110" s="8"/>
      <c r="N110" s="266"/>
    </row>
    <row r="111" spans="1:14" ht="12.4" customHeight="1" thickTop="1" thickBot="1" x14ac:dyDescent="0.25">
      <c r="A111" s="38" t="s">
        <v>433</v>
      </c>
      <c r="B111" s="39" t="s">
        <v>315</v>
      </c>
      <c r="C111" s="40">
        <v>25</v>
      </c>
      <c r="D111" s="39" t="s">
        <v>430</v>
      </c>
      <c r="E111" s="40"/>
      <c r="F111" s="41">
        <f>SUM(F96:F110)</f>
        <v>94621.92</v>
      </c>
      <c r="G111" s="41">
        <f>SUM(G96:G110)</f>
        <v>154625.78</v>
      </c>
      <c r="H111" s="41">
        <f>SUM(H96:H110)</f>
        <v>13970</v>
      </c>
      <c r="I111" s="41">
        <f>SUM(I96:I110)</f>
        <v>7408.69</v>
      </c>
      <c r="J111" s="41">
        <f>SUM(J96:J110)</f>
        <v>2713.88</v>
      </c>
      <c r="K111" s="45" t="s">
        <v>288</v>
      </c>
      <c r="L111" s="45" t="s">
        <v>288</v>
      </c>
      <c r="N111" s="264"/>
    </row>
    <row r="112" spans="1:14" s="3" customFormat="1" ht="12.4" customHeight="1" thickTop="1" x14ac:dyDescent="0.15">
      <c r="A112" s="38" t="s">
        <v>414</v>
      </c>
      <c r="B112" s="39" t="s">
        <v>315</v>
      </c>
      <c r="C112" s="40">
        <v>26</v>
      </c>
      <c r="D112" s="39" t="s">
        <v>430</v>
      </c>
      <c r="E112" s="40">
        <v>1000</v>
      </c>
      <c r="F112" s="41">
        <f>F60+F79+F94+F111</f>
        <v>15712463.42</v>
      </c>
      <c r="G112" s="41">
        <f>G60+G111</f>
        <v>154625.78</v>
      </c>
      <c r="H112" s="41">
        <f>H60+H79+H94+H111</f>
        <v>13970</v>
      </c>
      <c r="I112" s="41">
        <f>I60+I111</f>
        <v>7408.69</v>
      </c>
      <c r="J112" s="41">
        <f>J60+J111</f>
        <v>2713.88</v>
      </c>
      <c r="K112" s="45" t="s">
        <v>288</v>
      </c>
      <c r="L112" s="45" t="s">
        <v>288</v>
      </c>
      <c r="M112" s="8"/>
      <c r="N112" s="266"/>
    </row>
    <row r="113" spans="1:14" s="3" customFormat="1" ht="12.4" customHeight="1" x14ac:dyDescent="0.2">
      <c r="A113"/>
      <c r="B113"/>
      <c r="C113"/>
      <c r="D113"/>
      <c r="E113"/>
      <c r="F113" s="23" t="s">
        <v>273</v>
      </c>
      <c r="G113" s="23" t="s">
        <v>274</v>
      </c>
      <c r="H113" s="23" t="s">
        <v>275</v>
      </c>
      <c r="I113" s="23" t="s">
        <v>276</v>
      </c>
      <c r="J113" s="23" t="s">
        <v>277</v>
      </c>
      <c r="K113" s="20"/>
      <c r="L113" s="20"/>
      <c r="M113" s="8"/>
      <c r="N113" s="266"/>
    </row>
    <row r="114" spans="1:14" s="3" customFormat="1" ht="12.4" customHeight="1" x14ac:dyDescent="0.2">
      <c r="A114" s="29" t="s">
        <v>319</v>
      </c>
      <c r="H114" s="23" t="s">
        <v>282</v>
      </c>
      <c r="K114" s="20"/>
      <c r="L114" s="20"/>
      <c r="M114" s="8"/>
      <c r="N114" s="266"/>
    </row>
    <row r="115" spans="1:14" s="3" customFormat="1" ht="12.4" customHeight="1" x14ac:dyDescent="0.2">
      <c r="A115" s="28" t="s">
        <v>320</v>
      </c>
      <c r="F115" s="16" t="s">
        <v>280</v>
      </c>
      <c r="G115" s="14" t="s">
        <v>281</v>
      </c>
      <c r="H115" s="16" t="s">
        <v>768</v>
      </c>
      <c r="I115" s="16" t="s">
        <v>283</v>
      </c>
      <c r="J115" s="16" t="s">
        <v>284</v>
      </c>
      <c r="K115" s="20"/>
      <c r="L115" s="20"/>
      <c r="M115" s="8"/>
      <c r="N115" s="266"/>
    </row>
    <row r="116" spans="1:14" s="3" customFormat="1" ht="12.4"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4" customHeight="1" x14ac:dyDescent="0.15">
      <c r="A117" s="1" t="s">
        <v>833</v>
      </c>
      <c r="B117" s="2" t="s">
        <v>321</v>
      </c>
      <c r="C117" s="6">
        <v>1</v>
      </c>
      <c r="D117" s="2" t="s">
        <v>430</v>
      </c>
      <c r="E117" s="6">
        <v>3111</v>
      </c>
      <c r="F117" s="18">
        <v>2153365.46</v>
      </c>
      <c r="G117" s="24" t="s">
        <v>288</v>
      </c>
      <c r="H117" s="24" t="s">
        <v>288</v>
      </c>
      <c r="I117" s="24" t="s">
        <v>288</v>
      </c>
      <c r="J117" s="24" t="s">
        <v>288</v>
      </c>
      <c r="K117" s="24" t="s">
        <v>288</v>
      </c>
      <c r="L117" s="24" t="s">
        <v>288</v>
      </c>
      <c r="M117" s="8"/>
      <c r="N117" s="266"/>
    </row>
    <row r="118" spans="1:14" s="3" customFormat="1" ht="12.4" customHeight="1" x14ac:dyDescent="0.15">
      <c r="A118" s="1" t="s">
        <v>769</v>
      </c>
      <c r="B118" s="2" t="s">
        <v>321</v>
      </c>
      <c r="C118" s="6">
        <v>2</v>
      </c>
      <c r="D118" s="2" t="s">
        <v>430</v>
      </c>
      <c r="E118" s="6">
        <v>3112</v>
      </c>
      <c r="F118" s="18">
        <v>1921259</v>
      </c>
      <c r="G118" s="24" t="s">
        <v>288</v>
      </c>
      <c r="H118" s="24" t="s">
        <v>288</v>
      </c>
      <c r="I118" s="24" t="s">
        <v>288</v>
      </c>
      <c r="J118" s="24" t="s">
        <v>288</v>
      </c>
      <c r="K118" s="24" t="s">
        <v>288</v>
      </c>
      <c r="L118" s="24" t="s">
        <v>288</v>
      </c>
      <c r="M118" s="8"/>
      <c r="N118" s="266"/>
    </row>
    <row r="119" spans="1:14" s="3" customFormat="1" ht="12.4"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4"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4" customHeight="1" thickTop="1" x14ac:dyDescent="0.15">
      <c r="A121" s="38" t="s">
        <v>648</v>
      </c>
      <c r="B121" s="39" t="s">
        <v>321</v>
      </c>
      <c r="C121" s="40">
        <v>5</v>
      </c>
      <c r="D121" s="39" t="s">
        <v>430</v>
      </c>
      <c r="E121" s="40">
        <v>3100</v>
      </c>
      <c r="F121" s="41">
        <f>SUM(F117:F120)</f>
        <v>4074624.46</v>
      </c>
      <c r="G121" s="41">
        <f>SUM(G117:G120)</f>
        <v>0</v>
      </c>
      <c r="H121" s="41">
        <f>SUM(H117:H120)</f>
        <v>0</v>
      </c>
      <c r="I121" s="41">
        <f>SUM(I117:I120)</f>
        <v>0</v>
      </c>
      <c r="J121" s="41">
        <f>SUM(J117:J120)</f>
        <v>0</v>
      </c>
      <c r="K121" s="45" t="s">
        <v>288</v>
      </c>
      <c r="L121" s="45" t="s">
        <v>288</v>
      </c>
      <c r="M121" s="8"/>
      <c r="N121" s="266"/>
    </row>
    <row r="122" spans="1:14" s="3" customFormat="1" ht="12.4"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4"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4"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4"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4" customHeight="1" x14ac:dyDescent="0.15">
      <c r="A126" s="1" t="s">
        <v>904</v>
      </c>
      <c r="B126" s="2" t="s">
        <v>321</v>
      </c>
      <c r="C126" s="6">
        <v>9</v>
      </c>
      <c r="D126" s="2" t="s">
        <v>430</v>
      </c>
      <c r="E126" s="6">
        <v>3230</v>
      </c>
      <c r="F126" s="18">
        <v>56600.28</v>
      </c>
      <c r="G126" s="24" t="s">
        <v>288</v>
      </c>
      <c r="H126" s="24" t="s">
        <v>288</v>
      </c>
      <c r="I126" s="24" t="s">
        <v>288</v>
      </c>
      <c r="J126" s="24" t="s">
        <v>288</v>
      </c>
      <c r="K126" s="24" t="s">
        <v>288</v>
      </c>
      <c r="L126" s="24" t="s">
        <v>288</v>
      </c>
      <c r="M126" s="8"/>
      <c r="N126" s="266"/>
    </row>
    <row r="127" spans="1:14" s="3" customFormat="1" ht="12.4"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4"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4"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4"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4"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4" customHeight="1" x14ac:dyDescent="0.15">
      <c r="A132" s="1" t="s">
        <v>498</v>
      </c>
      <c r="B132" s="2" t="s">
        <v>321</v>
      </c>
      <c r="C132" s="6">
        <v>15</v>
      </c>
      <c r="D132" s="2" t="s">
        <v>430</v>
      </c>
      <c r="E132" s="6">
        <v>3260</v>
      </c>
      <c r="F132" s="24" t="s">
        <v>288</v>
      </c>
      <c r="G132" s="18">
        <v>5521.55</v>
      </c>
      <c r="H132" s="24" t="s">
        <v>288</v>
      </c>
      <c r="I132" s="24" t="s">
        <v>288</v>
      </c>
      <c r="J132" s="24" t="s">
        <v>288</v>
      </c>
      <c r="K132" s="24" t="s">
        <v>288</v>
      </c>
      <c r="L132" s="24" t="s">
        <v>288</v>
      </c>
      <c r="M132" s="8"/>
      <c r="N132" s="266"/>
    </row>
    <row r="133" spans="1:14" s="3" customFormat="1" ht="12.4"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4"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4"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4" customHeight="1" thickTop="1" x14ac:dyDescent="0.15">
      <c r="A136" s="38" t="s">
        <v>434</v>
      </c>
      <c r="B136" s="39" t="s">
        <v>321</v>
      </c>
      <c r="C136" s="40">
        <v>19</v>
      </c>
      <c r="D136" s="39" t="s">
        <v>430</v>
      </c>
      <c r="E136" s="40">
        <v>3200</v>
      </c>
      <c r="F136" s="41">
        <f>SUM(F123:F135)</f>
        <v>56600.28</v>
      </c>
      <c r="G136" s="41">
        <f>SUM(G123:G135)</f>
        <v>5521.55</v>
      </c>
      <c r="H136" s="41">
        <f>SUM(H123:H135)</f>
        <v>0</v>
      </c>
      <c r="I136" s="41">
        <f>SUM(I123:I135)</f>
        <v>0</v>
      </c>
      <c r="J136" s="41">
        <f>SUM(J123:J135)</f>
        <v>0</v>
      </c>
      <c r="K136" s="45" t="s">
        <v>288</v>
      </c>
      <c r="L136" s="45" t="s">
        <v>288</v>
      </c>
      <c r="M136" s="8"/>
      <c r="N136" s="266"/>
    </row>
    <row r="137" spans="1:14" s="3" customFormat="1" ht="12.4"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4"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4"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4" customHeight="1" thickTop="1" x14ac:dyDescent="0.15">
      <c r="A140" s="38" t="s">
        <v>415</v>
      </c>
      <c r="B140" s="39" t="s">
        <v>321</v>
      </c>
      <c r="C140" s="40">
        <v>23</v>
      </c>
      <c r="D140" s="39" t="s">
        <v>430</v>
      </c>
      <c r="E140" s="40">
        <v>3000</v>
      </c>
      <c r="F140" s="41">
        <f>F121+SUM(F136:F139)</f>
        <v>4131224.7399999998</v>
      </c>
      <c r="G140" s="41">
        <f>G121+SUM(G136:G137)</f>
        <v>5521.55</v>
      </c>
      <c r="H140" s="41">
        <f>H121+SUM(H136:H139)</f>
        <v>0</v>
      </c>
      <c r="I140" s="41">
        <f>I121+I136</f>
        <v>0</v>
      </c>
      <c r="J140" s="41">
        <f>J121+J136</f>
        <v>0</v>
      </c>
      <c r="K140" s="45" t="s">
        <v>288</v>
      </c>
      <c r="L140" s="45" t="s">
        <v>288</v>
      </c>
      <c r="M140" s="8"/>
      <c r="N140" s="266"/>
    </row>
    <row r="141" spans="1:14" s="3" customFormat="1" ht="12.4"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4" customHeight="1" x14ac:dyDescent="0.2">
      <c r="A142" s="29" t="s">
        <v>319</v>
      </c>
      <c r="F142" s="23"/>
      <c r="G142" s="23"/>
      <c r="H142" s="16" t="s">
        <v>282</v>
      </c>
      <c r="I142" s="23"/>
      <c r="J142" s="23"/>
      <c r="K142" s="20"/>
      <c r="L142" s="20"/>
      <c r="M142" s="8"/>
      <c r="N142" s="266"/>
    </row>
    <row r="143" spans="1:14" s="3" customFormat="1" ht="12.4" customHeight="1" x14ac:dyDescent="0.2">
      <c r="A143" s="28" t="s">
        <v>456</v>
      </c>
      <c r="F143" s="16" t="s">
        <v>280</v>
      </c>
      <c r="G143" s="16" t="s">
        <v>281</v>
      </c>
      <c r="H143" s="224" t="s">
        <v>768</v>
      </c>
      <c r="I143" s="16" t="s">
        <v>283</v>
      </c>
      <c r="J143" s="16" t="s">
        <v>284</v>
      </c>
      <c r="K143" s="20"/>
      <c r="L143" s="20"/>
      <c r="M143" s="8"/>
      <c r="N143" s="266"/>
    </row>
    <row r="144" spans="1:14" s="3" customFormat="1" ht="12.4"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4"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4"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4"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4"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4"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4"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4"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4"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4"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4" customHeight="1" x14ac:dyDescent="0.15">
      <c r="A154" s="1" t="s">
        <v>646</v>
      </c>
      <c r="B154" s="2" t="s">
        <v>324</v>
      </c>
      <c r="C154" s="6">
        <v>7</v>
      </c>
      <c r="D154" s="2" t="s">
        <v>430</v>
      </c>
      <c r="E154" s="6">
        <v>4520</v>
      </c>
      <c r="F154" s="24" t="s">
        <v>288</v>
      </c>
      <c r="G154" s="24" t="s">
        <v>288</v>
      </c>
      <c r="H154" s="18">
        <f>88514.32+15885.02+6807+21297.35</f>
        <v>132503.69</v>
      </c>
      <c r="I154" s="24" t="s">
        <v>288</v>
      </c>
      <c r="J154" s="24" t="s">
        <v>288</v>
      </c>
      <c r="K154" s="24" t="s">
        <v>288</v>
      </c>
      <c r="L154" s="24" t="s">
        <v>288</v>
      </c>
      <c r="M154" s="8"/>
      <c r="N154" s="266"/>
    </row>
    <row r="155" spans="1:14" s="3" customFormat="1" ht="12.4"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4"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4"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4" customHeight="1" x14ac:dyDescent="0.15">
      <c r="A158" s="1" t="s">
        <v>490</v>
      </c>
      <c r="B158" s="2" t="s">
        <v>324</v>
      </c>
      <c r="C158" s="6">
        <v>11</v>
      </c>
      <c r="D158" s="2" t="s">
        <v>430</v>
      </c>
      <c r="E158" s="6">
        <v>4560</v>
      </c>
      <c r="F158" s="24" t="s">
        <v>288</v>
      </c>
      <c r="G158" s="18">
        <v>90144.66</v>
      </c>
      <c r="H158" s="24" t="s">
        <v>288</v>
      </c>
      <c r="I158" s="24" t="s">
        <v>288</v>
      </c>
      <c r="J158" s="24" t="s">
        <v>288</v>
      </c>
      <c r="K158" s="24" t="s">
        <v>288</v>
      </c>
      <c r="L158" s="24" t="s">
        <v>288</v>
      </c>
      <c r="M158" s="8"/>
      <c r="N158" s="266"/>
    </row>
    <row r="159" spans="1:14" s="3" customFormat="1" ht="12.4" customHeight="1" x14ac:dyDescent="0.15">
      <c r="A159" s="1" t="s">
        <v>486</v>
      </c>
      <c r="B159" s="2" t="s">
        <v>324</v>
      </c>
      <c r="C159" s="6">
        <v>12</v>
      </c>
      <c r="D159" s="2" t="s">
        <v>430</v>
      </c>
      <c r="E159" s="6">
        <v>4570</v>
      </c>
      <c r="F159" s="18"/>
      <c r="G159" s="24" t="s">
        <v>288</v>
      </c>
      <c r="H159" s="18">
        <f>157643.53+37336.61+5445.43+8273.66+7603.5+46669.48+4015.91</f>
        <v>266988.12</v>
      </c>
      <c r="I159" s="24" t="s">
        <v>288</v>
      </c>
      <c r="J159" s="24" t="s">
        <v>288</v>
      </c>
      <c r="K159" s="24" t="s">
        <v>288</v>
      </c>
      <c r="L159" s="24" t="s">
        <v>288</v>
      </c>
      <c r="M159" s="8"/>
      <c r="N159" s="266"/>
    </row>
    <row r="160" spans="1:14" s="3" customFormat="1" ht="12.4" customHeight="1" x14ac:dyDescent="0.15">
      <c r="A160" s="1" t="s">
        <v>491</v>
      </c>
      <c r="B160" s="2" t="s">
        <v>324</v>
      </c>
      <c r="C160" s="6">
        <v>13</v>
      </c>
      <c r="D160" s="2" t="s">
        <v>430</v>
      </c>
      <c r="E160" s="6">
        <v>4580</v>
      </c>
      <c r="F160" s="18">
        <v>144366.18</v>
      </c>
      <c r="G160" s="24" t="s">
        <v>288</v>
      </c>
      <c r="H160" s="18"/>
      <c r="I160" s="24" t="s">
        <v>288</v>
      </c>
      <c r="J160" s="24" t="s">
        <v>288</v>
      </c>
      <c r="K160" s="24" t="s">
        <v>288</v>
      </c>
      <c r="L160" s="24" t="s">
        <v>288</v>
      </c>
      <c r="M160" s="8"/>
      <c r="N160" s="266"/>
    </row>
    <row r="161" spans="1:14" s="3" customFormat="1" ht="12.4"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4"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4" customHeight="1" thickTop="1" x14ac:dyDescent="0.15">
      <c r="A163" s="38" t="s">
        <v>436</v>
      </c>
      <c r="B163" s="39" t="s">
        <v>324</v>
      </c>
      <c r="C163" s="40">
        <v>16</v>
      </c>
      <c r="D163" s="39" t="s">
        <v>430</v>
      </c>
      <c r="E163" s="40"/>
      <c r="F163" s="41">
        <f>SUM(F150:F162)</f>
        <v>144366.18</v>
      </c>
      <c r="G163" s="41">
        <f>SUM(G150:G162)</f>
        <v>90144.66</v>
      </c>
      <c r="H163" s="41">
        <f>SUM(H150:H162)</f>
        <v>399491.81</v>
      </c>
      <c r="I163" s="41">
        <f>SUM(I150:I162)</f>
        <v>0</v>
      </c>
      <c r="J163" s="45" t="s">
        <v>288</v>
      </c>
      <c r="K163" s="45" t="s">
        <v>288</v>
      </c>
      <c r="L163" s="45" t="s">
        <v>288</v>
      </c>
      <c r="M163" s="8"/>
      <c r="N163" s="266"/>
    </row>
    <row r="164" spans="1:14" s="3" customFormat="1" ht="12.4"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4"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4"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4"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4"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4"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4" customHeight="1" thickTop="1" x14ac:dyDescent="0.15">
      <c r="A170" s="38" t="s">
        <v>458</v>
      </c>
      <c r="B170" s="39" t="s">
        <v>324</v>
      </c>
      <c r="C170" s="40">
        <v>21</v>
      </c>
      <c r="D170" s="39" t="s">
        <v>430</v>
      </c>
      <c r="E170" s="44">
        <v>4000</v>
      </c>
      <c r="F170" s="41">
        <f>F147+F163+SUM(F164:F169)</f>
        <v>144366.18</v>
      </c>
      <c r="G170" s="41">
        <f>G147+G163+SUM(G164:G169)</f>
        <v>90144.66</v>
      </c>
      <c r="H170" s="41">
        <f>H147+H163+SUM(H164:H169)</f>
        <v>399491.81</v>
      </c>
      <c r="I170" s="41">
        <f>I147+I163+SUM(I164:I169)</f>
        <v>0</v>
      </c>
      <c r="J170" s="45" t="s">
        <v>288</v>
      </c>
      <c r="K170" s="45" t="s">
        <v>288</v>
      </c>
      <c r="L170" s="45" t="s">
        <v>288</v>
      </c>
      <c r="M170" s="8"/>
      <c r="N170" s="266"/>
    </row>
    <row r="171" spans="1:14" s="3" customFormat="1" ht="12.4"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4" customHeight="1" x14ac:dyDescent="0.2">
      <c r="A172" s="29" t="s">
        <v>680</v>
      </c>
      <c r="F172" s="23"/>
      <c r="G172" s="23"/>
      <c r="H172" s="16" t="s">
        <v>282</v>
      </c>
      <c r="I172" s="23"/>
      <c r="J172" s="23"/>
      <c r="K172" s="20"/>
      <c r="L172" s="20"/>
      <c r="M172" s="8"/>
      <c r="N172" s="266"/>
    </row>
    <row r="173" spans="1:14" s="3" customFormat="1" ht="12.4"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4"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4"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4"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4"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4"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4"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4" customHeight="1" x14ac:dyDescent="0.15">
      <c r="A180" s="1" t="s">
        <v>524</v>
      </c>
      <c r="B180" s="2" t="s">
        <v>330</v>
      </c>
      <c r="C180" s="6">
        <v>6</v>
      </c>
      <c r="D180" s="2" t="s">
        <v>430</v>
      </c>
      <c r="E180" s="6">
        <v>5210</v>
      </c>
      <c r="F180" s="24" t="s">
        <v>288</v>
      </c>
      <c r="G180" s="18"/>
      <c r="H180" s="18"/>
      <c r="I180" s="18"/>
      <c r="J180" s="18">
        <v>75000</v>
      </c>
      <c r="K180" s="24" t="s">
        <v>288</v>
      </c>
      <c r="L180" s="24" t="s">
        <v>288</v>
      </c>
      <c r="M180" s="8"/>
      <c r="N180" s="266"/>
    </row>
    <row r="181" spans="1:14" s="3" customFormat="1" ht="12.4"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4"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4"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4"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75000</v>
      </c>
      <c r="K184" s="45" t="s">
        <v>288</v>
      </c>
      <c r="L184" s="45" t="s">
        <v>288</v>
      </c>
      <c r="M184" s="8"/>
      <c r="N184" s="266"/>
    </row>
    <row r="185" spans="1:14" s="3" customFormat="1" ht="12.4"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4"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4"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4"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4"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4"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4"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4"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4"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75000</v>
      </c>
      <c r="K193" s="45" t="s">
        <v>288</v>
      </c>
      <c r="L193" s="45" t="s">
        <v>288</v>
      </c>
      <c r="M193" s="8"/>
      <c r="N193" s="266"/>
    </row>
    <row r="194" spans="1:14" s="3" customFormat="1" ht="12.4" customHeight="1" thickTop="1" x14ac:dyDescent="0.2">
      <c r="A194" s="46" t="s">
        <v>457</v>
      </c>
      <c r="B194" s="39" t="s">
        <v>330</v>
      </c>
      <c r="C194" s="40">
        <v>19</v>
      </c>
      <c r="D194" s="157" t="s">
        <v>430</v>
      </c>
      <c r="E194" s="44"/>
      <c r="F194" s="47">
        <f>F112+F140+F170+F193</f>
        <v>19988054.34</v>
      </c>
      <c r="G194" s="47">
        <f>G112+G140+G170+G193</f>
        <v>250291.99</v>
      </c>
      <c r="H194" s="47">
        <f>H112+H140+H170+H193</f>
        <v>413461.81</v>
      </c>
      <c r="I194" s="47">
        <f>I112+I140+I170+I193</f>
        <v>7408.69</v>
      </c>
      <c r="J194" s="47">
        <f>J112+J140+J193</f>
        <v>77713.88</v>
      </c>
      <c r="K194" s="45" t="s">
        <v>288</v>
      </c>
      <c r="L194" s="45" t="s">
        <v>288</v>
      </c>
      <c r="M194" s="8"/>
      <c r="N194" s="266"/>
    </row>
    <row r="195" spans="1:14" s="3" customFormat="1" ht="12.4"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4"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4"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4" customHeight="1" x14ac:dyDescent="0.15">
      <c r="A198" s="1" t="s">
        <v>438</v>
      </c>
      <c r="B198" s="2" t="s">
        <v>341</v>
      </c>
      <c r="C198" s="2" t="s">
        <v>290</v>
      </c>
      <c r="D198" s="2" t="s">
        <v>431</v>
      </c>
      <c r="E198" s="6">
        <v>1100</v>
      </c>
      <c r="F198" s="18">
        <f>6269089.65</f>
        <v>6269089.6500000004</v>
      </c>
      <c r="G198" s="18">
        <f>2700653.05</f>
        <v>2700653.05</v>
      </c>
      <c r="H198" s="18"/>
      <c r="I198" s="18">
        <v>200531.41</v>
      </c>
      <c r="J198" s="18"/>
      <c r="K198" s="18"/>
      <c r="L198" s="19">
        <f>SUM(F198:K198)</f>
        <v>9170274.1099999994</v>
      </c>
      <c r="M198" s="8"/>
      <c r="N198" s="266"/>
    </row>
    <row r="199" spans="1:14" s="3" customFormat="1" ht="12.4" customHeight="1" x14ac:dyDescent="0.15">
      <c r="A199" s="1" t="s">
        <v>439</v>
      </c>
      <c r="B199" s="2" t="s">
        <v>341</v>
      </c>
      <c r="C199" s="2" t="s">
        <v>291</v>
      </c>
      <c r="D199" s="2" t="s">
        <v>431</v>
      </c>
      <c r="E199" s="6">
        <v>1200</v>
      </c>
      <c r="F199" s="18">
        <f>2738445.03</f>
        <v>2738445.03</v>
      </c>
      <c r="G199" s="18">
        <f>1179691.21</f>
        <v>1179691.21</v>
      </c>
      <c r="H199" s="18">
        <f>443500.69</f>
        <v>443500.69</v>
      </c>
      <c r="I199" s="18">
        <f>24775.56</f>
        <v>24775.56</v>
      </c>
      <c r="J199" s="18">
        <f>2079.5</f>
        <v>2079.5</v>
      </c>
      <c r="K199" s="18"/>
      <c r="L199" s="19">
        <f>SUM(F199:K199)</f>
        <v>4388491.9899999993</v>
      </c>
      <c r="M199" s="8"/>
      <c r="N199" s="266"/>
    </row>
    <row r="200" spans="1:14" s="3" customFormat="1" ht="12.4"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4" customHeight="1" x14ac:dyDescent="0.15">
      <c r="A201" s="1" t="s">
        <v>441</v>
      </c>
      <c r="B201" s="2" t="s">
        <v>341</v>
      </c>
      <c r="C201" s="2" t="s">
        <v>293</v>
      </c>
      <c r="D201" s="2" t="s">
        <v>431</v>
      </c>
      <c r="E201" s="6">
        <v>1400</v>
      </c>
      <c r="F201" s="18">
        <v>42123.94</v>
      </c>
      <c r="G201" s="18">
        <v>18146.52</v>
      </c>
      <c r="H201" s="18"/>
      <c r="I201" s="18"/>
      <c r="J201" s="18"/>
      <c r="K201" s="18"/>
      <c r="L201" s="19">
        <f>SUM(F201:K201)</f>
        <v>60270.460000000006</v>
      </c>
      <c r="M201" s="8"/>
      <c r="N201" s="266"/>
    </row>
    <row r="202" spans="1:14" s="3" customFormat="1" ht="12.4"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4" customHeight="1" x14ac:dyDescent="0.15">
      <c r="A203" s="1" t="s">
        <v>442</v>
      </c>
      <c r="B203" s="2" t="s">
        <v>341</v>
      </c>
      <c r="C203" s="2" t="s">
        <v>294</v>
      </c>
      <c r="D203" s="2" t="s">
        <v>431</v>
      </c>
      <c r="E203" s="6">
        <v>2100</v>
      </c>
      <c r="F203" s="18">
        <v>1251335.55</v>
      </c>
      <c r="G203" s="18">
        <v>539061.23</v>
      </c>
      <c r="H203" s="18">
        <f>16314</f>
        <v>16314</v>
      </c>
      <c r="I203" s="18">
        <v>5915.43</v>
      </c>
      <c r="J203" s="18"/>
      <c r="K203" s="18"/>
      <c r="L203" s="19">
        <f t="shared" ref="L203:L209" si="0">SUM(F203:K203)</f>
        <v>1812626.21</v>
      </c>
      <c r="M203" s="8"/>
      <c r="N203" s="266"/>
    </row>
    <row r="204" spans="1:14" s="3" customFormat="1" ht="12.4" customHeight="1" x14ac:dyDescent="0.15">
      <c r="A204" s="1" t="s">
        <v>443</v>
      </c>
      <c r="B204" s="2" t="s">
        <v>341</v>
      </c>
      <c r="C204" s="2" t="s">
        <v>295</v>
      </c>
      <c r="D204" s="2" t="s">
        <v>431</v>
      </c>
      <c r="E204" s="6">
        <v>2200</v>
      </c>
      <c r="F204" s="18">
        <v>439036.98</v>
      </c>
      <c r="G204" s="18">
        <v>189132.18</v>
      </c>
      <c r="H204" s="18">
        <f>62924.53</f>
        <v>62924.53</v>
      </c>
      <c r="I204" s="18">
        <v>20498.96</v>
      </c>
      <c r="J204" s="18"/>
      <c r="K204" s="18"/>
      <c r="L204" s="19">
        <f t="shared" si="0"/>
        <v>711592.64999999991</v>
      </c>
      <c r="M204" s="8"/>
      <c r="N204" s="266"/>
    </row>
    <row r="205" spans="1:14" s="3" customFormat="1" ht="12.4" customHeight="1" x14ac:dyDescent="0.15">
      <c r="A205" s="1" t="s">
        <v>444</v>
      </c>
      <c r="B205" s="2" t="s">
        <v>341</v>
      </c>
      <c r="C205" s="2" t="s">
        <v>296</v>
      </c>
      <c r="D205" s="2" t="s">
        <v>431</v>
      </c>
      <c r="E205" s="6">
        <v>2300</v>
      </c>
      <c r="F205" s="18">
        <v>7400</v>
      </c>
      <c r="G205" s="18">
        <v>3187.84</v>
      </c>
      <c r="H205" s="18">
        <v>364395.4</v>
      </c>
      <c r="I205" s="18"/>
      <c r="J205" s="18"/>
      <c r="K205" s="18"/>
      <c r="L205" s="19">
        <f t="shared" si="0"/>
        <v>374983.24000000005</v>
      </c>
      <c r="M205" s="8"/>
      <c r="N205" s="266"/>
    </row>
    <row r="206" spans="1:14" s="3" customFormat="1" ht="12.4" customHeight="1" x14ac:dyDescent="0.15">
      <c r="A206" s="1" t="s">
        <v>445</v>
      </c>
      <c r="B206" s="2" t="s">
        <v>341</v>
      </c>
      <c r="C206" s="2" t="s">
        <v>297</v>
      </c>
      <c r="D206" s="2" t="s">
        <v>431</v>
      </c>
      <c r="E206" s="6">
        <v>2400</v>
      </c>
      <c r="F206" s="18">
        <v>613297.22</v>
      </c>
      <c r="G206" s="18">
        <v>264201.52</v>
      </c>
      <c r="H206" s="18">
        <v>67065.25</v>
      </c>
      <c r="I206" s="18">
        <v>24551.45</v>
      </c>
      <c r="J206" s="18">
        <v>1281.2</v>
      </c>
      <c r="K206" s="18">
        <v>3753</v>
      </c>
      <c r="L206" s="19">
        <f t="shared" si="0"/>
        <v>974149.6399999999</v>
      </c>
      <c r="M206" s="8"/>
      <c r="N206" s="266"/>
    </row>
    <row r="207" spans="1:14" s="3" customFormat="1" ht="12.4"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4" customHeight="1" x14ac:dyDescent="0.15">
      <c r="A208" s="1" t="s">
        <v>447</v>
      </c>
      <c r="B208" s="2" t="s">
        <v>341</v>
      </c>
      <c r="C208" s="2" t="s">
        <v>299</v>
      </c>
      <c r="D208" s="2" t="s">
        <v>431</v>
      </c>
      <c r="E208" s="6">
        <v>2600</v>
      </c>
      <c r="F208" s="18">
        <v>392449.17</v>
      </c>
      <c r="G208" s="18">
        <v>169062.67</v>
      </c>
      <c r="H208" s="18">
        <v>388917.5</v>
      </c>
      <c r="I208" s="18">
        <v>251688.6</v>
      </c>
      <c r="J208" s="18">
        <v>14701.34</v>
      </c>
      <c r="K208" s="18"/>
      <c r="L208" s="19">
        <f t="shared" si="0"/>
        <v>1216819.28</v>
      </c>
      <c r="M208" s="8"/>
      <c r="N208" s="266"/>
    </row>
    <row r="209" spans="1:14" s="3" customFormat="1" ht="12.4" customHeight="1" x14ac:dyDescent="0.15">
      <c r="A209" s="1" t="s">
        <v>448</v>
      </c>
      <c r="B209" s="2" t="s">
        <v>341</v>
      </c>
      <c r="C209" s="2" t="s">
        <v>300</v>
      </c>
      <c r="D209" s="2" t="s">
        <v>431</v>
      </c>
      <c r="E209" s="6">
        <v>2700</v>
      </c>
      <c r="F209" s="18"/>
      <c r="G209" s="18"/>
      <c r="H209" s="18">
        <v>529421.36</v>
      </c>
      <c r="I209" s="18"/>
      <c r="J209" s="18"/>
      <c r="K209" s="18"/>
      <c r="L209" s="19">
        <f t="shared" si="0"/>
        <v>529421.36</v>
      </c>
      <c r="M209" s="8"/>
      <c r="N209" s="266"/>
    </row>
    <row r="210" spans="1:14" s="3" customFormat="1" ht="12.4"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4"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4" customHeight="1" thickTop="1" x14ac:dyDescent="0.15">
      <c r="A212" s="38" t="s">
        <v>419</v>
      </c>
      <c r="B212" s="39" t="s">
        <v>341</v>
      </c>
      <c r="C212" s="39" t="s">
        <v>345</v>
      </c>
      <c r="D212" s="39" t="s">
        <v>431</v>
      </c>
      <c r="E212" s="39"/>
      <c r="F212" s="41">
        <f t="shared" ref="F212:L212" si="1">SUM(F198:F211)</f>
        <v>11753177.540000001</v>
      </c>
      <c r="G212" s="41">
        <f t="shared" si="1"/>
        <v>5063136.2199999988</v>
      </c>
      <c r="H212" s="41">
        <f t="shared" si="1"/>
        <v>1872538.73</v>
      </c>
      <c r="I212" s="41">
        <f t="shared" si="1"/>
        <v>527961.41</v>
      </c>
      <c r="J212" s="41">
        <f t="shared" si="1"/>
        <v>18062.04</v>
      </c>
      <c r="K212" s="41">
        <f t="shared" si="1"/>
        <v>3753</v>
      </c>
      <c r="L212" s="41">
        <f t="shared" si="1"/>
        <v>19238628.940000001</v>
      </c>
      <c r="M212" s="8"/>
      <c r="N212" s="266"/>
    </row>
    <row r="213" spans="1:14" s="3" customFormat="1" ht="12.4"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4"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4"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4"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4"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4"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4"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4"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4"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4"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4"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4"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4"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4"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4"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4"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4"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4"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4"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4"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4"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4"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4"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4"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4"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4"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4"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4"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4"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4"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4"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4"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4"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4"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4"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4"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4"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4"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4"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4"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4"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4"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4"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4"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4"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4" customHeight="1" thickTop="1" x14ac:dyDescent="0.15">
      <c r="A258" s="38" t="s">
        <v>462</v>
      </c>
      <c r="B258" s="40">
        <v>10</v>
      </c>
      <c r="C258" s="40">
        <v>8</v>
      </c>
      <c r="D258" s="39" t="s">
        <v>431</v>
      </c>
      <c r="E258" s="40"/>
      <c r="F258" s="41">
        <f t="shared" ref="F258:L258" si="8">F212+F230+F248+F257</f>
        <v>11753177.540000001</v>
      </c>
      <c r="G258" s="41">
        <f t="shared" si="8"/>
        <v>5063136.2199999988</v>
      </c>
      <c r="H258" s="41">
        <f t="shared" si="8"/>
        <v>1872538.73</v>
      </c>
      <c r="I258" s="41">
        <f t="shared" si="8"/>
        <v>527961.41</v>
      </c>
      <c r="J258" s="41">
        <f t="shared" si="8"/>
        <v>18062.04</v>
      </c>
      <c r="K258" s="41">
        <f t="shared" si="8"/>
        <v>3753</v>
      </c>
      <c r="L258" s="41">
        <f t="shared" si="8"/>
        <v>19238628.940000001</v>
      </c>
      <c r="M258" s="8"/>
      <c r="N258" s="266"/>
    </row>
    <row r="259" spans="1:14" s="3" customFormat="1" ht="12.4" customHeight="1" x14ac:dyDescent="0.15">
      <c r="A259" s="34" t="s">
        <v>354</v>
      </c>
      <c r="F259" s="13"/>
      <c r="G259" s="13"/>
      <c r="H259" s="13"/>
      <c r="I259" s="13"/>
      <c r="J259" s="13"/>
      <c r="K259" s="14" t="s">
        <v>286</v>
      </c>
      <c r="L259" s="14" t="s">
        <v>355</v>
      </c>
      <c r="M259" s="8"/>
      <c r="N259" s="266"/>
    </row>
    <row r="260" spans="1:14" s="3" customFormat="1" ht="12.4"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4" customHeight="1" x14ac:dyDescent="0.2">
      <c r="A261" s="1" t="s">
        <v>520</v>
      </c>
      <c r="B261" s="2" t="s">
        <v>352</v>
      </c>
      <c r="C261" s="6">
        <v>9</v>
      </c>
      <c r="D261" s="2" t="s">
        <v>431</v>
      </c>
      <c r="E261" s="6">
        <v>5110</v>
      </c>
      <c r="F261" s="24" t="s">
        <v>288</v>
      </c>
      <c r="G261" s="24" t="s">
        <v>288</v>
      </c>
      <c r="H261" s="24" t="s">
        <v>288</v>
      </c>
      <c r="I261" s="24" t="s">
        <v>288</v>
      </c>
      <c r="J261" s="24" t="s">
        <v>288</v>
      </c>
      <c r="K261" s="18">
        <v>470000</v>
      </c>
      <c r="L261" s="19">
        <f>SUM(F261:K261)</f>
        <v>470000</v>
      </c>
      <c r="N261" s="264"/>
    </row>
    <row r="262" spans="1:14" ht="12.4" customHeight="1" x14ac:dyDescent="0.2">
      <c r="A262" s="1" t="s">
        <v>532</v>
      </c>
      <c r="B262" s="2" t="s">
        <v>352</v>
      </c>
      <c r="C262" s="6">
        <v>10</v>
      </c>
      <c r="D262" s="2" t="s">
        <v>431</v>
      </c>
      <c r="E262" s="6">
        <v>5120</v>
      </c>
      <c r="F262" s="24" t="s">
        <v>288</v>
      </c>
      <c r="G262" s="24" t="s">
        <v>288</v>
      </c>
      <c r="H262" s="24" t="s">
        <v>288</v>
      </c>
      <c r="I262" s="24" t="s">
        <v>288</v>
      </c>
      <c r="J262" s="24" t="s">
        <v>288</v>
      </c>
      <c r="K262" s="18">
        <v>165898</v>
      </c>
      <c r="L262" s="19">
        <f>SUM(F262:K262)</f>
        <v>165898</v>
      </c>
      <c r="N262" s="264"/>
    </row>
    <row r="263" spans="1:14" ht="12.4"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4"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4"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4"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4" customHeight="1" x14ac:dyDescent="0.2">
      <c r="A267" s="3" t="s">
        <v>535</v>
      </c>
      <c r="B267" s="6">
        <v>10</v>
      </c>
      <c r="C267" s="6">
        <v>14</v>
      </c>
      <c r="D267" s="2" t="s">
        <v>431</v>
      </c>
      <c r="E267" s="6">
        <v>5250</v>
      </c>
      <c r="F267" s="24" t="s">
        <v>288</v>
      </c>
      <c r="G267" s="24" t="s">
        <v>288</v>
      </c>
      <c r="H267" s="24" t="s">
        <v>288</v>
      </c>
      <c r="I267" s="24" t="s">
        <v>288</v>
      </c>
      <c r="J267" s="24" t="s">
        <v>288</v>
      </c>
      <c r="K267" s="18">
        <v>75000</v>
      </c>
      <c r="L267" s="19">
        <f t="shared" si="9"/>
        <v>75000</v>
      </c>
      <c r="N267" s="264"/>
    </row>
    <row r="268" spans="1:14" ht="12.4"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4"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4"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4"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710898</v>
      </c>
      <c r="L271" s="41">
        <f t="shared" si="9"/>
        <v>710898</v>
      </c>
      <c r="M271" s="8"/>
      <c r="N271" s="266"/>
    </row>
    <row r="272" spans="1:14" s="34" customFormat="1" ht="12.4" customHeight="1" thickTop="1" x14ac:dyDescent="0.2">
      <c r="A272" s="43" t="s">
        <v>464</v>
      </c>
      <c r="B272" s="40">
        <v>10</v>
      </c>
      <c r="C272" s="40">
        <v>18</v>
      </c>
      <c r="D272" s="39" t="s">
        <v>431</v>
      </c>
      <c r="E272" s="40"/>
      <c r="F272" s="42">
        <f t="shared" ref="F272:L272" si="11">F258+F271</f>
        <v>11753177.540000001</v>
      </c>
      <c r="G272" s="42">
        <f t="shared" si="11"/>
        <v>5063136.2199999988</v>
      </c>
      <c r="H272" s="42">
        <f t="shared" si="11"/>
        <v>1872538.73</v>
      </c>
      <c r="I272" s="42">
        <f t="shared" si="11"/>
        <v>527961.41</v>
      </c>
      <c r="J272" s="42">
        <f t="shared" si="11"/>
        <v>18062.04</v>
      </c>
      <c r="K272" s="42">
        <f t="shared" si="11"/>
        <v>714651</v>
      </c>
      <c r="L272" s="42">
        <f t="shared" si="11"/>
        <v>19949526.940000001</v>
      </c>
      <c r="M272" s="35"/>
      <c r="N272" s="266"/>
    </row>
    <row r="273" spans="1:14" s="3" customFormat="1" ht="12.4" customHeight="1" x14ac:dyDescent="0.2">
      <c r="A273" s="33"/>
      <c r="B273" s="6"/>
      <c r="C273" s="6"/>
      <c r="D273" s="6"/>
      <c r="E273" s="6"/>
      <c r="F273" s="20"/>
      <c r="G273" s="20"/>
      <c r="H273" s="20"/>
      <c r="I273" s="20"/>
      <c r="J273" s="20"/>
      <c r="K273" s="20"/>
      <c r="L273" s="20"/>
      <c r="M273" s="8"/>
      <c r="N273" s="266"/>
    </row>
    <row r="274" spans="1:14" s="3" customFormat="1" ht="12.4" customHeight="1" x14ac:dyDescent="0.15">
      <c r="A274" s="29" t="s">
        <v>466</v>
      </c>
      <c r="F274" s="177" t="s">
        <v>689</v>
      </c>
      <c r="G274" s="177" t="s">
        <v>690</v>
      </c>
      <c r="H274" s="177" t="s">
        <v>691</v>
      </c>
      <c r="I274" s="177" t="s">
        <v>692</v>
      </c>
      <c r="J274" s="177" t="s">
        <v>693</v>
      </c>
      <c r="K274" s="177" t="s">
        <v>694</v>
      </c>
      <c r="M274" s="8"/>
      <c r="N274" s="266"/>
    </row>
    <row r="275" spans="1:14" s="3" customFormat="1" ht="12.4"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4"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4" customHeight="1" x14ac:dyDescent="0.15">
      <c r="A277" s="1" t="s">
        <v>438</v>
      </c>
      <c r="B277" s="2" t="s">
        <v>357</v>
      </c>
      <c r="C277" s="2" t="s">
        <v>290</v>
      </c>
      <c r="D277" s="2" t="s">
        <v>431</v>
      </c>
      <c r="E277" s="6">
        <v>1100</v>
      </c>
      <c r="F277" s="18">
        <v>88514.32</v>
      </c>
      <c r="G277" s="18">
        <v>15885.02</v>
      </c>
      <c r="H277" s="18">
        <v>6807</v>
      </c>
      <c r="I277" s="18"/>
      <c r="J277" s="18"/>
      <c r="K277" s="18"/>
      <c r="L277" s="19">
        <f>SUM(F277:K277)</f>
        <v>111206.34000000001</v>
      </c>
      <c r="M277" s="8"/>
      <c r="N277" s="266"/>
    </row>
    <row r="278" spans="1:14" s="3" customFormat="1" ht="12.4" customHeight="1" x14ac:dyDescent="0.15">
      <c r="A278" s="1" t="s">
        <v>439</v>
      </c>
      <c r="B278" s="2" t="s">
        <v>357</v>
      </c>
      <c r="C278" s="2" t="s">
        <v>291</v>
      </c>
      <c r="D278" s="2" t="s">
        <v>431</v>
      </c>
      <c r="E278" s="6">
        <v>1200</v>
      </c>
      <c r="F278" s="18">
        <v>157643.53</v>
      </c>
      <c r="G278" s="18">
        <v>37336.61</v>
      </c>
      <c r="H278" s="18">
        <v>5445.43</v>
      </c>
      <c r="I278" s="18">
        <v>8273.66</v>
      </c>
      <c r="J278" s="18">
        <v>7603.5</v>
      </c>
      <c r="K278" s="18"/>
      <c r="L278" s="19">
        <f>SUM(F278:K278)</f>
        <v>216302.73</v>
      </c>
      <c r="M278" s="8"/>
      <c r="N278" s="266"/>
    </row>
    <row r="279" spans="1:14" s="3" customFormat="1" ht="12.4"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4"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4"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4" customHeight="1" x14ac:dyDescent="0.15">
      <c r="A282" s="1" t="s">
        <v>442</v>
      </c>
      <c r="B282" s="2" t="s">
        <v>357</v>
      </c>
      <c r="C282" s="2" t="s">
        <v>294</v>
      </c>
      <c r="D282" s="2" t="s">
        <v>431</v>
      </c>
      <c r="E282" s="6">
        <v>2100</v>
      </c>
      <c r="F282" s="18">
        <v>8370.57</v>
      </c>
      <c r="G282" s="18"/>
      <c r="H282" s="18">
        <v>21297.35</v>
      </c>
      <c r="I282" s="18">
        <v>730.76</v>
      </c>
      <c r="J282" s="18"/>
      <c r="K282" s="18"/>
      <c r="L282" s="19">
        <f t="shared" ref="L282:L288" si="12">SUM(F282:K282)</f>
        <v>30398.679999999997</v>
      </c>
      <c r="M282" s="8"/>
      <c r="N282" s="266"/>
    </row>
    <row r="283" spans="1:14" s="3" customFormat="1" ht="12.4" customHeight="1" x14ac:dyDescent="0.15">
      <c r="A283" s="1" t="s">
        <v>443</v>
      </c>
      <c r="B283" s="2" t="s">
        <v>357</v>
      </c>
      <c r="C283" s="2" t="s">
        <v>295</v>
      </c>
      <c r="D283" s="2" t="s">
        <v>431</v>
      </c>
      <c r="E283" s="6">
        <v>2200</v>
      </c>
      <c r="F283" s="18"/>
      <c r="G283" s="18"/>
      <c r="H283" s="18">
        <v>46669.48</v>
      </c>
      <c r="I283" s="18"/>
      <c r="J283" s="18"/>
      <c r="K283" s="18"/>
      <c r="L283" s="19">
        <f t="shared" si="12"/>
        <v>46669.48</v>
      </c>
      <c r="M283" s="8"/>
      <c r="N283" s="266"/>
    </row>
    <row r="284" spans="1:14" s="3" customFormat="1" ht="12.4"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4"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4"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4"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4"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4" customHeight="1" x14ac:dyDescent="0.15">
      <c r="A289" s="1" t="s">
        <v>449</v>
      </c>
      <c r="B289" s="2" t="s">
        <v>357</v>
      </c>
      <c r="C289" s="2" t="s">
        <v>343</v>
      </c>
      <c r="D289" s="2" t="s">
        <v>431</v>
      </c>
      <c r="E289" s="6">
        <v>2800</v>
      </c>
      <c r="F289" s="18"/>
      <c r="G289" s="18"/>
      <c r="H289" s="18">
        <v>4015.91</v>
      </c>
      <c r="I289" s="18"/>
      <c r="J289" s="18"/>
      <c r="K289" s="18"/>
      <c r="L289" s="19">
        <f>SUM(F289:K289)</f>
        <v>4015.91</v>
      </c>
      <c r="M289" s="8"/>
      <c r="N289" s="266"/>
    </row>
    <row r="290" spans="1:14" s="3" customFormat="1" ht="12.4"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4" customHeight="1" thickTop="1" x14ac:dyDescent="0.2">
      <c r="A291" s="38" t="s">
        <v>419</v>
      </c>
      <c r="B291" s="39" t="s">
        <v>357</v>
      </c>
      <c r="C291" s="39" t="s">
        <v>345</v>
      </c>
      <c r="D291" s="39" t="s">
        <v>431</v>
      </c>
      <c r="E291" s="39"/>
      <c r="F291" s="42">
        <f t="shared" ref="F291:L291" si="13">SUM(F277:F290)</f>
        <v>254528.42</v>
      </c>
      <c r="G291" s="42">
        <f t="shared" si="13"/>
        <v>53221.630000000005</v>
      </c>
      <c r="H291" s="42">
        <f t="shared" si="13"/>
        <v>84235.170000000013</v>
      </c>
      <c r="I291" s="42">
        <f t="shared" si="13"/>
        <v>9004.42</v>
      </c>
      <c r="J291" s="42">
        <f t="shared" si="13"/>
        <v>7603.5</v>
      </c>
      <c r="K291" s="42">
        <f t="shared" si="13"/>
        <v>0</v>
      </c>
      <c r="L291" s="41">
        <f t="shared" si="13"/>
        <v>408593.13999999996</v>
      </c>
      <c r="M291" s="8"/>
      <c r="N291" s="266"/>
    </row>
    <row r="292" spans="1:14" s="3" customFormat="1" ht="12.4" customHeight="1" x14ac:dyDescent="0.2">
      <c r="A292" s="70"/>
      <c r="B292" s="36"/>
      <c r="C292" s="36"/>
      <c r="D292" s="36"/>
      <c r="E292" s="36"/>
      <c r="F292" s="53"/>
      <c r="G292" s="53"/>
      <c r="H292" s="53"/>
      <c r="I292" s="53"/>
      <c r="J292" s="53"/>
      <c r="K292" s="53"/>
      <c r="L292" s="67"/>
      <c r="M292" s="8"/>
      <c r="N292" s="266"/>
    </row>
    <row r="293" spans="1:14" s="3" customFormat="1" ht="12.4"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4"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4"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4"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4"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4"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4"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4"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4"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4"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4"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4"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4"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4"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4"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4"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4"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4"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4" customHeight="1" x14ac:dyDescent="0.2">
      <c r="A311" s="70"/>
      <c r="B311" s="36"/>
      <c r="C311" s="37"/>
      <c r="D311" s="37"/>
      <c r="E311" s="37"/>
      <c r="F311" s="53"/>
      <c r="G311" s="53"/>
      <c r="H311" s="53"/>
      <c r="I311" s="53"/>
      <c r="J311" s="53"/>
      <c r="K311" s="53"/>
      <c r="L311" s="67"/>
      <c r="M311" s="8"/>
      <c r="N311" s="266"/>
    </row>
    <row r="312" spans="1:14" s="3" customFormat="1" ht="12.4"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4"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4"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4"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4"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4"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4"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4"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4"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4"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4"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4"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4"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4"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4"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4"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4"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4"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4" customHeight="1" x14ac:dyDescent="0.2">
      <c r="A330" s="70"/>
      <c r="B330" s="36"/>
      <c r="C330" s="37"/>
      <c r="D330" s="37"/>
      <c r="E330" s="37"/>
      <c r="F330" s="53"/>
      <c r="G330" s="53"/>
      <c r="H330" s="53"/>
      <c r="I330" s="53"/>
      <c r="J330" s="53"/>
      <c r="K330" s="53"/>
      <c r="L330" s="67"/>
      <c r="M330" s="8"/>
      <c r="N330" s="266"/>
    </row>
    <row r="331" spans="1:14" s="3" customFormat="1" ht="12.4"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4"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4"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4"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4"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4"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4"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4"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4" customHeight="1" thickTop="1" x14ac:dyDescent="0.15">
      <c r="A339" s="38" t="s">
        <v>468</v>
      </c>
      <c r="B339" s="40">
        <v>14</v>
      </c>
      <c r="C339" s="40">
        <v>7</v>
      </c>
      <c r="D339" s="39" t="s">
        <v>431</v>
      </c>
      <c r="E339" s="40"/>
      <c r="F339" s="41">
        <f t="shared" ref="F339:L339" si="20">F291+F310+F329+F338</f>
        <v>254528.42</v>
      </c>
      <c r="G339" s="41">
        <f t="shared" si="20"/>
        <v>53221.630000000005</v>
      </c>
      <c r="H339" s="41">
        <f t="shared" si="20"/>
        <v>84235.170000000013</v>
      </c>
      <c r="I339" s="41">
        <f t="shared" si="20"/>
        <v>9004.42</v>
      </c>
      <c r="J339" s="41">
        <f t="shared" si="20"/>
        <v>7603.5</v>
      </c>
      <c r="K339" s="41">
        <f t="shared" si="20"/>
        <v>0</v>
      </c>
      <c r="L339" s="41">
        <f t="shared" si="20"/>
        <v>408593.13999999996</v>
      </c>
      <c r="M339" s="8"/>
      <c r="N339" s="266"/>
    </row>
    <row r="340" spans="1:43" s="3" customFormat="1" ht="12.4" customHeight="1" x14ac:dyDescent="0.15">
      <c r="A340" s="29" t="s">
        <v>354</v>
      </c>
      <c r="F340" s="18"/>
      <c r="G340" s="18"/>
      <c r="H340" s="18"/>
      <c r="I340" s="18"/>
      <c r="J340" s="18"/>
      <c r="K340" s="18"/>
      <c r="L340" s="19"/>
      <c r="M340" s="8"/>
      <c r="N340" s="266"/>
    </row>
    <row r="341" spans="1:43" s="3" customFormat="1" ht="12.4"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4"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4"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4"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4"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4"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4"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4"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4"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4"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4"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4"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4" customHeight="1" thickTop="1" x14ac:dyDescent="0.15">
      <c r="A353" s="38" t="s">
        <v>469</v>
      </c>
      <c r="B353" s="40">
        <v>14</v>
      </c>
      <c r="C353" s="40">
        <v>17</v>
      </c>
      <c r="D353" s="39" t="s">
        <v>431</v>
      </c>
      <c r="E353" s="40"/>
      <c r="F353" s="41">
        <f>F339</f>
        <v>254528.42</v>
      </c>
      <c r="G353" s="41">
        <f>G339</f>
        <v>53221.630000000005</v>
      </c>
      <c r="H353" s="41">
        <f>H339</f>
        <v>84235.170000000013</v>
      </c>
      <c r="I353" s="41">
        <f>I339</f>
        <v>9004.42</v>
      </c>
      <c r="J353" s="41">
        <f>J339</f>
        <v>7603.5</v>
      </c>
      <c r="K353" s="47">
        <f>K339+K352</f>
        <v>0</v>
      </c>
      <c r="L353" s="41">
        <f>L339+L352</f>
        <v>408593.13999999996</v>
      </c>
      <c r="M353" s="8"/>
      <c r="N353" s="266"/>
    </row>
    <row r="354" spans="1:22" s="3" customFormat="1" ht="12.4" customHeight="1" x14ac:dyDescent="0.15">
      <c r="A354" s="70"/>
      <c r="B354" s="37"/>
      <c r="C354" s="23"/>
      <c r="D354" s="23"/>
      <c r="E354" s="23"/>
      <c r="F354" s="67"/>
      <c r="G354" s="67"/>
      <c r="H354" s="67"/>
      <c r="I354" s="67"/>
      <c r="J354" s="67"/>
      <c r="K354" s="56"/>
      <c r="L354" s="67"/>
      <c r="M354" s="8"/>
      <c r="N354" s="266"/>
    </row>
    <row r="355" spans="1:22" s="3" customFormat="1" ht="12.4"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4"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4"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4"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4" customHeight="1" x14ac:dyDescent="0.15">
      <c r="A359" s="3" t="s">
        <v>541</v>
      </c>
      <c r="B359" s="2" t="s">
        <v>366</v>
      </c>
      <c r="C359" s="6">
        <v>1</v>
      </c>
      <c r="D359" s="2" t="s">
        <v>431</v>
      </c>
      <c r="E359" s="6"/>
      <c r="F359" s="18">
        <v>131773.82999999999</v>
      </c>
      <c r="G359" s="18">
        <v>45275.34</v>
      </c>
      <c r="H359" s="18">
        <v>10460.17</v>
      </c>
      <c r="I359" s="18">
        <v>61333.51</v>
      </c>
      <c r="J359" s="18">
        <v>859.7</v>
      </c>
      <c r="K359" s="18">
        <v>589.44000000000005</v>
      </c>
      <c r="L359" s="13">
        <f>SUM(F359:K359)</f>
        <v>250291.99000000002</v>
      </c>
      <c r="M359" s="8"/>
      <c r="N359" s="266"/>
    </row>
    <row r="360" spans="1:22" s="3" customFormat="1" ht="12.4"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4"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4"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4" customHeight="1" thickTop="1" x14ac:dyDescent="0.15">
      <c r="A363" s="46" t="s">
        <v>469</v>
      </c>
      <c r="B363" s="39" t="s">
        <v>366</v>
      </c>
      <c r="C363" s="40">
        <v>5</v>
      </c>
      <c r="D363" s="39" t="s">
        <v>431</v>
      </c>
      <c r="E363" s="40"/>
      <c r="F363" s="47">
        <f t="shared" ref="F363:L363" si="22">SUM(F359:F362)</f>
        <v>131773.82999999999</v>
      </c>
      <c r="G363" s="47">
        <f t="shared" si="22"/>
        <v>45275.34</v>
      </c>
      <c r="H363" s="47">
        <f t="shared" si="22"/>
        <v>10460.17</v>
      </c>
      <c r="I363" s="47">
        <f t="shared" si="22"/>
        <v>61333.51</v>
      </c>
      <c r="J363" s="47">
        <f t="shared" si="22"/>
        <v>859.7</v>
      </c>
      <c r="K363" s="47">
        <f t="shared" si="22"/>
        <v>589.44000000000005</v>
      </c>
      <c r="L363" s="47">
        <f t="shared" si="22"/>
        <v>250291.99000000002</v>
      </c>
      <c r="M363" s="8"/>
      <c r="N363" s="266"/>
    </row>
    <row r="364" spans="1:22" s="3" customFormat="1" ht="12.4" customHeight="1" x14ac:dyDescent="0.15">
      <c r="A364" s="55"/>
      <c r="B364" s="36"/>
      <c r="C364" s="37"/>
      <c r="D364" s="37"/>
      <c r="E364" s="37"/>
      <c r="F364" s="56"/>
      <c r="G364" s="56"/>
      <c r="H364" s="56"/>
      <c r="I364" s="56"/>
      <c r="J364" s="56"/>
      <c r="K364" s="56"/>
      <c r="L364" s="56"/>
      <c r="M364" s="8"/>
      <c r="N364" s="266"/>
    </row>
    <row r="365" spans="1:22" s="3" customFormat="1" ht="12.4" customHeight="1" x14ac:dyDescent="0.15">
      <c r="A365" s="55" t="s">
        <v>369</v>
      </c>
      <c r="B365" s="36"/>
      <c r="C365" s="37"/>
      <c r="D365" s="37"/>
      <c r="E365" s="37"/>
      <c r="F365" s="56"/>
      <c r="G365" s="56"/>
      <c r="H365" s="56"/>
      <c r="I365" s="56"/>
      <c r="J365" s="56"/>
      <c r="K365" s="56"/>
      <c r="L365" s="56"/>
      <c r="M365" s="8"/>
      <c r="N365" s="266"/>
    </row>
    <row r="366" spans="1:22" s="3" customFormat="1" ht="12.4"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4"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4" customHeight="1" x14ac:dyDescent="0.15">
      <c r="A368" s="58" t="s">
        <v>371</v>
      </c>
      <c r="B368" s="2" t="s">
        <v>366</v>
      </c>
      <c r="C368" s="2" t="s">
        <v>295</v>
      </c>
      <c r="D368" s="2" t="s">
        <v>432</v>
      </c>
      <c r="E368" s="2"/>
      <c r="F368" s="18">
        <v>55389.51</v>
      </c>
      <c r="G368" s="18"/>
      <c r="H368" s="18"/>
      <c r="I368" s="56">
        <f>SUM(F368:H368)</f>
        <v>55389.51</v>
      </c>
      <c r="J368" s="24" t="s">
        <v>288</v>
      </c>
      <c r="K368" s="24" t="s">
        <v>288</v>
      </c>
      <c r="L368" s="24" t="s">
        <v>288</v>
      </c>
      <c r="M368" s="8"/>
      <c r="N368" s="266"/>
    </row>
    <row r="369" spans="1:14" s="3" customFormat="1" ht="12.4" customHeight="1" thickBot="1" x14ac:dyDescent="0.2">
      <c r="A369" s="61" t="s">
        <v>372</v>
      </c>
      <c r="B369" s="62" t="s">
        <v>366</v>
      </c>
      <c r="C369" s="62" t="s">
        <v>296</v>
      </c>
      <c r="D369" s="2" t="s">
        <v>432</v>
      </c>
      <c r="E369" s="62"/>
      <c r="F369" s="63">
        <v>5944</v>
      </c>
      <c r="G369" s="63"/>
      <c r="H369" s="63"/>
      <c r="I369" s="56">
        <f>SUM(F369:H369)</f>
        <v>5944</v>
      </c>
      <c r="J369" s="24" t="s">
        <v>288</v>
      </c>
      <c r="K369" s="24" t="s">
        <v>288</v>
      </c>
      <c r="L369" s="24" t="s">
        <v>288</v>
      </c>
      <c r="M369" s="8"/>
      <c r="N369" s="266"/>
    </row>
    <row r="370" spans="1:14" s="3" customFormat="1" ht="12.4" customHeight="1" thickTop="1" x14ac:dyDescent="0.15">
      <c r="A370" s="34" t="s">
        <v>340</v>
      </c>
      <c r="B370" s="2" t="s">
        <v>366</v>
      </c>
      <c r="C370" s="2" t="s">
        <v>297</v>
      </c>
      <c r="D370" s="39" t="s">
        <v>432</v>
      </c>
      <c r="E370" s="2"/>
      <c r="F370" s="47">
        <f>SUM(F368:F369)</f>
        <v>61333.51</v>
      </c>
      <c r="G370" s="47">
        <f>SUM(G368:G369)</f>
        <v>0</v>
      </c>
      <c r="H370" s="47">
        <f>SUM(H368:H369)</f>
        <v>0</v>
      </c>
      <c r="I370" s="47">
        <f>SUM(I368:I369)</f>
        <v>61333.51</v>
      </c>
      <c r="J370" s="24" t="s">
        <v>288</v>
      </c>
      <c r="K370" s="24" t="s">
        <v>288</v>
      </c>
      <c r="L370" s="24" t="s">
        <v>288</v>
      </c>
      <c r="M370" s="8"/>
      <c r="N370" s="266"/>
    </row>
    <row r="371" spans="1:14" s="3" customFormat="1" ht="12.4" customHeight="1" x14ac:dyDescent="0.15">
      <c r="A371" s="34"/>
      <c r="B371" s="2"/>
      <c r="C371" s="2"/>
      <c r="D371" s="2"/>
      <c r="E371" s="2"/>
      <c r="F371" s="64"/>
      <c r="G371" s="64"/>
      <c r="H371" s="64"/>
      <c r="I371" s="56"/>
      <c r="J371" s="56"/>
      <c r="K371" s="56"/>
      <c r="L371" s="56"/>
      <c r="M371" s="8"/>
      <c r="N371" s="266"/>
    </row>
    <row r="372" spans="1:14" s="3" customFormat="1" ht="12.4"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4"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4"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4" customHeight="1" x14ac:dyDescent="0.15">
      <c r="A377" s="1" t="s">
        <v>546</v>
      </c>
      <c r="B377" s="2" t="s">
        <v>366</v>
      </c>
      <c r="C377" s="2" t="s">
        <v>300</v>
      </c>
      <c r="D377" s="2" t="s">
        <v>431</v>
      </c>
      <c r="E377" s="6">
        <v>4300</v>
      </c>
      <c r="F377" s="18"/>
      <c r="G377" s="18"/>
      <c r="H377" s="18">
        <v>3296.16</v>
      </c>
      <c r="I377" s="18"/>
      <c r="J377" s="18"/>
      <c r="K377" s="18"/>
      <c r="L377" s="13">
        <f t="shared" si="23"/>
        <v>3296.16</v>
      </c>
      <c r="M377" s="8"/>
      <c r="N377" s="266"/>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4" customHeight="1" x14ac:dyDescent="0.15">
      <c r="A379" s="1" t="s">
        <v>548</v>
      </c>
      <c r="B379" s="2" t="s">
        <v>366</v>
      </c>
      <c r="C379" s="2" t="s">
        <v>344</v>
      </c>
      <c r="D379" s="2" t="s">
        <v>431</v>
      </c>
      <c r="E379" s="6">
        <v>4500</v>
      </c>
      <c r="F379" s="18"/>
      <c r="G379" s="18"/>
      <c r="H379" s="18">
        <v>241716.34</v>
      </c>
      <c r="I379" s="18"/>
      <c r="J379" s="18">
        <v>4065</v>
      </c>
      <c r="K379" s="18"/>
      <c r="L379" s="13">
        <f t="shared" si="23"/>
        <v>245781.34</v>
      </c>
      <c r="M379" s="8"/>
      <c r="N379" s="266"/>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4"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4" customHeight="1" thickTop="1" x14ac:dyDescent="0.15">
      <c r="A383" s="46" t="s">
        <v>469</v>
      </c>
      <c r="B383" s="39" t="s">
        <v>366</v>
      </c>
      <c r="C383" s="39" t="s">
        <v>349</v>
      </c>
      <c r="D383" s="39" t="s">
        <v>431</v>
      </c>
      <c r="E383" s="39"/>
      <c r="F383" s="139">
        <f>SUM(F375:F382)</f>
        <v>0</v>
      </c>
      <c r="G383" s="139">
        <f t="shared" ref="G383:L383" si="24">SUM(G375:G382)</f>
        <v>0</v>
      </c>
      <c r="H383" s="139">
        <f t="shared" si="24"/>
        <v>245012.5</v>
      </c>
      <c r="I383" s="41">
        <f t="shared" si="24"/>
        <v>0</v>
      </c>
      <c r="J383" s="47">
        <f t="shared" si="24"/>
        <v>4065</v>
      </c>
      <c r="K383" s="47">
        <f t="shared" si="24"/>
        <v>0</v>
      </c>
      <c r="L383" s="47">
        <f t="shared" si="24"/>
        <v>249077.5</v>
      </c>
      <c r="M383" s="8"/>
      <c r="N383" s="266"/>
    </row>
    <row r="384" spans="1:14" s="3" customFormat="1" ht="12.4" customHeight="1" x14ac:dyDescent="0.15">
      <c r="A384" s="29"/>
      <c r="B384" s="2"/>
      <c r="C384" s="2"/>
      <c r="D384" s="2"/>
      <c r="E384" s="2"/>
      <c r="F384" s="66"/>
      <c r="G384" s="66"/>
      <c r="H384" s="66"/>
      <c r="I384" s="67"/>
      <c r="J384" s="56"/>
      <c r="K384" s="56"/>
      <c r="L384" s="56"/>
      <c r="M384" s="8"/>
      <c r="N384" s="266"/>
    </row>
    <row r="385" spans="1:14" s="3" customFormat="1" ht="12.4" customHeight="1" x14ac:dyDescent="0.15">
      <c r="A385" s="26" t="s">
        <v>482</v>
      </c>
      <c r="B385" s="76"/>
      <c r="C385" s="76"/>
      <c r="D385" s="76"/>
      <c r="E385" s="76"/>
      <c r="F385" s="66"/>
      <c r="G385" s="66"/>
      <c r="H385" s="66"/>
      <c r="I385" s="67"/>
      <c r="J385" s="56"/>
      <c r="K385" s="56"/>
      <c r="L385" s="56"/>
      <c r="M385" s="8"/>
      <c r="N385" s="266"/>
    </row>
    <row r="386" spans="1:14" s="3" customFormat="1" ht="12.4"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4"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4"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4" customHeight="1" x14ac:dyDescent="0.15">
      <c r="A389" s="79" t="s">
        <v>551</v>
      </c>
      <c r="B389" s="2" t="s">
        <v>381</v>
      </c>
      <c r="C389" s="6">
        <v>2</v>
      </c>
      <c r="D389" s="2" t="s">
        <v>432</v>
      </c>
      <c r="E389" s="6"/>
      <c r="F389" s="18"/>
      <c r="G389" s="18"/>
      <c r="H389" s="18">
        <v>1002.92</v>
      </c>
      <c r="I389" s="18"/>
      <c r="J389" s="24" t="s">
        <v>288</v>
      </c>
      <c r="K389" s="24" t="s">
        <v>288</v>
      </c>
      <c r="L389" s="56">
        <f t="shared" si="25"/>
        <v>1002.92</v>
      </c>
      <c r="M389" s="8"/>
      <c r="N389" s="266"/>
    </row>
    <row r="390" spans="1:14" s="3" customFormat="1" ht="12.4"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4"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4"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4" customHeight="1" thickBot="1" x14ac:dyDescent="0.2">
      <c r="A393" s="79" t="s">
        <v>555</v>
      </c>
      <c r="B393" s="2" t="s">
        <v>381</v>
      </c>
      <c r="C393" s="6">
        <v>6</v>
      </c>
      <c r="D393" s="2" t="s">
        <v>432</v>
      </c>
      <c r="E393" s="6"/>
      <c r="F393" s="18"/>
      <c r="G393" s="18"/>
      <c r="H393" s="18">
        <v>1573.78</v>
      </c>
      <c r="I393" s="18"/>
      <c r="J393" s="24" t="s">
        <v>288</v>
      </c>
      <c r="K393" s="24" t="s">
        <v>288</v>
      </c>
      <c r="L393" s="56">
        <f t="shared" si="25"/>
        <v>1573.78</v>
      </c>
      <c r="M393" s="8"/>
      <c r="N393" s="266"/>
    </row>
    <row r="394" spans="1:14" s="3" customFormat="1" ht="12.4" customHeight="1" thickTop="1" x14ac:dyDescent="0.15">
      <c r="A394" s="160" t="s">
        <v>471</v>
      </c>
      <c r="B394" s="2" t="s">
        <v>381</v>
      </c>
      <c r="C394" s="6">
        <v>7</v>
      </c>
      <c r="D394" s="2" t="s">
        <v>432</v>
      </c>
      <c r="E394" s="40">
        <v>5251</v>
      </c>
      <c r="F394" s="139">
        <f>SUM(F388:F393)</f>
        <v>0</v>
      </c>
      <c r="G394" s="139">
        <f>SUM(G388:G393)</f>
        <v>0</v>
      </c>
      <c r="H394" s="139">
        <f>SUM(H388:H393)</f>
        <v>2576.6999999999998</v>
      </c>
      <c r="I394" s="65">
        <f>SUM(I388:I393)</f>
        <v>0</v>
      </c>
      <c r="J394" s="45" t="s">
        <v>288</v>
      </c>
      <c r="K394" s="45" t="s">
        <v>288</v>
      </c>
      <c r="L394" s="47">
        <f>SUM(L388:L393)</f>
        <v>2576.6999999999998</v>
      </c>
      <c r="M394" s="8"/>
      <c r="N394" s="266"/>
    </row>
    <row r="395" spans="1:14" s="3" customFormat="1" ht="12.4"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4"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4"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4" customHeight="1" x14ac:dyDescent="0.15">
      <c r="A398" s="79" t="s">
        <v>515</v>
      </c>
      <c r="B398" s="2" t="s">
        <v>381</v>
      </c>
      <c r="C398" s="6">
        <v>10</v>
      </c>
      <c r="D398" s="2" t="s">
        <v>432</v>
      </c>
      <c r="E398" s="6"/>
      <c r="F398" s="18"/>
      <c r="G398" s="18">
        <v>75000</v>
      </c>
      <c r="H398" s="18">
        <v>137.18</v>
      </c>
      <c r="I398" s="18"/>
      <c r="J398" s="24" t="s">
        <v>288</v>
      </c>
      <c r="K398" s="24" t="s">
        <v>288</v>
      </c>
      <c r="L398" s="56">
        <f t="shared" si="26"/>
        <v>75137.179999999993</v>
      </c>
      <c r="M398" s="8"/>
      <c r="N398" s="266"/>
    </row>
    <row r="399" spans="1:14" s="3" customFormat="1" ht="12.4"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4"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4"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4" customHeight="1" thickTop="1" x14ac:dyDescent="0.15">
      <c r="A402" s="160" t="s">
        <v>470</v>
      </c>
      <c r="B402" s="2" t="s">
        <v>381</v>
      </c>
      <c r="C402" s="6">
        <v>14</v>
      </c>
      <c r="D402" s="2" t="s">
        <v>432</v>
      </c>
      <c r="E402" s="40">
        <v>5252</v>
      </c>
      <c r="F402" s="47">
        <f>SUM(F396:F401)</f>
        <v>0</v>
      </c>
      <c r="G402" s="47">
        <f>SUM(G396:G401)</f>
        <v>75000</v>
      </c>
      <c r="H402" s="47">
        <f>SUM(H396:H401)</f>
        <v>137.18</v>
      </c>
      <c r="I402" s="47">
        <f>SUM(I396:I401)</f>
        <v>0</v>
      </c>
      <c r="J402" s="45" t="s">
        <v>288</v>
      </c>
      <c r="K402" s="45" t="s">
        <v>288</v>
      </c>
      <c r="L402" s="47">
        <f>SUM(L396:L401)</f>
        <v>75137.179999999993</v>
      </c>
      <c r="M402" s="8"/>
      <c r="N402" s="266"/>
    </row>
    <row r="403" spans="1:21" s="3" customFormat="1" ht="12.4"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4"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4"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4"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4"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4"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4" customHeight="1" thickTop="1" x14ac:dyDescent="0.15">
      <c r="A409" s="78" t="s">
        <v>421</v>
      </c>
      <c r="B409" s="2" t="s">
        <v>381</v>
      </c>
      <c r="C409" s="6">
        <v>20</v>
      </c>
      <c r="D409" s="6"/>
      <c r="E409" s="40"/>
      <c r="F409" s="47">
        <f>F394+F402+F408</f>
        <v>0</v>
      </c>
      <c r="G409" s="47">
        <f>G394+G402+G408</f>
        <v>75000</v>
      </c>
      <c r="H409" s="47">
        <f>H394+H402+H408</f>
        <v>2713.8799999999997</v>
      </c>
      <c r="I409" s="47">
        <f>I394+I402+I408</f>
        <v>0</v>
      </c>
      <c r="J409" s="24" t="s">
        <v>288</v>
      </c>
      <c r="K409" s="24" t="s">
        <v>288</v>
      </c>
      <c r="L409" s="47">
        <f>L394+L402+L408</f>
        <v>77713.87999999999</v>
      </c>
      <c r="M409" s="8"/>
      <c r="N409" s="266"/>
    </row>
    <row r="410" spans="1:21" s="3" customFormat="1" ht="12.4"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4" customHeight="1" x14ac:dyDescent="0.15">
      <c r="A411" s="26" t="s">
        <v>482</v>
      </c>
      <c r="B411" s="76"/>
      <c r="C411" s="76"/>
      <c r="D411" s="76"/>
      <c r="E411" s="76"/>
      <c r="F411" s="66"/>
      <c r="G411" s="16" t="s">
        <v>384</v>
      </c>
      <c r="H411" s="16" t="s">
        <v>385</v>
      </c>
      <c r="I411" s="67"/>
      <c r="J411" s="56"/>
      <c r="K411" s="56"/>
      <c r="L411" s="56"/>
      <c r="M411" s="8"/>
      <c r="N411" s="266"/>
    </row>
    <row r="412" spans="1:21" s="3" customFormat="1" ht="12.4"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4"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4"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4"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4"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4"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4"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4" customHeight="1" thickBot="1" x14ac:dyDescent="0.2">
      <c r="A419" s="79" t="s">
        <v>555</v>
      </c>
      <c r="B419" s="6">
        <v>17</v>
      </c>
      <c r="C419" s="6">
        <v>6</v>
      </c>
      <c r="D419" s="2" t="s">
        <v>432</v>
      </c>
      <c r="E419" s="6"/>
      <c r="F419" s="18"/>
      <c r="G419" s="18"/>
      <c r="H419" s="18">
        <v>11913.64</v>
      </c>
      <c r="I419" s="18"/>
      <c r="J419" s="18"/>
      <c r="K419" s="18"/>
      <c r="L419" s="56">
        <f t="shared" si="27"/>
        <v>11913.64</v>
      </c>
      <c r="M419" s="8"/>
      <c r="N419" s="266"/>
    </row>
    <row r="420" spans="1:21" s="3" customFormat="1" ht="12.4" customHeight="1" thickTop="1" x14ac:dyDescent="0.15">
      <c r="A420" s="160" t="s">
        <v>471</v>
      </c>
      <c r="B420" s="6">
        <v>17</v>
      </c>
      <c r="C420" s="6">
        <v>7</v>
      </c>
      <c r="D420" s="2" t="s">
        <v>432</v>
      </c>
      <c r="E420" s="40">
        <v>5251</v>
      </c>
      <c r="F420" s="139">
        <f t="shared" ref="F420:L420" si="28">SUM(F414:F419)</f>
        <v>0</v>
      </c>
      <c r="G420" s="139">
        <f t="shared" si="28"/>
        <v>0</v>
      </c>
      <c r="H420" s="139">
        <f t="shared" si="28"/>
        <v>11913.64</v>
      </c>
      <c r="I420" s="139">
        <f t="shared" si="28"/>
        <v>0</v>
      </c>
      <c r="J420" s="139">
        <f t="shared" si="28"/>
        <v>0</v>
      </c>
      <c r="K420" s="139">
        <f t="shared" si="28"/>
        <v>0</v>
      </c>
      <c r="L420" s="47">
        <f t="shared" si="28"/>
        <v>11913.64</v>
      </c>
      <c r="M420" s="8"/>
      <c r="N420" s="266"/>
    </row>
    <row r="421" spans="1:21" s="3" customFormat="1" ht="12.4"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4"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4"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4"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4"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4"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4"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4"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4"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4" customHeight="1" x14ac:dyDescent="0.15">
      <c r="A430" s="110"/>
      <c r="B430" s="6">
        <v>17</v>
      </c>
      <c r="C430" s="6">
        <v>15</v>
      </c>
      <c r="D430" s="2" t="s">
        <v>432</v>
      </c>
      <c r="E430" s="6"/>
      <c r="F430" s="18"/>
      <c r="G430" s="18"/>
      <c r="H430" s="18"/>
      <c r="I430" s="18"/>
      <c r="J430" s="18"/>
      <c r="K430" s="18"/>
      <c r="L430" s="56">
        <f>SUM(F430:K430)</f>
        <v>0</v>
      </c>
      <c r="M430" s="68"/>
      <c r="N430" s="227"/>
    </row>
    <row r="431" spans="1:21" ht="12.4" customHeight="1" x14ac:dyDescent="0.2">
      <c r="A431" s="110"/>
      <c r="B431" s="6">
        <v>17</v>
      </c>
      <c r="C431" s="6">
        <v>16</v>
      </c>
      <c r="D431" s="2" t="s">
        <v>432</v>
      </c>
      <c r="E431" s="6"/>
      <c r="F431" s="18"/>
      <c r="G431" s="18"/>
      <c r="H431" s="18"/>
      <c r="I431" s="18"/>
      <c r="J431" s="18"/>
      <c r="K431" s="18"/>
      <c r="L431" s="56">
        <f>SUM(F431:K431)</f>
        <v>0</v>
      </c>
      <c r="N431" s="264"/>
    </row>
    <row r="432" spans="1:21" s="3" customFormat="1" ht="12.4"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4"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4"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4" customHeight="1" thickTop="1" x14ac:dyDescent="0.15">
      <c r="A435" s="78" t="s">
        <v>422</v>
      </c>
      <c r="B435" s="6">
        <v>17</v>
      </c>
      <c r="C435" s="6">
        <v>20</v>
      </c>
      <c r="D435" s="2" t="s">
        <v>432</v>
      </c>
      <c r="E435" s="40"/>
      <c r="F435" s="47">
        <f t="shared" ref="F435:L435" si="32">F420+F428+F434</f>
        <v>0</v>
      </c>
      <c r="G435" s="47">
        <f t="shared" si="32"/>
        <v>0</v>
      </c>
      <c r="H435" s="47">
        <f t="shared" si="32"/>
        <v>11913.64</v>
      </c>
      <c r="I435" s="47">
        <f t="shared" si="32"/>
        <v>0</v>
      </c>
      <c r="J435" s="47">
        <f t="shared" si="32"/>
        <v>0</v>
      </c>
      <c r="K435" s="47">
        <f t="shared" si="32"/>
        <v>0</v>
      </c>
      <c r="L435" s="47">
        <f t="shared" si="32"/>
        <v>11913.64</v>
      </c>
      <c r="M435" s="8"/>
      <c r="N435" s="266"/>
    </row>
    <row r="436" spans="1:14" s="3" customFormat="1" ht="12.4" customHeight="1" x14ac:dyDescent="0.15">
      <c r="A436" s="78"/>
      <c r="B436" s="6"/>
      <c r="C436" s="6"/>
      <c r="D436" s="6"/>
      <c r="E436" s="6"/>
      <c r="F436" s="56"/>
      <c r="G436" s="56"/>
      <c r="H436" s="56"/>
      <c r="I436" s="56"/>
      <c r="J436" s="56"/>
      <c r="K436" s="56"/>
      <c r="L436" s="56"/>
      <c r="M436" s="8"/>
      <c r="N436" s="266"/>
    </row>
    <row r="437" spans="1:14" s="3" customFormat="1" ht="12.4" customHeight="1" x14ac:dyDescent="0.15">
      <c r="A437" s="34" t="s">
        <v>0</v>
      </c>
      <c r="K437" s="56"/>
      <c r="L437" s="13"/>
      <c r="M437" s="8"/>
      <c r="N437" s="266"/>
    </row>
    <row r="438" spans="1:14" s="3" customFormat="1" ht="12.4" customHeight="1" x14ac:dyDescent="0.15">
      <c r="A438" s="34" t="s">
        <v>1</v>
      </c>
      <c r="F438" s="23" t="s">
        <v>2</v>
      </c>
      <c r="G438" s="23" t="s">
        <v>3</v>
      </c>
      <c r="H438" s="23" t="s">
        <v>4</v>
      </c>
      <c r="I438" s="23" t="s">
        <v>5</v>
      </c>
      <c r="M438" s="8"/>
      <c r="N438" s="266"/>
    </row>
    <row r="439" spans="1:14" s="3" customFormat="1" ht="12.4"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4" customHeight="1" x14ac:dyDescent="0.15">
      <c r="A440" s="3" t="s">
        <v>561</v>
      </c>
      <c r="B440" s="23">
        <v>18</v>
      </c>
      <c r="C440" s="6">
        <v>1</v>
      </c>
      <c r="D440" s="2" t="s">
        <v>432</v>
      </c>
      <c r="E440" s="6">
        <v>100</v>
      </c>
      <c r="F440" s="18"/>
      <c r="G440" s="18">
        <v>451853.28</v>
      </c>
      <c r="H440" s="18"/>
      <c r="I440" s="56">
        <f t="shared" ref="I440:I446" si="33">SUM(F440:H440)</f>
        <v>451853.28</v>
      </c>
      <c r="J440" s="24" t="s">
        <v>288</v>
      </c>
      <c r="K440" s="24" t="s">
        <v>288</v>
      </c>
      <c r="L440" s="24" t="s">
        <v>288</v>
      </c>
      <c r="M440" s="8"/>
      <c r="N440" s="266"/>
    </row>
    <row r="441" spans="1:14" s="3" customFormat="1" ht="12.4"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4"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4"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4"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4"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4"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4" customHeight="1" thickBot="1" x14ac:dyDescent="0.2">
      <c r="A447" s="70" t="s">
        <v>404</v>
      </c>
      <c r="B447" s="23">
        <v>18</v>
      </c>
      <c r="C447" s="37">
        <v>8</v>
      </c>
      <c r="D447" s="2" t="s">
        <v>432</v>
      </c>
      <c r="E447" s="37"/>
      <c r="F447" s="13">
        <f>SUM(F440:F446)</f>
        <v>0</v>
      </c>
      <c r="G447" s="13">
        <f>SUM(G440:G446)</f>
        <v>451853.28</v>
      </c>
      <c r="H447" s="13">
        <f>SUM(H440:H446)</f>
        <v>0</v>
      </c>
      <c r="I447" s="13">
        <f>SUM(I440:I446)</f>
        <v>451853.28</v>
      </c>
      <c r="J447" s="24" t="s">
        <v>288</v>
      </c>
      <c r="K447" s="24" t="s">
        <v>288</v>
      </c>
      <c r="L447" s="24" t="s">
        <v>288</v>
      </c>
      <c r="M447" s="8"/>
      <c r="N447" s="266"/>
    </row>
    <row r="448" spans="1:14" s="3" customFormat="1" ht="12.4"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4"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4"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4"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4"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4"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4"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4"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4"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4"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4"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4"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4" customHeight="1" thickBot="1" x14ac:dyDescent="0.25">
      <c r="A460" s="1" t="s">
        <v>579</v>
      </c>
      <c r="B460" s="23">
        <v>18</v>
      </c>
      <c r="C460" s="6">
        <v>19</v>
      </c>
      <c r="D460" s="2" t="s">
        <v>432</v>
      </c>
      <c r="E460" s="6">
        <v>760</v>
      </c>
      <c r="F460" s="18"/>
      <c r="G460" s="18">
        <v>451853.28</v>
      </c>
      <c r="H460" s="18"/>
      <c r="I460" s="56">
        <f t="shared" si="34"/>
        <v>451853.28</v>
      </c>
      <c r="J460" s="24" t="s">
        <v>288</v>
      </c>
      <c r="K460" s="24" t="s">
        <v>288</v>
      </c>
      <c r="L460" s="24" t="s">
        <v>288</v>
      </c>
      <c r="N460" s="265"/>
    </row>
    <row r="461" spans="1:86" s="52" customFormat="1" ht="12.4" customHeight="1" thickTop="1" thickBot="1" x14ac:dyDescent="0.25">
      <c r="A461" s="50" t="s">
        <v>407</v>
      </c>
      <c r="B461" s="81">
        <v>18</v>
      </c>
      <c r="C461" s="51">
        <v>20</v>
      </c>
      <c r="D461" s="48" t="s">
        <v>432</v>
      </c>
      <c r="E461" s="51"/>
      <c r="F461" s="83">
        <f>SUM(F455:F460)</f>
        <v>0</v>
      </c>
      <c r="G461" s="83">
        <f>SUM(G455:G460)</f>
        <v>451853.28</v>
      </c>
      <c r="H461" s="83">
        <f>SUM(H455:H460)</f>
        <v>0</v>
      </c>
      <c r="I461" s="83">
        <f>SUM(I455:I460)</f>
        <v>451853.28</v>
      </c>
      <c r="J461" s="24" t="s">
        <v>288</v>
      </c>
      <c r="K461" s="24" t="s">
        <v>288</v>
      </c>
      <c r="L461" s="24" t="s">
        <v>288</v>
      </c>
      <c r="N461" s="265"/>
    </row>
    <row r="462" spans="1:86" s="52" customFormat="1" ht="12.4" customHeight="1" thickTop="1" x14ac:dyDescent="0.2">
      <c r="A462" s="91" t="s">
        <v>424</v>
      </c>
      <c r="B462" s="44">
        <v>18</v>
      </c>
      <c r="C462" s="82">
        <v>21</v>
      </c>
      <c r="D462" s="157" t="s">
        <v>432</v>
      </c>
      <c r="E462" s="82"/>
      <c r="F462" s="42">
        <f>F453+F461</f>
        <v>0</v>
      </c>
      <c r="G462" s="42">
        <f>G453+G461</f>
        <v>451853.28</v>
      </c>
      <c r="H462" s="42">
        <f>H453+H461</f>
        <v>0</v>
      </c>
      <c r="I462" s="42">
        <f>I453+I461</f>
        <v>451853.28</v>
      </c>
      <c r="J462" s="24" t="s">
        <v>288</v>
      </c>
      <c r="K462" s="24" t="s">
        <v>288</v>
      </c>
      <c r="L462" s="24" t="s">
        <v>288</v>
      </c>
      <c r="N462" s="265"/>
    </row>
    <row r="463" spans="1:86" s="52" customFormat="1" ht="12.4" customHeight="1" x14ac:dyDescent="0.2">
      <c r="A463" s="92"/>
      <c r="B463" s="75"/>
      <c r="C463" s="80"/>
      <c r="D463" s="80"/>
      <c r="E463" s="80"/>
      <c r="F463" s="53"/>
      <c r="G463" s="53"/>
      <c r="H463" s="53"/>
      <c r="I463" s="53"/>
      <c r="J463" s="53"/>
      <c r="K463" s="53"/>
      <c r="L463" s="53"/>
      <c r="N463" s="265"/>
    </row>
    <row r="464" spans="1:86" s="52" customFormat="1" ht="12.4"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4"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4" customHeight="1" x14ac:dyDescent="0.2">
      <c r="A466" s="189" t="s">
        <v>1583</v>
      </c>
      <c r="B466" s="105">
        <v>19</v>
      </c>
      <c r="C466" s="111">
        <v>1</v>
      </c>
      <c r="D466" s="2" t="s">
        <v>432</v>
      </c>
      <c r="E466" s="111"/>
      <c r="F466" s="18">
        <v>751643.31</v>
      </c>
      <c r="G466" s="18"/>
      <c r="H466" s="18">
        <v>16772.14</v>
      </c>
      <c r="I466" s="18">
        <v>495368.24</v>
      </c>
      <c r="J466" s="18">
        <v>386053.04</v>
      </c>
      <c r="K466" s="24" t="s">
        <v>288</v>
      </c>
      <c r="L466" s="24" t="s">
        <v>288</v>
      </c>
      <c r="N466" s="265"/>
    </row>
    <row r="467" spans="1:14" s="52" customFormat="1" ht="12.4"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4"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4" customHeight="1" x14ac:dyDescent="0.2">
      <c r="A469" s="93" t="s">
        <v>610</v>
      </c>
      <c r="B469" s="75">
        <v>19</v>
      </c>
      <c r="C469" s="80">
        <v>2</v>
      </c>
      <c r="D469" s="2" t="s">
        <v>432</v>
      </c>
      <c r="E469" s="80"/>
      <c r="F469" s="18">
        <v>19988054.34</v>
      </c>
      <c r="G469" s="18">
        <v>250291.99</v>
      </c>
      <c r="H469" s="18">
        <f>13970+399491.81</f>
        <v>413461.81</v>
      </c>
      <c r="I469" s="18">
        <v>7408.69</v>
      </c>
      <c r="J469" s="18">
        <v>77713.88</v>
      </c>
      <c r="K469" s="24" t="s">
        <v>288</v>
      </c>
      <c r="L469" s="24" t="s">
        <v>288</v>
      </c>
      <c r="N469" s="265"/>
    </row>
    <row r="470" spans="1:14" s="52" customFormat="1" ht="12.4"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4" customHeight="1" x14ac:dyDescent="0.2">
      <c r="A471" s="92" t="s">
        <v>425</v>
      </c>
      <c r="B471" s="75">
        <v>19</v>
      </c>
      <c r="C471" s="80">
        <v>4</v>
      </c>
      <c r="D471" s="2" t="s">
        <v>432</v>
      </c>
      <c r="E471" s="80"/>
      <c r="F471" s="53">
        <f>SUM(F469:F470)</f>
        <v>19988054.34</v>
      </c>
      <c r="G471" s="53">
        <f>SUM(G469:G470)</f>
        <v>250291.99</v>
      </c>
      <c r="H471" s="53">
        <f>SUM(H469:H470)</f>
        <v>413461.81</v>
      </c>
      <c r="I471" s="53">
        <f>SUM(I469:I470)</f>
        <v>7408.69</v>
      </c>
      <c r="J471" s="53">
        <f>SUM(J469:J470)</f>
        <v>77713.88</v>
      </c>
      <c r="K471" s="24" t="s">
        <v>288</v>
      </c>
      <c r="L471" s="24" t="s">
        <v>288</v>
      </c>
      <c r="N471" s="265"/>
    </row>
    <row r="472" spans="1:14" s="52" customFormat="1" ht="12.4"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4" customHeight="1" x14ac:dyDescent="0.2">
      <c r="A473" s="93" t="s">
        <v>612</v>
      </c>
      <c r="B473" s="75">
        <v>19</v>
      </c>
      <c r="C473" s="80">
        <v>5</v>
      </c>
      <c r="D473" s="2" t="s">
        <v>432</v>
      </c>
      <c r="E473" s="80"/>
      <c r="F473" s="18">
        <v>19949526.940000001</v>
      </c>
      <c r="G473" s="18">
        <v>250291.99</v>
      </c>
      <c r="H473" s="18">
        <f>9101.33+399491.81</f>
        <v>408593.14</v>
      </c>
      <c r="I473" s="18">
        <v>249077.5</v>
      </c>
      <c r="J473" s="18">
        <v>11913.64</v>
      </c>
      <c r="K473" s="24" t="s">
        <v>288</v>
      </c>
      <c r="L473" s="24" t="s">
        <v>288</v>
      </c>
      <c r="N473" s="265"/>
    </row>
    <row r="474" spans="1:14" s="52" customFormat="1" ht="12.4"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4" customHeight="1" x14ac:dyDescent="0.2">
      <c r="A475" s="92" t="s">
        <v>426</v>
      </c>
      <c r="B475" s="75">
        <v>19</v>
      </c>
      <c r="C475" s="80">
        <v>7</v>
      </c>
      <c r="D475" s="2" t="s">
        <v>432</v>
      </c>
      <c r="E475" s="80"/>
      <c r="F475" s="53">
        <f>SUM(F473:F474)</f>
        <v>19949526.940000001</v>
      </c>
      <c r="G475" s="53">
        <f>SUM(G473:G474)</f>
        <v>250291.99</v>
      </c>
      <c r="H475" s="53">
        <f>SUM(H473:H474)</f>
        <v>408593.14</v>
      </c>
      <c r="I475" s="53">
        <f>SUM(I473:I474)</f>
        <v>249077.5</v>
      </c>
      <c r="J475" s="53">
        <f>SUM(J473:J474)</f>
        <v>11913.64</v>
      </c>
      <c r="K475" s="24" t="s">
        <v>288</v>
      </c>
      <c r="L475" s="24" t="s">
        <v>288</v>
      </c>
      <c r="N475" s="265"/>
    </row>
    <row r="476" spans="1:14" s="52" customFormat="1" ht="12.4"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4" customHeight="1" x14ac:dyDescent="0.2">
      <c r="A477" s="190" t="s">
        <v>1584</v>
      </c>
      <c r="B477" s="75">
        <v>19</v>
      </c>
      <c r="C477" s="115">
        <v>8</v>
      </c>
      <c r="D477" s="2" t="s">
        <v>432</v>
      </c>
      <c r="E477" s="115"/>
      <c r="F477" s="53">
        <f>(F466+F471)- F475</f>
        <v>790170.70999999717</v>
      </c>
      <c r="G477" s="53">
        <f>(G466+G471)- G475</f>
        <v>0</v>
      </c>
      <c r="H477" s="53">
        <f>(H466+H471)- H475</f>
        <v>21640.809999999998</v>
      </c>
      <c r="I477" s="53">
        <f>(I466+I471)- I475</f>
        <v>253699.43</v>
      </c>
      <c r="J477" s="53">
        <f>(J466+J471)- J475</f>
        <v>451853.27999999997</v>
      </c>
      <c r="K477" s="24" t="s">
        <v>288</v>
      </c>
      <c r="L477" s="24" t="s">
        <v>288</v>
      </c>
      <c r="N477" s="265"/>
    </row>
    <row r="478" spans="1:14" s="52" customFormat="1" ht="12.4" customHeight="1" x14ac:dyDescent="0.2">
      <c r="A478" s="95"/>
      <c r="B478" s="95"/>
      <c r="C478" s="95"/>
      <c r="D478" s="95"/>
      <c r="E478" s="95"/>
      <c r="F478" s="95"/>
      <c r="G478" s="95"/>
      <c r="H478" s="95"/>
      <c r="I478" s="95"/>
      <c r="J478" s="95"/>
      <c r="K478" s="95"/>
      <c r="L478" s="95"/>
      <c r="N478" s="265"/>
    </row>
    <row r="479" spans="1:14" s="52" customFormat="1" ht="12.4" customHeight="1" x14ac:dyDescent="0.2">
      <c r="A479" s="95" t="s">
        <v>657</v>
      </c>
      <c r="B479" s="95"/>
      <c r="C479" s="95"/>
      <c r="D479" s="95"/>
      <c r="E479" s="95"/>
      <c r="F479" s="95"/>
      <c r="G479" s="95"/>
      <c r="H479" s="95"/>
      <c r="I479" s="95"/>
      <c r="J479" s="95"/>
      <c r="K479" s="95"/>
      <c r="L479" s="95"/>
      <c r="N479" s="265"/>
    </row>
    <row r="480" spans="1:14" s="52" customFormat="1" ht="12.4" customHeight="1" x14ac:dyDescent="0.2">
      <c r="A480" s="95" t="s">
        <v>695</v>
      </c>
      <c r="B480" s="112"/>
      <c r="C480" s="112"/>
      <c r="D480" s="112"/>
      <c r="E480" s="112"/>
      <c r="F480" s="112"/>
      <c r="G480" s="112"/>
      <c r="H480" s="112"/>
      <c r="I480" s="112" t="s">
        <v>17</v>
      </c>
      <c r="J480" s="112"/>
      <c r="K480" s="95"/>
      <c r="L480" s="95"/>
      <c r="N480" s="265"/>
    </row>
    <row r="481" spans="1:14" s="52" customFormat="1" ht="12.4" customHeight="1" x14ac:dyDescent="0.2">
      <c r="A481" s="18"/>
      <c r="B481" s="112"/>
      <c r="C481" s="112"/>
      <c r="D481" s="112"/>
      <c r="E481" s="112"/>
      <c r="F481" s="112"/>
      <c r="G481" s="112"/>
      <c r="H481" s="112"/>
      <c r="I481" s="112" t="s">
        <v>401</v>
      </c>
      <c r="J481" s="112"/>
      <c r="K481" s="95"/>
      <c r="L481" s="95"/>
      <c r="N481" s="265"/>
    </row>
    <row r="482" spans="1:14" s="52" customFormat="1" ht="12.4" customHeight="1" x14ac:dyDescent="0.2">
      <c r="A482" s="175"/>
      <c r="B482" s="112"/>
      <c r="C482" s="112"/>
      <c r="D482" s="112"/>
      <c r="E482" s="112"/>
      <c r="F482" s="112"/>
      <c r="G482" s="112"/>
      <c r="H482" s="112"/>
      <c r="I482" s="112" t="s">
        <v>650</v>
      </c>
      <c r="J482" s="112"/>
      <c r="K482" s="95"/>
      <c r="L482" s="95"/>
      <c r="N482" s="265"/>
    </row>
    <row r="483" spans="1:14" s="52" customFormat="1" ht="12.4" customHeight="1" x14ac:dyDescent="0.2">
      <c r="A483" s="95" t="s">
        <v>696</v>
      </c>
      <c r="B483" s="112"/>
      <c r="C483" s="112"/>
      <c r="D483" s="112"/>
      <c r="E483" s="112"/>
      <c r="F483" s="112"/>
      <c r="G483" s="112"/>
      <c r="H483" s="112"/>
      <c r="I483" s="112" t="s">
        <v>473</v>
      </c>
      <c r="J483" s="112"/>
      <c r="K483" s="95"/>
      <c r="L483" s="95"/>
      <c r="N483" s="265"/>
    </row>
    <row r="484" spans="1:14" s="52" customFormat="1" ht="12.4" customHeight="1" x14ac:dyDescent="0.2">
      <c r="A484" s="174"/>
      <c r="B484" s="112"/>
      <c r="C484" s="112"/>
      <c r="D484" s="112"/>
      <c r="E484" s="112"/>
      <c r="F484" s="112"/>
      <c r="G484" s="112"/>
      <c r="H484" s="112"/>
      <c r="I484" s="112" t="s">
        <v>18</v>
      </c>
      <c r="J484" s="112"/>
      <c r="K484" s="95"/>
      <c r="L484" s="95"/>
      <c r="N484" s="265"/>
    </row>
    <row r="485" spans="1:14" s="52" customFormat="1" ht="12.4" customHeight="1" x14ac:dyDescent="0.2">
      <c r="A485" s="174"/>
      <c r="B485" s="112"/>
      <c r="C485" s="112"/>
      <c r="D485" s="112"/>
      <c r="E485" s="112"/>
      <c r="F485" s="112"/>
      <c r="G485" s="112"/>
      <c r="H485" s="112"/>
      <c r="I485" s="112" t="s">
        <v>474</v>
      </c>
      <c r="J485" s="112"/>
      <c r="K485" s="95"/>
      <c r="L485" s="95"/>
      <c r="N485" s="265"/>
    </row>
    <row r="486" spans="1:14" s="52" customFormat="1" ht="12.4" customHeight="1" x14ac:dyDescent="0.2">
      <c r="A486" s="174"/>
      <c r="B486" s="112"/>
      <c r="C486" s="112"/>
      <c r="D486" s="112"/>
      <c r="E486" s="112"/>
      <c r="F486" s="112"/>
      <c r="G486" s="112"/>
      <c r="H486" s="112"/>
      <c r="I486" s="112" t="s">
        <v>475</v>
      </c>
      <c r="J486" s="112"/>
      <c r="K486" s="95"/>
      <c r="L486" s="95"/>
      <c r="N486" s="265"/>
    </row>
    <row r="487" spans="1:14" s="52" customFormat="1" ht="12.4" customHeight="1" x14ac:dyDescent="0.2">
      <c r="A487" s="22"/>
      <c r="B487" s="112"/>
      <c r="C487" s="112"/>
      <c r="D487" s="112"/>
      <c r="E487" s="112"/>
      <c r="F487" s="112"/>
      <c r="G487" s="112"/>
      <c r="H487" s="112"/>
      <c r="I487" s="112"/>
      <c r="J487" s="112"/>
      <c r="K487" s="95"/>
      <c r="L487" s="95"/>
      <c r="N487" s="265"/>
    </row>
    <row r="488" spans="1:14" s="52" customFormat="1" ht="12.4" customHeight="1" x14ac:dyDescent="0.2">
      <c r="A488" s="96" t="s">
        <v>19</v>
      </c>
      <c r="B488" s="105"/>
      <c r="C488" s="115"/>
      <c r="D488" s="115"/>
      <c r="E488" s="115"/>
      <c r="F488" s="116"/>
      <c r="G488" s="116"/>
      <c r="H488" s="116"/>
      <c r="I488" s="116"/>
      <c r="J488" s="116"/>
      <c r="K488" s="116"/>
      <c r="L488" s="116"/>
      <c r="N488" s="265"/>
    </row>
    <row r="489" spans="1:14" s="52" customFormat="1" ht="12.4"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4"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4" customHeight="1" x14ac:dyDescent="0.2">
      <c r="A491" s="22" t="s">
        <v>614</v>
      </c>
      <c r="B491" s="75">
        <v>20</v>
      </c>
      <c r="C491" s="115">
        <v>1</v>
      </c>
      <c r="D491" s="2" t="s">
        <v>432</v>
      </c>
      <c r="E491" s="115"/>
      <c r="F491" s="154">
        <v>10</v>
      </c>
      <c r="G491" s="154"/>
      <c r="H491" s="154"/>
      <c r="I491" s="154"/>
      <c r="J491" s="154"/>
      <c r="K491" s="24" t="s">
        <v>288</v>
      </c>
      <c r="L491" s="24" t="s">
        <v>288</v>
      </c>
      <c r="N491" s="265"/>
    </row>
    <row r="492" spans="1:14" s="52" customFormat="1" ht="12.4" customHeight="1" x14ac:dyDescent="0.2">
      <c r="A492" s="22" t="s">
        <v>615</v>
      </c>
      <c r="B492" s="75">
        <v>20</v>
      </c>
      <c r="C492" s="115">
        <v>2</v>
      </c>
      <c r="D492" s="2" t="s">
        <v>432</v>
      </c>
      <c r="E492" s="115"/>
      <c r="F492" s="155" t="s">
        <v>1643</v>
      </c>
      <c r="G492" s="155"/>
      <c r="H492" s="154"/>
      <c r="I492" s="154"/>
      <c r="J492" s="154"/>
      <c r="K492" s="24" t="s">
        <v>288</v>
      </c>
      <c r="L492" s="24" t="s">
        <v>288</v>
      </c>
      <c r="N492" s="265"/>
    </row>
    <row r="493" spans="1:14" s="52" customFormat="1" ht="12.4" customHeight="1" x14ac:dyDescent="0.2">
      <c r="A493" s="22" t="s">
        <v>616</v>
      </c>
      <c r="B493" s="75">
        <v>20</v>
      </c>
      <c r="C493" s="115">
        <v>3</v>
      </c>
      <c r="D493" s="2" t="s">
        <v>432</v>
      </c>
      <c r="E493" s="115"/>
      <c r="F493" s="155" t="s">
        <v>1644</v>
      </c>
      <c r="G493" s="155"/>
      <c r="H493" s="154"/>
      <c r="I493" s="154"/>
      <c r="J493" s="154"/>
      <c r="K493" s="24" t="s">
        <v>288</v>
      </c>
      <c r="L493" s="24" t="s">
        <v>288</v>
      </c>
      <c r="N493" s="265"/>
    </row>
    <row r="494" spans="1:14" s="52" customFormat="1" ht="12.4" customHeight="1" x14ac:dyDescent="0.2">
      <c r="A494" s="22" t="s">
        <v>617</v>
      </c>
      <c r="B494" s="75">
        <v>20</v>
      </c>
      <c r="C494" s="115">
        <v>4</v>
      </c>
      <c r="D494" s="2" t="s">
        <v>432</v>
      </c>
      <c r="E494" s="115"/>
      <c r="F494" s="18">
        <v>4663225</v>
      </c>
      <c r="G494" s="18"/>
      <c r="H494" s="18"/>
      <c r="I494" s="18"/>
      <c r="J494" s="18"/>
      <c r="K494" s="24" t="s">
        <v>288</v>
      </c>
      <c r="L494" s="24" t="s">
        <v>288</v>
      </c>
      <c r="N494" s="265"/>
    </row>
    <row r="495" spans="1:14" s="52" customFormat="1" ht="12.4" customHeight="1" x14ac:dyDescent="0.2">
      <c r="A495" s="22" t="s">
        <v>618</v>
      </c>
      <c r="B495" s="75">
        <v>20</v>
      </c>
      <c r="C495" s="115">
        <v>5</v>
      </c>
      <c r="D495" s="2" t="s">
        <v>432</v>
      </c>
      <c r="E495" s="115"/>
      <c r="F495" s="18">
        <v>0.05</v>
      </c>
      <c r="G495" s="18"/>
      <c r="H495" s="18"/>
      <c r="I495" s="18"/>
      <c r="J495" s="18"/>
      <c r="K495" s="24" t="s">
        <v>288</v>
      </c>
      <c r="L495" s="24" t="s">
        <v>288</v>
      </c>
      <c r="N495" s="265"/>
    </row>
    <row r="496" spans="1:14" s="52" customFormat="1" ht="12.4" customHeight="1" x14ac:dyDescent="0.2">
      <c r="A496" s="22" t="s">
        <v>619</v>
      </c>
      <c r="B496" s="75">
        <v>20</v>
      </c>
      <c r="C496" s="115">
        <v>6</v>
      </c>
      <c r="D496" s="2" t="s">
        <v>432</v>
      </c>
      <c r="E496" s="115"/>
      <c r="F496" s="18">
        <v>3725000</v>
      </c>
      <c r="G496" s="18"/>
      <c r="H496" s="18"/>
      <c r="I496" s="18"/>
      <c r="J496" s="18"/>
      <c r="K496" s="53">
        <f>SUM(F496:J496)</f>
        <v>3725000</v>
      </c>
      <c r="L496" s="24" t="s">
        <v>288</v>
      </c>
      <c r="N496" s="265"/>
    </row>
    <row r="497" spans="1:14" s="52" customFormat="1" ht="12.4"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4" customHeight="1" x14ac:dyDescent="0.2">
      <c r="A498" s="22" t="s">
        <v>621</v>
      </c>
      <c r="B498" s="75">
        <v>20</v>
      </c>
      <c r="C498" s="115">
        <v>8</v>
      </c>
      <c r="D498" s="2" t="s">
        <v>432</v>
      </c>
      <c r="E498" s="115"/>
      <c r="F498" s="18">
        <v>470000</v>
      </c>
      <c r="G498" s="18"/>
      <c r="H498" s="18"/>
      <c r="I498" s="18"/>
      <c r="J498" s="18"/>
      <c r="K498" s="53">
        <f t="shared" si="35"/>
        <v>470000</v>
      </c>
      <c r="L498" s="24" t="s">
        <v>288</v>
      </c>
      <c r="N498" s="265"/>
    </row>
    <row r="499" spans="1:14" s="52" customFormat="1" ht="12.4" customHeight="1" x14ac:dyDescent="0.2">
      <c r="A499" s="200" t="s">
        <v>622</v>
      </c>
      <c r="B499" s="201">
        <v>20</v>
      </c>
      <c r="C499" s="202">
        <v>9</v>
      </c>
      <c r="D499" s="203" t="s">
        <v>432</v>
      </c>
      <c r="E499" s="202"/>
      <c r="F499" s="204">
        <v>3255000</v>
      </c>
      <c r="G499" s="204"/>
      <c r="H499" s="204"/>
      <c r="I499" s="204"/>
      <c r="J499" s="204"/>
      <c r="K499" s="205">
        <f t="shared" si="35"/>
        <v>3255000</v>
      </c>
      <c r="L499" s="206" t="s">
        <v>288</v>
      </c>
      <c r="N499" s="265"/>
    </row>
    <row r="500" spans="1:14" s="52" customFormat="1" ht="12.4" customHeight="1" thickBot="1" x14ac:dyDescent="0.25">
      <c r="A500" s="22" t="s">
        <v>623</v>
      </c>
      <c r="B500" s="75">
        <v>20</v>
      </c>
      <c r="C500" s="115">
        <v>10</v>
      </c>
      <c r="D500" s="2" t="s">
        <v>432</v>
      </c>
      <c r="E500" s="115"/>
      <c r="F500" s="18">
        <v>534703.5</v>
      </c>
      <c r="G500" s="18"/>
      <c r="H500" s="18"/>
      <c r="I500" s="18"/>
      <c r="J500" s="18"/>
      <c r="K500" s="53">
        <f t="shared" si="35"/>
        <v>534703.5</v>
      </c>
      <c r="L500" s="24" t="s">
        <v>288</v>
      </c>
      <c r="N500" s="265"/>
    </row>
    <row r="501" spans="1:14" s="52" customFormat="1" ht="12.4" customHeight="1" thickTop="1" x14ac:dyDescent="0.2">
      <c r="A501" s="139" t="s">
        <v>624</v>
      </c>
      <c r="B501" s="44">
        <v>20</v>
      </c>
      <c r="C501" s="195">
        <v>11</v>
      </c>
      <c r="D501" s="39" t="s">
        <v>432</v>
      </c>
      <c r="E501" s="195"/>
      <c r="F501" s="42">
        <f>SUM(F499:F500)</f>
        <v>3789703.5</v>
      </c>
      <c r="G501" s="42">
        <f>SUM(G499:G500)</f>
        <v>0</v>
      </c>
      <c r="H501" s="42">
        <f>SUM(H499:H500)</f>
        <v>0</v>
      </c>
      <c r="I501" s="42">
        <f>SUM(I499:I500)</f>
        <v>0</v>
      </c>
      <c r="J501" s="42">
        <f>SUM(J499:J500)</f>
        <v>0</v>
      </c>
      <c r="K501" s="42">
        <f t="shared" si="35"/>
        <v>3789703.5</v>
      </c>
      <c r="L501" s="45" t="s">
        <v>288</v>
      </c>
      <c r="N501" s="265"/>
    </row>
    <row r="502" spans="1:14" s="52" customFormat="1" ht="12.4" customHeight="1" x14ac:dyDescent="0.2">
      <c r="A502" s="200" t="s">
        <v>651</v>
      </c>
      <c r="B502" s="201">
        <v>20</v>
      </c>
      <c r="C502" s="202">
        <v>12</v>
      </c>
      <c r="D502" s="203" t="s">
        <v>432</v>
      </c>
      <c r="E502" s="202"/>
      <c r="F502" s="204">
        <v>465000</v>
      </c>
      <c r="G502" s="204"/>
      <c r="H502" s="204"/>
      <c r="I502" s="204"/>
      <c r="J502" s="204"/>
      <c r="K502" s="205">
        <f t="shared" si="35"/>
        <v>465000</v>
      </c>
      <c r="L502" s="206" t="s">
        <v>288</v>
      </c>
      <c r="N502" s="265"/>
    </row>
    <row r="503" spans="1:14" s="52" customFormat="1" ht="12.4" customHeight="1" thickBot="1" x14ac:dyDescent="0.25">
      <c r="A503" s="22" t="s">
        <v>625</v>
      </c>
      <c r="B503" s="75">
        <v>20</v>
      </c>
      <c r="C503" s="115">
        <v>13</v>
      </c>
      <c r="D503" s="2" t="s">
        <v>432</v>
      </c>
      <c r="E503" s="115"/>
      <c r="F503" s="18">
        <v>142429</v>
      </c>
      <c r="G503" s="18"/>
      <c r="H503" s="18"/>
      <c r="I503" s="18"/>
      <c r="J503" s="18"/>
      <c r="K503" s="53">
        <f t="shared" si="35"/>
        <v>142429</v>
      </c>
      <c r="L503" s="24" t="s">
        <v>288</v>
      </c>
      <c r="N503" s="265"/>
    </row>
    <row r="504" spans="1:14" s="52" customFormat="1" ht="12.4" customHeight="1" thickTop="1" x14ac:dyDescent="0.2">
      <c r="A504" s="139" t="s">
        <v>626</v>
      </c>
      <c r="B504" s="44">
        <v>20</v>
      </c>
      <c r="C504" s="195">
        <v>14</v>
      </c>
      <c r="D504" s="39" t="s">
        <v>432</v>
      </c>
      <c r="E504" s="195"/>
      <c r="F504" s="42">
        <f>SUM(F502:F503)</f>
        <v>607429</v>
      </c>
      <c r="G504" s="42">
        <f>SUM(G502:G503)</f>
        <v>0</v>
      </c>
      <c r="H504" s="42">
        <f>SUM(H502:H503)</f>
        <v>0</v>
      </c>
      <c r="I504" s="42">
        <f>SUM(I502:I503)</f>
        <v>0</v>
      </c>
      <c r="J504" s="42">
        <f>SUM(J502:J503)</f>
        <v>0</v>
      </c>
      <c r="K504" s="42">
        <f t="shared" si="35"/>
        <v>607429</v>
      </c>
      <c r="L504" s="45" t="s">
        <v>288</v>
      </c>
      <c r="N504" s="265"/>
    </row>
    <row r="505" spans="1:14" s="52" customFormat="1" ht="12.4" customHeight="1" x14ac:dyDescent="0.2">
      <c r="A505" s="96"/>
      <c r="B505" s="105"/>
      <c r="C505" s="115"/>
      <c r="D505" s="115"/>
      <c r="E505" s="115"/>
      <c r="F505" s="103"/>
      <c r="G505" s="103"/>
      <c r="H505" s="106"/>
      <c r="I505" s="106"/>
      <c r="J505" s="106"/>
      <c r="K505" s="106"/>
      <c r="L505" s="106"/>
      <c r="N505" s="265"/>
    </row>
    <row r="506" spans="1:14" s="52" customFormat="1" ht="12.4" customHeight="1" x14ac:dyDescent="0.2">
      <c r="C506" s="115"/>
      <c r="D506" s="115"/>
      <c r="E506" s="115"/>
      <c r="F506" s="103"/>
      <c r="G506" s="103"/>
      <c r="H506" s="106"/>
      <c r="I506" s="106"/>
      <c r="J506" s="106"/>
      <c r="K506" s="106"/>
      <c r="L506" s="106"/>
      <c r="N506" s="265"/>
    </row>
    <row r="507" spans="1:14" s="52" customFormat="1" ht="12.4" customHeight="1" x14ac:dyDescent="0.2">
      <c r="B507" s="105"/>
      <c r="F507" s="52" t="s">
        <v>41</v>
      </c>
      <c r="G507" s="103" t="s">
        <v>42</v>
      </c>
      <c r="H507" s="103" t="s">
        <v>43</v>
      </c>
      <c r="I507" s="106" t="s">
        <v>44</v>
      </c>
      <c r="J507" s="24" t="s">
        <v>288</v>
      </c>
      <c r="K507" s="24" t="s">
        <v>288</v>
      </c>
      <c r="L507" s="24" t="s">
        <v>288</v>
      </c>
      <c r="N507" s="265"/>
    </row>
    <row r="508" spans="1:14" s="52" customFormat="1" ht="12.4"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4" customHeight="1" x14ac:dyDescent="0.2">
      <c r="A509" s="96" t="s">
        <v>45</v>
      </c>
      <c r="B509" s="22"/>
      <c r="C509" s="22"/>
      <c r="D509" s="22"/>
      <c r="E509" s="22"/>
      <c r="F509" s="22"/>
      <c r="G509" s="22"/>
      <c r="H509" s="22"/>
      <c r="I509" s="22"/>
      <c r="J509" s="53"/>
      <c r="K509" s="53"/>
      <c r="L509" s="53"/>
      <c r="N509" s="265"/>
    </row>
    <row r="510" spans="1:14" s="52" customFormat="1" ht="12.4" customHeight="1" x14ac:dyDescent="0.2">
      <c r="A510" s="147" t="s">
        <v>1586</v>
      </c>
      <c r="B510" s="22"/>
      <c r="C510" s="22"/>
      <c r="D510" s="22"/>
      <c r="E510" s="22"/>
      <c r="F510" s="122" t="s">
        <v>46</v>
      </c>
      <c r="G510" s="122"/>
      <c r="H510" s="123" t="s">
        <v>47</v>
      </c>
      <c r="I510" s="123"/>
      <c r="J510" s="53"/>
      <c r="K510" s="53"/>
      <c r="L510" s="53"/>
      <c r="N510" s="265"/>
    </row>
    <row r="511" spans="1:14" s="52" customFormat="1" ht="12.4" customHeight="1" x14ac:dyDescent="0.2">
      <c r="A511" s="96"/>
      <c r="B511" s="22"/>
      <c r="C511" s="22"/>
      <c r="D511" s="22"/>
      <c r="E511" s="22"/>
      <c r="F511" s="113" t="s">
        <v>48</v>
      </c>
      <c r="G511" s="113" t="s">
        <v>49</v>
      </c>
      <c r="H511" s="114" t="s">
        <v>48</v>
      </c>
      <c r="I511" s="114" t="s">
        <v>49</v>
      </c>
      <c r="J511" s="53"/>
      <c r="K511" s="53"/>
      <c r="L511" s="53"/>
      <c r="N511" s="265"/>
    </row>
    <row r="512" spans="1:14" s="52" customFormat="1" ht="12.4"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4"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4"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4"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4"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4"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4"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4"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4"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4"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4" customHeight="1" x14ac:dyDescent="0.2">
      <c r="A522" s="22" t="s">
        <v>633</v>
      </c>
      <c r="B522" s="105">
        <v>21</v>
      </c>
      <c r="C522" s="115">
        <v>1</v>
      </c>
      <c r="D522" s="2" t="s">
        <v>432</v>
      </c>
      <c r="E522" s="115"/>
      <c r="F522" s="18">
        <v>2548059.4900000002</v>
      </c>
      <c r="G522" s="18">
        <v>1097825.43</v>
      </c>
      <c r="H522" s="18">
        <v>443500.69</v>
      </c>
      <c r="I522" s="18">
        <v>24775.56</v>
      </c>
      <c r="J522" s="18">
        <v>2079.5</v>
      </c>
      <c r="K522" s="18"/>
      <c r="L522" s="88">
        <f>SUM(F522:K522)</f>
        <v>4116240.67</v>
      </c>
      <c r="N522" s="265"/>
    </row>
    <row r="523" spans="1:14" s="52" customFormat="1" ht="12.4"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4"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4" customHeight="1" thickTop="1" x14ac:dyDescent="0.2">
      <c r="A525" s="139" t="s">
        <v>63</v>
      </c>
      <c r="B525" s="107">
        <v>21</v>
      </c>
      <c r="C525" s="195">
        <v>4</v>
      </c>
      <c r="D525" s="196" t="s">
        <v>432</v>
      </c>
      <c r="E525" s="195"/>
      <c r="F525" s="108">
        <f>SUM(F522:F524)</f>
        <v>2548059.4900000002</v>
      </c>
      <c r="G525" s="108">
        <f t="shared" ref="G525:L525" si="36">SUM(G522:G524)</f>
        <v>1097825.43</v>
      </c>
      <c r="H525" s="108">
        <f t="shared" si="36"/>
        <v>443500.69</v>
      </c>
      <c r="I525" s="108">
        <f t="shared" si="36"/>
        <v>24775.56</v>
      </c>
      <c r="J525" s="108">
        <f t="shared" si="36"/>
        <v>2079.5</v>
      </c>
      <c r="K525" s="108">
        <f t="shared" si="36"/>
        <v>0</v>
      </c>
      <c r="L525" s="89">
        <f t="shared" si="36"/>
        <v>4116240.67</v>
      </c>
      <c r="N525" s="265"/>
    </row>
    <row r="526" spans="1:14" s="3" customFormat="1" ht="12.4"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4" customHeight="1" x14ac:dyDescent="0.15">
      <c r="A527" s="22" t="s">
        <v>633</v>
      </c>
      <c r="B527" s="105">
        <v>21</v>
      </c>
      <c r="C527" s="115">
        <v>5</v>
      </c>
      <c r="D527" s="2" t="s">
        <v>432</v>
      </c>
      <c r="E527" s="115"/>
      <c r="F527" s="18">
        <v>1251335.55</v>
      </c>
      <c r="G527" s="18">
        <v>539061.23</v>
      </c>
      <c r="H527" s="18">
        <v>16314</v>
      </c>
      <c r="I527" s="18">
        <v>5915.43</v>
      </c>
      <c r="J527" s="18"/>
      <c r="K527" s="18"/>
      <c r="L527" s="88">
        <f>SUM(F527:K527)</f>
        <v>1812626.21</v>
      </c>
      <c r="M527" s="8"/>
      <c r="N527" s="266"/>
    </row>
    <row r="528" spans="1:14" s="3" customFormat="1" ht="12.4"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4"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4" customHeight="1" thickTop="1" x14ac:dyDescent="0.15">
      <c r="A530" s="139" t="s">
        <v>65</v>
      </c>
      <c r="B530" s="107">
        <v>21</v>
      </c>
      <c r="C530" s="107">
        <v>8</v>
      </c>
      <c r="D530" s="158" t="s">
        <v>432</v>
      </c>
      <c r="E530" s="107"/>
      <c r="F530" s="89">
        <f>SUM(F527:F529)</f>
        <v>1251335.55</v>
      </c>
      <c r="G530" s="89">
        <f t="shared" ref="G530:L530" si="37">SUM(G527:G529)</f>
        <v>539061.23</v>
      </c>
      <c r="H530" s="89">
        <f t="shared" si="37"/>
        <v>16314</v>
      </c>
      <c r="I530" s="89">
        <f t="shared" si="37"/>
        <v>5915.43</v>
      </c>
      <c r="J530" s="89">
        <f t="shared" si="37"/>
        <v>0</v>
      </c>
      <c r="K530" s="89">
        <f t="shared" si="37"/>
        <v>0</v>
      </c>
      <c r="L530" s="89">
        <f t="shared" si="37"/>
        <v>1812626.21</v>
      </c>
      <c r="M530" s="8"/>
      <c r="N530" s="266"/>
    </row>
    <row r="531" spans="1:14" s="3" customFormat="1" ht="12.4"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4" customHeight="1" x14ac:dyDescent="0.15">
      <c r="A532" s="22" t="s">
        <v>633</v>
      </c>
      <c r="B532" s="105">
        <v>21</v>
      </c>
      <c r="C532" s="105">
        <v>9</v>
      </c>
      <c r="D532" s="2" t="s">
        <v>432</v>
      </c>
      <c r="E532" s="105"/>
      <c r="F532" s="18">
        <v>190385.54</v>
      </c>
      <c r="G532" s="18">
        <v>81865.78</v>
      </c>
      <c r="H532" s="18"/>
      <c r="I532" s="18"/>
      <c r="J532" s="18"/>
      <c r="K532" s="18"/>
      <c r="L532" s="88">
        <f>SUM(F532:K532)</f>
        <v>272251.32</v>
      </c>
      <c r="M532" s="8"/>
      <c r="N532" s="266"/>
    </row>
    <row r="533" spans="1:14" s="3" customFormat="1" ht="12.4"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4"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4" customHeight="1" thickTop="1" x14ac:dyDescent="0.15">
      <c r="A535" s="139" t="s">
        <v>67</v>
      </c>
      <c r="B535" s="107">
        <v>21</v>
      </c>
      <c r="C535" s="107">
        <v>12</v>
      </c>
      <c r="D535" s="158" t="s">
        <v>432</v>
      </c>
      <c r="E535" s="107"/>
      <c r="F535" s="89">
        <f>SUM(F532:F534)</f>
        <v>190385.54</v>
      </c>
      <c r="G535" s="89">
        <f t="shared" ref="G535:L535" si="38">SUM(G532:G534)</f>
        <v>81865.78</v>
      </c>
      <c r="H535" s="89">
        <f t="shared" si="38"/>
        <v>0</v>
      </c>
      <c r="I535" s="89">
        <f t="shared" si="38"/>
        <v>0</v>
      </c>
      <c r="J535" s="89">
        <f t="shared" si="38"/>
        <v>0</v>
      </c>
      <c r="K535" s="89">
        <f t="shared" si="38"/>
        <v>0</v>
      </c>
      <c r="L535" s="89">
        <f t="shared" si="38"/>
        <v>272251.32</v>
      </c>
      <c r="M535" s="8"/>
      <c r="N535" s="266"/>
    </row>
    <row r="536" spans="1:14" s="3" customFormat="1" ht="12.4"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4" customHeight="1" x14ac:dyDescent="0.15">
      <c r="A537" s="22" t="s">
        <v>633</v>
      </c>
      <c r="B537" s="105">
        <v>21</v>
      </c>
      <c r="C537" s="105">
        <v>13</v>
      </c>
      <c r="D537" s="2" t="s">
        <v>432</v>
      </c>
      <c r="E537" s="105"/>
      <c r="F537" s="18"/>
      <c r="G537" s="18"/>
      <c r="H537" s="18">
        <v>25392.3</v>
      </c>
      <c r="I537" s="18"/>
      <c r="J537" s="18"/>
      <c r="K537" s="18"/>
      <c r="L537" s="88">
        <f>SUM(F537:K537)</f>
        <v>25392.3</v>
      </c>
      <c r="M537" s="8"/>
      <c r="N537" s="266"/>
    </row>
    <row r="538" spans="1:14" s="3" customFormat="1" ht="12.4"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4"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4" customHeight="1" thickTop="1" x14ac:dyDescent="0.15">
      <c r="A540" s="139" t="s">
        <v>69</v>
      </c>
      <c r="B540" s="107">
        <v>21</v>
      </c>
      <c r="C540" s="107">
        <v>16</v>
      </c>
      <c r="D540" s="158" t="s">
        <v>432</v>
      </c>
      <c r="E540" s="107"/>
      <c r="F540" s="89">
        <f>SUM(F537:F539)</f>
        <v>0</v>
      </c>
      <c r="G540" s="89">
        <f t="shared" ref="G540:L540" si="39">SUM(G537:G539)</f>
        <v>0</v>
      </c>
      <c r="H540" s="89">
        <f t="shared" si="39"/>
        <v>25392.3</v>
      </c>
      <c r="I540" s="89">
        <f t="shared" si="39"/>
        <v>0</v>
      </c>
      <c r="J540" s="89">
        <f t="shared" si="39"/>
        <v>0</v>
      </c>
      <c r="K540" s="89">
        <f t="shared" si="39"/>
        <v>0</v>
      </c>
      <c r="L540" s="89">
        <f t="shared" si="39"/>
        <v>25392.3</v>
      </c>
      <c r="M540" s="8"/>
      <c r="N540" s="266"/>
    </row>
    <row r="541" spans="1:14" s="3" customFormat="1" ht="12.4"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4" customHeight="1" x14ac:dyDescent="0.15">
      <c r="A542" s="22" t="s">
        <v>633</v>
      </c>
      <c r="B542" s="105">
        <v>21</v>
      </c>
      <c r="C542" s="105">
        <v>17</v>
      </c>
      <c r="D542" s="2" t="s">
        <v>432</v>
      </c>
      <c r="E542" s="105"/>
      <c r="F542" s="18"/>
      <c r="G542" s="18"/>
      <c r="H542" s="18">
        <v>185410.24</v>
      </c>
      <c r="I542" s="18"/>
      <c r="J542" s="18"/>
      <c r="K542" s="18"/>
      <c r="L542" s="88">
        <f>SUM(F542:K542)</f>
        <v>185410.24</v>
      </c>
      <c r="M542" s="8"/>
      <c r="N542" s="266"/>
    </row>
    <row r="543" spans="1:14" s="3" customFormat="1" ht="12.4"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4"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4" customHeight="1" thickTop="1" thickBot="1" x14ac:dyDescent="0.2">
      <c r="A545" s="130" t="s">
        <v>71</v>
      </c>
      <c r="B545" s="191">
        <v>21</v>
      </c>
      <c r="C545" s="191">
        <v>20</v>
      </c>
      <c r="D545" s="192" t="s">
        <v>432</v>
      </c>
      <c r="E545" s="191"/>
      <c r="F545" s="193">
        <f>SUM(F542:F544)</f>
        <v>0</v>
      </c>
      <c r="G545" s="193">
        <f t="shared" ref="G545:L545" si="40">SUM(G542:G544)</f>
        <v>0</v>
      </c>
      <c r="H545" s="193">
        <f t="shared" si="40"/>
        <v>185410.24</v>
      </c>
      <c r="I545" s="193">
        <f t="shared" si="40"/>
        <v>0</v>
      </c>
      <c r="J545" s="193">
        <f t="shared" si="40"/>
        <v>0</v>
      </c>
      <c r="K545" s="193">
        <f t="shared" si="40"/>
        <v>0</v>
      </c>
      <c r="L545" s="193">
        <f t="shared" si="40"/>
        <v>185410.24</v>
      </c>
      <c r="M545" s="8"/>
      <c r="N545" s="266"/>
    </row>
    <row r="546" spans="1:14" s="3" customFormat="1" ht="12.4" customHeight="1" thickTop="1" x14ac:dyDescent="0.15">
      <c r="A546" s="98" t="s">
        <v>72</v>
      </c>
      <c r="B546" s="107">
        <v>21</v>
      </c>
      <c r="C546" s="107">
        <v>21</v>
      </c>
      <c r="D546" s="158" t="s">
        <v>432</v>
      </c>
      <c r="E546" s="107"/>
      <c r="F546" s="89">
        <f>F525+F530+F535+F540+F545</f>
        <v>3989780.58</v>
      </c>
      <c r="G546" s="89">
        <f t="shared" ref="G546:L546" si="41">G525+G530+G535+G540+G545</f>
        <v>1718752.44</v>
      </c>
      <c r="H546" s="89">
        <f t="shared" si="41"/>
        <v>670617.23</v>
      </c>
      <c r="I546" s="89">
        <f t="shared" si="41"/>
        <v>30690.99</v>
      </c>
      <c r="J546" s="89">
        <f t="shared" si="41"/>
        <v>2079.5</v>
      </c>
      <c r="K546" s="89">
        <f t="shared" si="41"/>
        <v>0</v>
      </c>
      <c r="L546" s="89">
        <f t="shared" si="41"/>
        <v>6411920.7400000002</v>
      </c>
      <c r="M546" s="8"/>
      <c r="N546" s="266"/>
    </row>
    <row r="547" spans="1:14" s="3" customFormat="1" ht="12.4" customHeight="1" x14ac:dyDescent="0.15">
      <c r="A547" s="99"/>
      <c r="B547" s="105"/>
      <c r="C547" s="105"/>
      <c r="D547" s="105"/>
      <c r="E547" s="105"/>
      <c r="F547" s="87"/>
      <c r="G547" s="87"/>
      <c r="H547" s="87"/>
      <c r="I547" s="87"/>
      <c r="J547" s="87"/>
      <c r="K547" s="87"/>
      <c r="L547" s="87"/>
      <c r="M547" s="8"/>
      <c r="N547" s="266"/>
    </row>
    <row r="548" spans="1:14" s="3" customFormat="1" ht="12.4"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4"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4" customHeight="1" x14ac:dyDescent="0.15">
      <c r="A550" s="22" t="s">
        <v>633</v>
      </c>
      <c r="B550" s="75">
        <v>21</v>
      </c>
      <c r="C550" s="75">
        <v>22</v>
      </c>
      <c r="D550" s="2" t="s">
        <v>432</v>
      </c>
      <c r="E550" s="75"/>
      <c r="F550" s="87">
        <f>L522</f>
        <v>4116240.67</v>
      </c>
      <c r="G550" s="87">
        <f>L527</f>
        <v>1812626.21</v>
      </c>
      <c r="H550" s="87">
        <f>L532</f>
        <v>272251.32</v>
      </c>
      <c r="I550" s="87">
        <f>L537</f>
        <v>25392.3</v>
      </c>
      <c r="J550" s="87">
        <f>L542</f>
        <v>185410.24</v>
      </c>
      <c r="K550" s="87">
        <f>SUM(F550:J550)</f>
        <v>6411920.7400000002</v>
      </c>
      <c r="L550" s="24" t="s">
        <v>288</v>
      </c>
      <c r="M550" s="8"/>
      <c r="N550" s="266"/>
    </row>
    <row r="551" spans="1:14" s="3" customFormat="1" ht="12.4"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4"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4" customHeight="1" thickTop="1" x14ac:dyDescent="0.15">
      <c r="A553" s="172" t="s">
        <v>340</v>
      </c>
      <c r="B553" s="44">
        <v>21</v>
      </c>
      <c r="C553" s="44">
        <v>25</v>
      </c>
      <c r="D553" s="39" t="s">
        <v>432</v>
      </c>
      <c r="E553" s="44"/>
      <c r="F553" s="89">
        <f t="shared" ref="F553:K553" si="42">SUM(F550:F552)</f>
        <v>4116240.67</v>
      </c>
      <c r="G553" s="89">
        <f t="shared" si="42"/>
        <v>1812626.21</v>
      </c>
      <c r="H553" s="89">
        <f t="shared" si="42"/>
        <v>272251.32</v>
      </c>
      <c r="I553" s="89">
        <f t="shared" si="42"/>
        <v>25392.3</v>
      </c>
      <c r="J553" s="89">
        <f t="shared" si="42"/>
        <v>185410.24</v>
      </c>
      <c r="K553" s="89">
        <f t="shared" si="42"/>
        <v>6411920.7400000002</v>
      </c>
      <c r="L553" s="24"/>
      <c r="M553" s="8"/>
      <c r="N553" s="266"/>
    </row>
    <row r="554" spans="1:14" s="3" customFormat="1" ht="12.4" customHeight="1" x14ac:dyDescent="0.15">
      <c r="A554" s="96" t="s">
        <v>580</v>
      </c>
      <c r="B554" s="105"/>
      <c r="C554" s="105"/>
      <c r="D554" s="105"/>
      <c r="E554" s="105"/>
      <c r="F554" s="87"/>
      <c r="G554" s="87"/>
      <c r="H554" s="87"/>
      <c r="I554" s="87"/>
      <c r="J554" s="87"/>
      <c r="K554" s="87"/>
      <c r="L554" s="87"/>
      <c r="M554" s="8"/>
      <c r="N554" s="266"/>
    </row>
    <row r="555" spans="1:14" s="3" customFormat="1" ht="12.4"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4"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4"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4"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4"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4"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4"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4"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4" customHeight="1" x14ac:dyDescent="0.15">
      <c r="A563" s="22" t="s">
        <v>633</v>
      </c>
      <c r="B563" s="105">
        <v>22</v>
      </c>
      <c r="C563" s="115">
        <v>5</v>
      </c>
      <c r="D563" s="2" t="s">
        <v>432</v>
      </c>
      <c r="E563" s="115"/>
      <c r="F563" s="18">
        <v>89179</v>
      </c>
      <c r="G563" s="18">
        <v>38346.97</v>
      </c>
      <c r="H563" s="18"/>
      <c r="I563" s="18"/>
      <c r="J563" s="18"/>
      <c r="K563" s="18"/>
      <c r="L563" s="88">
        <f>SUM(F563:K563)</f>
        <v>127525.97</v>
      </c>
      <c r="M563" s="8"/>
      <c r="N563" s="266"/>
    </row>
    <row r="564" spans="1:14" s="3" customFormat="1" ht="12.4"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4"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4" customHeight="1" thickTop="1" x14ac:dyDescent="0.15">
      <c r="A566" s="139" t="s">
        <v>65</v>
      </c>
      <c r="B566" s="107">
        <v>22</v>
      </c>
      <c r="C566" s="107">
        <v>8</v>
      </c>
      <c r="D566" s="196" t="s">
        <v>432</v>
      </c>
      <c r="E566" s="107"/>
      <c r="F566" s="89">
        <f t="shared" ref="F566:L566" si="44">SUM(F563:F565)</f>
        <v>89179</v>
      </c>
      <c r="G566" s="89">
        <f t="shared" si="44"/>
        <v>38346.97</v>
      </c>
      <c r="H566" s="89">
        <f t="shared" si="44"/>
        <v>0</v>
      </c>
      <c r="I566" s="89">
        <f t="shared" si="44"/>
        <v>0</v>
      </c>
      <c r="J566" s="89">
        <f t="shared" si="44"/>
        <v>0</v>
      </c>
      <c r="K566" s="89">
        <f t="shared" si="44"/>
        <v>0</v>
      </c>
      <c r="L566" s="89">
        <f t="shared" si="44"/>
        <v>127525.97</v>
      </c>
      <c r="M566" s="8"/>
      <c r="N566" s="266"/>
    </row>
    <row r="567" spans="1:14" s="3" customFormat="1" ht="12.4"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4"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4"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4"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4"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4" customHeight="1" thickTop="1" x14ac:dyDescent="0.15">
      <c r="A572" s="98" t="s">
        <v>88</v>
      </c>
      <c r="B572" s="107">
        <v>22</v>
      </c>
      <c r="C572" s="107">
        <v>13</v>
      </c>
      <c r="D572" s="158" t="s">
        <v>432</v>
      </c>
      <c r="E572" s="107"/>
      <c r="F572" s="89">
        <f>F561+F566+F571</f>
        <v>89179</v>
      </c>
      <c r="G572" s="89">
        <f t="shared" ref="G572:L572" si="46">G561+G566+G571</f>
        <v>38346.97</v>
      </c>
      <c r="H572" s="89">
        <f t="shared" si="46"/>
        <v>0</v>
      </c>
      <c r="I572" s="89">
        <f t="shared" si="46"/>
        <v>0</v>
      </c>
      <c r="J572" s="89">
        <f t="shared" si="46"/>
        <v>0</v>
      </c>
      <c r="K572" s="89">
        <f t="shared" si="46"/>
        <v>0</v>
      </c>
      <c r="L572" s="89">
        <f t="shared" si="46"/>
        <v>127525.97</v>
      </c>
      <c r="M572" s="8"/>
      <c r="N572" s="266"/>
    </row>
    <row r="573" spans="1:14" s="3" customFormat="1" ht="12.4" customHeight="1" x14ac:dyDescent="0.15">
      <c r="A573" s="97"/>
      <c r="B573" s="75"/>
      <c r="C573" s="75"/>
      <c r="D573" s="75"/>
      <c r="E573" s="75"/>
      <c r="F573" s="87"/>
      <c r="G573" s="87"/>
      <c r="H573" s="87"/>
      <c r="I573" s="87"/>
      <c r="J573" s="87"/>
      <c r="K573" s="87"/>
      <c r="L573" s="87"/>
      <c r="M573" s="8"/>
      <c r="N573" s="266"/>
    </row>
    <row r="574" spans="1:14" s="3" customFormat="1" ht="12.4" customHeight="1" x14ac:dyDescent="0.15">
      <c r="A574" s="97" t="s">
        <v>771</v>
      </c>
      <c r="B574" s="75"/>
      <c r="C574" s="75"/>
      <c r="D574" s="75"/>
      <c r="E574" s="75"/>
      <c r="F574" s="87"/>
      <c r="G574" s="87"/>
      <c r="H574" s="87"/>
      <c r="I574" s="87"/>
      <c r="J574" s="87"/>
      <c r="K574" s="87"/>
      <c r="L574" s="87"/>
      <c r="M574" s="8"/>
      <c r="N574" s="266"/>
    </row>
    <row r="575" spans="1:14" s="3" customFormat="1" ht="12.4"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4"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4"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4"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4"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4"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4"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4"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4" customHeight="1" x14ac:dyDescent="0.15">
      <c r="A583" s="146" t="s">
        <v>673</v>
      </c>
      <c r="B583" s="75">
        <v>22</v>
      </c>
      <c r="C583" s="75">
        <v>21</v>
      </c>
      <c r="D583" s="2" t="s">
        <v>432</v>
      </c>
      <c r="E583" s="75">
        <v>564</v>
      </c>
      <c r="F583" s="18">
        <v>336567.79</v>
      </c>
      <c r="G583" s="18"/>
      <c r="H583" s="18"/>
      <c r="I583" s="87">
        <f t="shared" si="47"/>
        <v>336567.79</v>
      </c>
      <c r="J583" s="24" t="s">
        <v>288</v>
      </c>
      <c r="K583" s="24" t="s">
        <v>288</v>
      </c>
      <c r="L583" s="24" t="s">
        <v>288</v>
      </c>
      <c r="M583" s="8"/>
      <c r="N583" s="266"/>
    </row>
    <row r="584" spans="1:14" s="3" customFormat="1" ht="12.4"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4"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4"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4"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4"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4" customHeight="1" x14ac:dyDescent="0.15">
      <c r="A589" s="173" t="s">
        <v>743</v>
      </c>
      <c r="B589" s="105"/>
      <c r="C589" s="105"/>
      <c r="D589" s="105"/>
      <c r="E589" s="105"/>
      <c r="F589" s="103"/>
      <c r="G589" s="103"/>
      <c r="H589" s="103"/>
      <c r="I589" s="103"/>
      <c r="J589" s="103"/>
      <c r="K589" s="103"/>
      <c r="L589" s="103"/>
      <c r="M589" s="8"/>
      <c r="N589" s="266"/>
    </row>
    <row r="590" spans="1:14" s="3" customFormat="1" ht="12.4" customHeight="1" x14ac:dyDescent="0.15">
      <c r="A590" s="147" t="s">
        <v>654</v>
      </c>
      <c r="B590" s="105"/>
      <c r="C590" s="105"/>
      <c r="D590" s="105"/>
      <c r="E590" s="105"/>
      <c r="F590" s="103"/>
      <c r="G590" s="103"/>
      <c r="H590" s="103"/>
      <c r="I590" s="103"/>
      <c r="J590" s="103"/>
      <c r="K590" s="103"/>
      <c r="L590" s="103"/>
      <c r="M590" s="8"/>
      <c r="N590" s="266"/>
    </row>
    <row r="591" spans="1:14" s="3" customFormat="1" ht="12.4"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4" customHeight="1" x14ac:dyDescent="0.15">
      <c r="A592" s="3" t="s">
        <v>637</v>
      </c>
      <c r="B592" s="75">
        <v>23</v>
      </c>
      <c r="C592" s="75">
        <v>1</v>
      </c>
      <c r="D592" s="2" t="s">
        <v>432</v>
      </c>
      <c r="E592" s="75"/>
      <c r="F592" s="102">
        <v>2721</v>
      </c>
      <c r="G592" s="103" t="s">
        <v>97</v>
      </c>
      <c r="H592" s="18">
        <v>329121.36</v>
      </c>
      <c r="I592" s="18"/>
      <c r="J592" s="18"/>
      <c r="K592" s="104">
        <f t="shared" ref="K592:K598" si="48">SUM(H592:J592)</f>
        <v>329121.36</v>
      </c>
      <c r="L592" s="24" t="s">
        <v>288</v>
      </c>
      <c r="M592" s="8"/>
      <c r="N592" s="266"/>
    </row>
    <row r="593" spans="1:14" s="3" customFormat="1" ht="12.4" customHeight="1" x14ac:dyDescent="0.15">
      <c r="A593" s="3" t="s">
        <v>638</v>
      </c>
      <c r="B593" s="75">
        <v>23</v>
      </c>
      <c r="C593" s="75">
        <v>2</v>
      </c>
      <c r="D593" s="2" t="s">
        <v>432</v>
      </c>
      <c r="E593" s="75"/>
      <c r="F593" s="102">
        <v>2722</v>
      </c>
      <c r="G593" s="103" t="s">
        <v>97</v>
      </c>
      <c r="H593" s="18">
        <v>185410.24</v>
      </c>
      <c r="I593" s="18"/>
      <c r="J593" s="18"/>
      <c r="K593" s="104">
        <f t="shared" si="48"/>
        <v>185410.24</v>
      </c>
      <c r="L593" s="24" t="s">
        <v>288</v>
      </c>
      <c r="M593" s="8"/>
      <c r="N593" s="266"/>
    </row>
    <row r="594" spans="1:14" s="3" customFormat="1" ht="12.4"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4"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4"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4"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4" customHeight="1" thickBot="1" x14ac:dyDescent="0.2">
      <c r="A598" s="3" t="s">
        <v>655</v>
      </c>
      <c r="B598" s="75">
        <v>23</v>
      </c>
      <c r="C598" s="75">
        <v>7</v>
      </c>
      <c r="D598" s="2" t="s">
        <v>432</v>
      </c>
      <c r="E598" s="75"/>
      <c r="F598" s="102">
        <v>2729</v>
      </c>
      <c r="G598" s="103" t="s">
        <v>97</v>
      </c>
      <c r="H598" s="18">
        <v>14889.76</v>
      </c>
      <c r="I598" s="18"/>
      <c r="J598" s="18"/>
      <c r="K598" s="104">
        <f t="shared" si="48"/>
        <v>14889.76</v>
      </c>
      <c r="L598" s="24" t="s">
        <v>288</v>
      </c>
      <c r="M598" s="8"/>
      <c r="N598" s="266"/>
    </row>
    <row r="599" spans="1:14" s="3" customFormat="1" ht="12.4" customHeight="1" thickTop="1" x14ac:dyDescent="0.15">
      <c r="A599" s="98" t="s">
        <v>340</v>
      </c>
      <c r="B599" s="44">
        <v>23</v>
      </c>
      <c r="C599" s="44">
        <v>8</v>
      </c>
      <c r="D599" s="39" t="s">
        <v>432</v>
      </c>
      <c r="E599" s="44"/>
      <c r="F599" s="148">
        <v>2700</v>
      </c>
      <c r="G599" s="149" t="s">
        <v>97</v>
      </c>
      <c r="H599" s="108">
        <f>SUM(H592:H598)</f>
        <v>529421.36</v>
      </c>
      <c r="I599" s="108">
        <f>SUM(I592:I598)</f>
        <v>0</v>
      </c>
      <c r="J599" s="108">
        <f>SUM(J592:J598)</f>
        <v>0</v>
      </c>
      <c r="K599" s="108">
        <f>SUM(K592:K598)</f>
        <v>529421.36</v>
      </c>
      <c r="L599" s="24" t="s">
        <v>288</v>
      </c>
      <c r="M599" s="8"/>
      <c r="N599" s="266"/>
    </row>
    <row r="600" spans="1:14" s="3" customFormat="1" ht="12.4" customHeight="1" x14ac:dyDescent="0.15">
      <c r="A600" s="22"/>
      <c r="B600" s="105"/>
      <c r="C600" s="105"/>
      <c r="D600" s="105"/>
      <c r="E600" s="105"/>
      <c r="F600" s="103"/>
      <c r="G600" s="103"/>
      <c r="H600" s="103"/>
      <c r="I600" s="103"/>
      <c r="J600" s="103"/>
      <c r="K600" s="103"/>
      <c r="L600" s="103"/>
      <c r="M600" s="8"/>
      <c r="N600" s="266"/>
    </row>
    <row r="601" spans="1:14" s="3" customFormat="1" ht="12.4" customHeight="1" x14ac:dyDescent="0.15">
      <c r="A601" s="96" t="s">
        <v>98</v>
      </c>
      <c r="B601" s="105"/>
      <c r="C601" s="105"/>
      <c r="D601" s="105"/>
      <c r="E601" s="105"/>
      <c r="F601" s="103"/>
      <c r="G601" s="103"/>
      <c r="H601" s="103"/>
      <c r="I601" s="103"/>
      <c r="J601" s="103"/>
      <c r="K601" s="103"/>
      <c r="L601" s="103"/>
      <c r="M601" s="8"/>
      <c r="N601" s="266"/>
    </row>
    <row r="602" spans="1:14" s="3" customFormat="1" ht="12.4"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4"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4"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4" customHeight="1" thickBot="1" x14ac:dyDescent="0.2">
      <c r="A605" s="22" t="s">
        <v>644</v>
      </c>
      <c r="B605" s="105">
        <v>23</v>
      </c>
      <c r="C605" s="105">
        <v>11</v>
      </c>
      <c r="D605" s="2" t="s">
        <v>432</v>
      </c>
      <c r="E605" s="105"/>
      <c r="F605" s="103" t="s">
        <v>476</v>
      </c>
      <c r="G605" s="102">
        <v>730</v>
      </c>
      <c r="H605" s="18">
        <f>18062.04+7603.5</f>
        <v>25665.54</v>
      </c>
      <c r="I605" s="18"/>
      <c r="J605" s="18"/>
      <c r="K605" s="104">
        <f>SUM(H605:J605)</f>
        <v>25665.54</v>
      </c>
      <c r="L605" s="24" t="s">
        <v>288</v>
      </c>
      <c r="M605" s="8"/>
      <c r="N605" s="266"/>
    </row>
    <row r="606" spans="1:14" s="3" customFormat="1" ht="12.4" customHeight="1" thickTop="1" x14ac:dyDescent="0.15">
      <c r="A606" s="98" t="s">
        <v>340</v>
      </c>
      <c r="B606" s="44">
        <v>23</v>
      </c>
      <c r="C606" s="44">
        <v>12</v>
      </c>
      <c r="D606" s="39" t="s">
        <v>432</v>
      </c>
      <c r="E606" s="44"/>
      <c r="F606" s="149" t="s">
        <v>476</v>
      </c>
      <c r="G606" s="148">
        <v>700</v>
      </c>
      <c r="H606" s="108">
        <f>SUM(H603:H605)</f>
        <v>25665.54</v>
      </c>
      <c r="I606" s="108">
        <f>SUM(I603:I605)</f>
        <v>0</v>
      </c>
      <c r="J606" s="108">
        <f>SUM(J603:J605)</f>
        <v>0</v>
      </c>
      <c r="K606" s="108">
        <f>SUM(K603:K605)</f>
        <v>25665.54</v>
      </c>
      <c r="L606" s="24" t="s">
        <v>288</v>
      </c>
      <c r="M606" s="8"/>
      <c r="N606" s="266"/>
    </row>
    <row r="607" spans="1:14" s="3" customFormat="1" ht="12.4" customHeight="1" x14ac:dyDescent="0.15">
      <c r="A607" s="22"/>
      <c r="B607" s="105"/>
      <c r="C607" s="105"/>
      <c r="D607" s="105"/>
      <c r="E607" s="105"/>
      <c r="F607" s="103"/>
      <c r="G607" s="103"/>
      <c r="H607" s="103"/>
      <c r="I607" s="103"/>
      <c r="J607" s="103"/>
      <c r="K607" s="103"/>
      <c r="L607" s="88"/>
      <c r="M607" s="8"/>
      <c r="N607" s="266"/>
    </row>
    <row r="608" spans="1:14" s="3" customFormat="1" ht="12.4" customHeight="1" x14ac:dyDescent="0.15">
      <c r="A608" s="96"/>
      <c r="B608" s="105"/>
      <c r="C608" s="105"/>
      <c r="D608" s="105"/>
      <c r="E608" s="105"/>
      <c r="F608" s="103"/>
      <c r="G608" s="103"/>
      <c r="H608" s="103"/>
      <c r="I608" s="103"/>
      <c r="J608" s="103"/>
      <c r="K608" s="103"/>
      <c r="L608" s="88"/>
      <c r="M608" s="8"/>
      <c r="N608" s="266"/>
    </row>
    <row r="609" spans="1:14" s="3" customFormat="1" ht="12.4" customHeight="1" x14ac:dyDescent="0.15">
      <c r="A609" s="96" t="s">
        <v>581</v>
      </c>
      <c r="B609" s="105"/>
      <c r="C609" s="105"/>
      <c r="D609" s="105"/>
      <c r="E609" s="105"/>
      <c r="F609" s="103"/>
      <c r="G609" s="103"/>
      <c r="H609" s="103"/>
      <c r="I609" s="103"/>
      <c r="J609" s="103"/>
      <c r="K609" s="103"/>
      <c r="L609" s="88"/>
      <c r="M609" s="8"/>
      <c r="N609" s="266"/>
    </row>
    <row r="610" spans="1:14" s="3" customFormat="1" ht="12.4"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4"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4" customHeight="1" x14ac:dyDescent="0.15">
      <c r="A612" s="22" t="s">
        <v>633</v>
      </c>
      <c r="B612" s="75">
        <v>23</v>
      </c>
      <c r="C612" s="75">
        <v>13</v>
      </c>
      <c r="D612" s="2" t="s">
        <v>432</v>
      </c>
      <c r="E612" s="75"/>
      <c r="F612" s="18">
        <v>90192.53</v>
      </c>
      <c r="G612" s="18">
        <v>38782.79</v>
      </c>
      <c r="H612" s="18"/>
      <c r="I612" s="18"/>
      <c r="J612" s="18"/>
      <c r="K612" s="18"/>
      <c r="L612" s="88">
        <f>SUM(F612:K612)</f>
        <v>128975.32</v>
      </c>
      <c r="M612" s="8"/>
      <c r="N612" s="266"/>
    </row>
    <row r="613" spans="1:14" s="3" customFormat="1" ht="12.4"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4"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4" customHeight="1" thickTop="1" x14ac:dyDescent="0.15">
      <c r="A615" s="98" t="s">
        <v>340</v>
      </c>
      <c r="B615" s="107">
        <v>23</v>
      </c>
      <c r="C615" s="107">
        <v>16</v>
      </c>
      <c r="D615" s="39" t="s">
        <v>432</v>
      </c>
      <c r="E615" s="107"/>
      <c r="F615" s="108">
        <f t="shared" ref="F615:L615" si="49">SUM(F612:F614)</f>
        <v>90192.53</v>
      </c>
      <c r="G615" s="108">
        <f t="shared" si="49"/>
        <v>38782.79</v>
      </c>
      <c r="H615" s="108">
        <f t="shared" si="49"/>
        <v>0</v>
      </c>
      <c r="I615" s="108">
        <f t="shared" si="49"/>
        <v>0</v>
      </c>
      <c r="J615" s="108">
        <f t="shared" si="49"/>
        <v>0</v>
      </c>
      <c r="K615" s="108">
        <f t="shared" si="49"/>
        <v>0</v>
      </c>
      <c r="L615" s="89">
        <f t="shared" si="49"/>
        <v>128975.32</v>
      </c>
      <c r="M615" s="8"/>
    </row>
    <row r="616" spans="1:14" s="3" customFormat="1" ht="12.4" customHeight="1" x14ac:dyDescent="0.15">
      <c r="A616" s="97"/>
      <c r="B616" s="105"/>
      <c r="C616" s="105"/>
      <c r="D616" s="105"/>
      <c r="E616" s="105"/>
      <c r="F616" s="109"/>
      <c r="G616" s="109"/>
      <c r="H616" s="109"/>
      <c r="I616" s="109"/>
      <c r="J616" s="109"/>
      <c r="K616" s="109"/>
      <c r="L616" s="109"/>
      <c r="M616" s="8"/>
    </row>
    <row r="617" spans="1:14" s="3" customFormat="1" ht="12.4" customHeight="1" x14ac:dyDescent="0.15">
      <c r="A617" s="97"/>
      <c r="B617" s="105"/>
      <c r="C617" s="105"/>
      <c r="D617" s="105"/>
      <c r="E617" s="105"/>
      <c r="F617" s="150" t="s">
        <v>53</v>
      </c>
      <c r="G617" s="151"/>
      <c r="H617" s="151"/>
      <c r="I617" s="150" t="s">
        <v>53</v>
      </c>
      <c r="J617" s="109"/>
      <c r="K617" s="109"/>
      <c r="L617" s="109"/>
      <c r="M617" s="8"/>
    </row>
    <row r="618" spans="1:14" s="3" customFormat="1" ht="12.4" customHeight="1" x14ac:dyDescent="0.15">
      <c r="A618" s="97" t="s">
        <v>99</v>
      </c>
      <c r="B618" s="105"/>
      <c r="C618" s="105"/>
      <c r="D618" s="105"/>
      <c r="E618" s="105"/>
      <c r="F618" s="121" t="s">
        <v>683</v>
      </c>
      <c r="G618" s="109">
        <f>SUM(F19)</f>
        <v>2179494.3600000003</v>
      </c>
      <c r="H618" s="109">
        <f>SUM(F52)</f>
        <v>2179494.36</v>
      </c>
      <c r="I618" s="121" t="s">
        <v>875</v>
      </c>
      <c r="J618" s="109">
        <f>G618-H618</f>
        <v>0</v>
      </c>
      <c r="K618" s="109"/>
      <c r="L618" s="109"/>
      <c r="M618" s="8"/>
    </row>
    <row r="619" spans="1:14" s="3" customFormat="1" ht="12.4"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4" customHeight="1" x14ac:dyDescent="0.15">
      <c r="A620" s="97"/>
      <c r="B620" s="105"/>
      <c r="C620" s="105"/>
      <c r="D620" s="105"/>
      <c r="E620" s="105"/>
      <c r="F620" s="121" t="s">
        <v>685</v>
      </c>
      <c r="G620" s="109">
        <f>SUM(H19)</f>
        <v>21640.81</v>
      </c>
      <c r="H620" s="109">
        <f>SUM(H52)</f>
        <v>21640.81</v>
      </c>
      <c r="I620" s="121" t="s">
        <v>877</v>
      </c>
      <c r="J620" s="109">
        <f>G620-H620</f>
        <v>0</v>
      </c>
      <c r="K620" s="109"/>
      <c r="L620" s="109"/>
      <c r="M620" s="8"/>
    </row>
    <row r="621" spans="1:14" s="3" customFormat="1" ht="12.4" customHeight="1" x14ac:dyDescent="0.15">
      <c r="A621" s="97"/>
      <c r="B621" s="105"/>
      <c r="C621" s="105"/>
      <c r="D621" s="105"/>
      <c r="E621" s="105"/>
      <c r="F621" s="121" t="s">
        <v>686</v>
      </c>
      <c r="G621" s="109">
        <f>SUM(I19)</f>
        <v>268243.88</v>
      </c>
      <c r="H621" s="109">
        <f>SUM(I52)</f>
        <v>268243.88</v>
      </c>
      <c r="I621" s="121" t="s">
        <v>878</v>
      </c>
      <c r="J621" s="109">
        <f>G621-H621</f>
        <v>0</v>
      </c>
      <c r="K621" s="109"/>
      <c r="L621" s="109"/>
      <c r="M621" s="8"/>
    </row>
    <row r="622" spans="1:14" s="3" customFormat="1" ht="12.4" customHeight="1" x14ac:dyDescent="0.15">
      <c r="A622" s="97"/>
      <c r="B622" s="105"/>
      <c r="C622" s="105"/>
      <c r="D622" s="105"/>
      <c r="E622" s="105"/>
      <c r="F622" s="121" t="s">
        <v>687</v>
      </c>
      <c r="G622" s="109">
        <f>SUM(J19)</f>
        <v>451853.28</v>
      </c>
      <c r="H622" s="109">
        <f>SUM(J52)</f>
        <v>451853.28</v>
      </c>
      <c r="I622" s="121" t="s">
        <v>879</v>
      </c>
      <c r="J622" s="109">
        <f>G622-H622</f>
        <v>0</v>
      </c>
      <c r="K622" s="109"/>
      <c r="L622" s="109"/>
      <c r="M622" s="8"/>
    </row>
    <row r="623" spans="1:14" s="3" customFormat="1" ht="12.4" customHeight="1" x14ac:dyDescent="0.15">
      <c r="A623" s="97"/>
      <c r="B623" s="105"/>
      <c r="C623" s="105"/>
      <c r="D623" s="105"/>
      <c r="E623" s="105"/>
      <c r="F623" s="121" t="s">
        <v>865</v>
      </c>
      <c r="G623" s="109">
        <f>F51</f>
        <v>790170.71</v>
      </c>
      <c r="H623" s="109">
        <f>F477</f>
        <v>790170.70999999717</v>
      </c>
      <c r="I623" s="121" t="s">
        <v>101</v>
      </c>
      <c r="J623" s="109">
        <f t="shared" ref="J623:J656" si="50">G623-H623</f>
        <v>2.7939677238464355E-9</v>
      </c>
      <c r="K623" s="109"/>
      <c r="L623" s="109"/>
      <c r="M623" s="8"/>
    </row>
    <row r="624" spans="1:14" s="3" customFormat="1" ht="12.4"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4" customHeight="1" x14ac:dyDescent="0.15">
      <c r="A625" s="97"/>
      <c r="B625" s="105"/>
      <c r="C625" s="105"/>
      <c r="D625" s="105"/>
      <c r="E625" s="105"/>
      <c r="F625" s="120" t="s">
        <v>867</v>
      </c>
      <c r="G625" s="109">
        <f>H51</f>
        <v>21640.81</v>
      </c>
      <c r="H625" s="109">
        <f>H477</f>
        <v>21640.809999999998</v>
      </c>
      <c r="I625" s="121" t="s">
        <v>103</v>
      </c>
      <c r="J625" s="109">
        <f t="shared" si="50"/>
        <v>0</v>
      </c>
      <c r="K625" s="109"/>
      <c r="L625" s="109"/>
      <c r="M625" s="8"/>
    </row>
    <row r="626" spans="1:13" s="3" customFormat="1" ht="12.4" customHeight="1" x14ac:dyDescent="0.15">
      <c r="A626" s="97"/>
      <c r="B626" s="105"/>
      <c r="C626" s="105"/>
      <c r="D626" s="105"/>
      <c r="E626" s="105"/>
      <c r="F626" s="120" t="s">
        <v>868</v>
      </c>
      <c r="G626" s="109">
        <f>I51</f>
        <v>253699.43</v>
      </c>
      <c r="H626" s="109">
        <f>I477</f>
        <v>253699.43</v>
      </c>
      <c r="I626" s="121" t="s">
        <v>104</v>
      </c>
      <c r="J626" s="109">
        <f t="shared" si="50"/>
        <v>0</v>
      </c>
      <c r="K626" s="109"/>
      <c r="L626" s="109"/>
      <c r="M626" s="8"/>
    </row>
    <row r="627" spans="1:13" s="3" customFormat="1" ht="12.4" customHeight="1" x14ac:dyDescent="0.15">
      <c r="A627" s="22"/>
      <c r="B627" s="105"/>
      <c r="C627" s="105"/>
      <c r="D627" s="105"/>
      <c r="E627" s="105"/>
      <c r="F627" s="120" t="s">
        <v>869</v>
      </c>
      <c r="G627" s="109">
        <f>J51</f>
        <v>451853.28</v>
      </c>
      <c r="H627" s="109">
        <f>J477</f>
        <v>451853.27999999997</v>
      </c>
      <c r="I627" s="140" t="s">
        <v>105</v>
      </c>
      <c r="J627" s="109">
        <f t="shared" si="50"/>
        <v>0</v>
      </c>
      <c r="K627" s="85"/>
      <c r="L627" s="88"/>
      <c r="M627" s="8"/>
    </row>
    <row r="628" spans="1:13" s="3" customFormat="1" ht="12.4" customHeight="1" x14ac:dyDescent="0.15">
      <c r="A628" s="22"/>
      <c r="B628" s="105"/>
      <c r="C628" s="105"/>
      <c r="D628" s="105"/>
      <c r="E628" s="105"/>
      <c r="F628" s="120" t="s">
        <v>658</v>
      </c>
      <c r="G628" s="109">
        <f>F194</f>
        <v>19988054.34</v>
      </c>
      <c r="H628" s="104">
        <f>SUM(F469)</f>
        <v>19988054.34</v>
      </c>
      <c r="I628" s="140" t="s">
        <v>106</v>
      </c>
      <c r="J628" s="109">
        <f>G628-H628</f>
        <v>0</v>
      </c>
      <c r="K628" s="85"/>
      <c r="L628" s="88"/>
      <c r="M628" s="8"/>
    </row>
    <row r="629" spans="1:13" s="3" customFormat="1" ht="12.4" customHeight="1" x14ac:dyDescent="0.15">
      <c r="A629" s="22"/>
      <c r="B629" s="105"/>
      <c r="C629" s="105"/>
      <c r="D629" s="105"/>
      <c r="E629" s="105"/>
      <c r="F629" s="120" t="s">
        <v>659</v>
      </c>
      <c r="G629" s="109">
        <f>G194</f>
        <v>250291.99</v>
      </c>
      <c r="H629" s="104">
        <f>SUM(G469)</f>
        <v>250291.99</v>
      </c>
      <c r="I629" s="140" t="s">
        <v>107</v>
      </c>
      <c r="J629" s="109">
        <f>G629-H629</f>
        <v>0</v>
      </c>
      <c r="K629" s="85"/>
      <c r="L629" s="88"/>
      <c r="M629" s="8"/>
    </row>
    <row r="630" spans="1:13" s="3" customFormat="1" ht="12.4" customHeight="1" x14ac:dyDescent="0.15">
      <c r="A630" s="22"/>
      <c r="B630" s="105"/>
      <c r="C630" s="105"/>
      <c r="D630" s="105"/>
      <c r="E630" s="105"/>
      <c r="F630" s="120" t="s">
        <v>660</v>
      </c>
      <c r="G630" s="109">
        <f>H194</f>
        <v>413461.81</v>
      </c>
      <c r="H630" s="104">
        <f>SUM(H469)</f>
        <v>413461.81</v>
      </c>
      <c r="I630" s="140" t="s">
        <v>108</v>
      </c>
      <c r="J630" s="109">
        <f>G630-H630</f>
        <v>0</v>
      </c>
      <c r="K630" s="85"/>
      <c r="L630" s="88"/>
      <c r="M630" s="8"/>
    </row>
    <row r="631" spans="1:13" s="3" customFormat="1" ht="12.4" customHeight="1" x14ac:dyDescent="0.15">
      <c r="A631" s="22"/>
      <c r="B631" s="105"/>
      <c r="C631" s="105"/>
      <c r="D631" s="105"/>
      <c r="E631" s="105"/>
      <c r="F631" s="120" t="s">
        <v>661</v>
      </c>
      <c r="G631" s="109">
        <f>I194</f>
        <v>7408.69</v>
      </c>
      <c r="H631" s="104">
        <f>SUM(I469)</f>
        <v>7408.69</v>
      </c>
      <c r="I631" s="140" t="s">
        <v>109</v>
      </c>
      <c r="J631" s="109">
        <f>G631-H631</f>
        <v>0</v>
      </c>
      <c r="K631" s="85"/>
      <c r="L631" s="88"/>
      <c r="M631" s="8"/>
    </row>
    <row r="632" spans="1:13" s="3" customFormat="1" ht="12.4" customHeight="1" x14ac:dyDescent="0.15">
      <c r="A632" s="22"/>
      <c r="B632" s="105"/>
      <c r="C632" s="105"/>
      <c r="D632" s="105"/>
      <c r="E632" s="105"/>
      <c r="F632" s="120" t="s">
        <v>662</v>
      </c>
      <c r="G632" s="109">
        <f>J194</f>
        <v>77713.88</v>
      </c>
      <c r="H632" s="104">
        <f>SUM(J469)</f>
        <v>77713.88</v>
      </c>
      <c r="I632" s="140" t="s">
        <v>110</v>
      </c>
      <c r="J632" s="109">
        <f>G632-H632</f>
        <v>0</v>
      </c>
      <c r="K632" s="85"/>
      <c r="L632" s="88"/>
      <c r="M632" s="8"/>
    </row>
    <row r="633" spans="1:13" s="3" customFormat="1" ht="12.4" customHeight="1" x14ac:dyDescent="0.15">
      <c r="A633" s="22"/>
      <c r="B633" s="105"/>
      <c r="C633" s="105"/>
      <c r="D633" s="105"/>
      <c r="E633" s="105"/>
      <c r="F633" s="120" t="s">
        <v>394</v>
      </c>
      <c r="G633" s="109">
        <f>SUM(L272)</f>
        <v>19949526.940000001</v>
      </c>
      <c r="H633" s="104">
        <f>SUM(F473)</f>
        <v>19949526.940000001</v>
      </c>
      <c r="I633" s="140" t="s">
        <v>111</v>
      </c>
      <c r="J633" s="109">
        <f t="shared" si="50"/>
        <v>0</v>
      </c>
      <c r="K633" s="85"/>
      <c r="L633" s="88"/>
      <c r="M633" s="8"/>
    </row>
    <row r="634" spans="1:13" s="3" customFormat="1" ht="12.4" customHeight="1" x14ac:dyDescent="0.15">
      <c r="A634" s="22"/>
      <c r="B634" s="105"/>
      <c r="C634" s="105"/>
      <c r="D634" s="105"/>
      <c r="E634" s="105"/>
      <c r="F634" s="120" t="s">
        <v>395</v>
      </c>
      <c r="G634" s="109">
        <f>SUM(L353)</f>
        <v>408593.13999999996</v>
      </c>
      <c r="H634" s="104">
        <f>SUM(H473)</f>
        <v>408593.14</v>
      </c>
      <c r="I634" s="140" t="s">
        <v>112</v>
      </c>
      <c r="J634" s="109">
        <f>G634-H634</f>
        <v>0</v>
      </c>
      <c r="K634" s="85"/>
      <c r="L634" s="88"/>
      <c r="M634" s="8"/>
    </row>
    <row r="635" spans="1:13" s="169" customFormat="1" ht="12.4" customHeight="1" x14ac:dyDescent="0.15">
      <c r="A635" s="22"/>
      <c r="B635" s="105"/>
      <c r="C635" s="105"/>
      <c r="D635" s="105"/>
      <c r="E635" s="105"/>
      <c r="F635" s="142" t="s">
        <v>247</v>
      </c>
      <c r="G635" s="109">
        <f>I363</f>
        <v>61333.51</v>
      </c>
      <c r="H635" s="104">
        <f>I370</f>
        <v>61333.51</v>
      </c>
      <c r="I635" s="143" t="s">
        <v>248</v>
      </c>
      <c r="J635" s="109">
        <f>G635-H635</f>
        <v>0</v>
      </c>
      <c r="K635" s="85"/>
      <c r="L635" s="88"/>
      <c r="M635" s="168"/>
    </row>
    <row r="636" spans="1:13" s="169" customFormat="1" ht="12.4" customHeight="1" x14ac:dyDescent="0.15">
      <c r="A636" s="22"/>
      <c r="B636" s="105"/>
      <c r="C636" s="105"/>
      <c r="D636" s="105"/>
      <c r="E636" s="105"/>
      <c r="F636" s="120" t="s">
        <v>113</v>
      </c>
      <c r="G636" s="109">
        <f>SUM(L363)</f>
        <v>250291.99000000002</v>
      </c>
      <c r="H636" s="104">
        <f>SUM(G473)</f>
        <v>250291.99</v>
      </c>
      <c r="I636" s="140" t="s">
        <v>114</v>
      </c>
      <c r="J636" s="109">
        <f t="shared" si="50"/>
        <v>0</v>
      </c>
      <c r="K636" s="85"/>
      <c r="L636" s="88"/>
      <c r="M636" s="168"/>
    </row>
    <row r="637" spans="1:13" s="3" customFormat="1" ht="12.4" customHeight="1" x14ac:dyDescent="0.15">
      <c r="A637" s="22"/>
      <c r="B637" s="105"/>
      <c r="C637" s="105"/>
      <c r="D637" s="105"/>
      <c r="E637" s="105"/>
      <c r="F637" s="120" t="s">
        <v>115</v>
      </c>
      <c r="G637" s="109">
        <f>SUM(L383)</f>
        <v>249077.5</v>
      </c>
      <c r="H637" s="104">
        <f>SUM(I473)</f>
        <v>249077.5</v>
      </c>
      <c r="I637" s="140" t="s">
        <v>116</v>
      </c>
      <c r="J637" s="109">
        <f t="shared" si="50"/>
        <v>0</v>
      </c>
      <c r="K637" s="85"/>
      <c r="L637" s="88"/>
      <c r="M637" s="8"/>
    </row>
    <row r="638" spans="1:13" s="3" customFormat="1" ht="12.4" customHeight="1" x14ac:dyDescent="0.15">
      <c r="A638" s="161"/>
      <c r="B638" s="162"/>
      <c r="C638" s="162"/>
      <c r="D638" s="162"/>
      <c r="E638" s="162"/>
      <c r="F638" s="163" t="s">
        <v>477</v>
      </c>
      <c r="G638" s="151">
        <f>SUM(L409)</f>
        <v>77713.87999999999</v>
      </c>
      <c r="H638" s="164">
        <f>SUM(J469)</f>
        <v>77713.88</v>
      </c>
      <c r="I638" s="165" t="s">
        <v>110</v>
      </c>
      <c r="J638" s="151">
        <f t="shared" si="50"/>
        <v>0</v>
      </c>
      <c r="K638" s="166"/>
      <c r="L638" s="167"/>
      <c r="M638" s="8"/>
    </row>
    <row r="639" spans="1:13" s="3" customFormat="1" ht="12.4" customHeight="1" x14ac:dyDescent="0.15">
      <c r="A639" s="161"/>
      <c r="B639" s="162"/>
      <c r="C639" s="162"/>
      <c r="D639" s="162"/>
      <c r="E639" s="162"/>
      <c r="F639" s="163" t="s">
        <v>478</v>
      </c>
      <c r="G639" s="151">
        <f>SUM(L435)</f>
        <v>11913.64</v>
      </c>
      <c r="H639" s="164">
        <f>SUM(J473)</f>
        <v>11913.64</v>
      </c>
      <c r="I639" s="165" t="s">
        <v>117</v>
      </c>
      <c r="J639" s="151">
        <f t="shared" si="50"/>
        <v>0</v>
      </c>
      <c r="K639" s="166"/>
      <c r="L639" s="167"/>
      <c r="M639" s="8"/>
    </row>
    <row r="640" spans="1:13" s="3" customFormat="1" ht="12.4"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4" customHeight="1" x14ac:dyDescent="0.15">
      <c r="A641" s="22"/>
      <c r="B641" s="105"/>
      <c r="C641" s="105"/>
      <c r="D641" s="105"/>
      <c r="E641" s="105"/>
      <c r="F641" s="120" t="s">
        <v>119</v>
      </c>
      <c r="G641" s="109">
        <f>SUM(G447)</f>
        <v>451853.28</v>
      </c>
      <c r="H641" s="104">
        <f>SUM(G462)</f>
        <v>451853.28</v>
      </c>
      <c r="I641" s="140" t="s">
        <v>842</v>
      </c>
      <c r="J641" s="109">
        <f t="shared" si="50"/>
        <v>0</v>
      </c>
      <c r="K641" s="85"/>
      <c r="L641" s="88"/>
      <c r="M641" s="8"/>
    </row>
    <row r="642" spans="1:13" s="3" customFormat="1" ht="12.4"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4" customHeight="1" x14ac:dyDescent="0.15">
      <c r="A643" s="22"/>
      <c r="B643" s="105"/>
      <c r="C643" s="105"/>
      <c r="D643" s="105"/>
      <c r="E643" s="105"/>
      <c r="F643" s="120" t="s">
        <v>121</v>
      </c>
      <c r="G643" s="109">
        <f>SUM(I447)</f>
        <v>451853.28</v>
      </c>
      <c r="H643" s="104">
        <f>SUM(I462)</f>
        <v>451853.28</v>
      </c>
      <c r="I643" s="140" t="s">
        <v>844</v>
      </c>
      <c r="J643" s="109">
        <f t="shared" si="50"/>
        <v>0</v>
      </c>
      <c r="K643" s="85"/>
      <c r="L643" s="88"/>
      <c r="M643" s="8"/>
    </row>
    <row r="644" spans="1:13" s="3" customFormat="1" ht="12.4"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4" customHeight="1" x14ac:dyDescent="0.15">
      <c r="A645" s="22"/>
      <c r="B645" s="105"/>
      <c r="C645" s="105"/>
      <c r="D645" s="105"/>
      <c r="E645" s="105"/>
      <c r="F645" s="120" t="s">
        <v>663</v>
      </c>
      <c r="G645" s="109">
        <f>J96</f>
        <v>2713.88</v>
      </c>
      <c r="H645" s="104">
        <f>H409</f>
        <v>2713.8799999999997</v>
      </c>
      <c r="I645" s="140" t="s">
        <v>480</v>
      </c>
      <c r="J645" s="109">
        <f t="shared" si="50"/>
        <v>0</v>
      </c>
      <c r="K645" s="85"/>
      <c r="L645" s="88"/>
      <c r="M645" s="8"/>
    </row>
    <row r="646" spans="1:13" s="3" customFormat="1" ht="12.4" customHeight="1" x14ac:dyDescent="0.15">
      <c r="A646" s="22"/>
      <c r="B646" s="105"/>
      <c r="C646" s="105"/>
      <c r="D646" s="105"/>
      <c r="E646" s="105"/>
      <c r="F646" s="120" t="s">
        <v>664</v>
      </c>
      <c r="G646" s="109">
        <f>J184</f>
        <v>75000</v>
      </c>
      <c r="H646" s="104">
        <f>G409</f>
        <v>75000</v>
      </c>
      <c r="I646" s="140" t="s">
        <v>481</v>
      </c>
      <c r="J646" s="109">
        <f t="shared" si="50"/>
        <v>0</v>
      </c>
      <c r="K646" s="85"/>
      <c r="L646" s="88"/>
      <c r="M646" s="8"/>
    </row>
    <row r="647" spans="1:13" s="3" customFormat="1" ht="12.4" customHeight="1" x14ac:dyDescent="0.15">
      <c r="A647" s="22"/>
      <c r="B647" s="105"/>
      <c r="C647" s="105"/>
      <c r="D647" s="105"/>
      <c r="E647" s="105"/>
      <c r="F647" s="120" t="s">
        <v>662</v>
      </c>
      <c r="G647" s="109">
        <f>J194</f>
        <v>77713.88</v>
      </c>
      <c r="H647" s="104">
        <f>L409</f>
        <v>77713.87999999999</v>
      </c>
      <c r="I647" s="140" t="s">
        <v>477</v>
      </c>
      <c r="J647" s="109">
        <f t="shared" si="50"/>
        <v>0</v>
      </c>
      <c r="K647" s="85"/>
      <c r="L647" s="88"/>
      <c r="M647" s="8"/>
    </row>
    <row r="648" spans="1:13" s="3" customFormat="1" ht="12.4" customHeight="1" x14ac:dyDescent="0.15">
      <c r="A648" s="22"/>
      <c r="B648" s="105"/>
      <c r="C648" s="105"/>
      <c r="D648" s="105"/>
      <c r="E648" s="105"/>
      <c r="F648" s="120" t="s">
        <v>51</v>
      </c>
      <c r="G648" s="109">
        <f>K599</f>
        <v>529421.36</v>
      </c>
      <c r="H648" s="104">
        <f>L209+L227+L245</f>
        <v>529421.36</v>
      </c>
      <c r="I648" s="140" t="s">
        <v>396</v>
      </c>
      <c r="J648" s="109">
        <f t="shared" si="50"/>
        <v>0</v>
      </c>
      <c r="K648" s="85"/>
      <c r="L648" s="88"/>
      <c r="M648" s="8"/>
    </row>
    <row r="649" spans="1:13" s="3" customFormat="1" ht="12.4" customHeight="1" x14ac:dyDescent="0.15">
      <c r="A649" s="22"/>
      <c r="B649" s="105"/>
      <c r="C649" s="105"/>
      <c r="D649" s="105"/>
      <c r="E649" s="105"/>
      <c r="F649" s="120" t="s">
        <v>52</v>
      </c>
      <c r="G649" s="109">
        <f>K606</f>
        <v>25665.54</v>
      </c>
      <c r="H649" s="104">
        <f>(J258+J339)-(J256+J337)</f>
        <v>25665.54</v>
      </c>
      <c r="I649" s="140" t="s">
        <v>699</v>
      </c>
      <c r="J649" s="109">
        <f t="shared" si="50"/>
        <v>0</v>
      </c>
      <c r="K649" s="85"/>
      <c r="L649" s="88"/>
      <c r="M649" s="8"/>
    </row>
    <row r="650" spans="1:13" s="3" customFormat="1" ht="12.4" customHeight="1" x14ac:dyDescent="0.15">
      <c r="A650" s="22"/>
      <c r="B650" s="105"/>
      <c r="C650" s="105"/>
      <c r="D650" s="105"/>
      <c r="E650" s="105"/>
      <c r="F650" s="120" t="s">
        <v>387</v>
      </c>
      <c r="G650" s="109">
        <f>L209</f>
        <v>529421.36</v>
      </c>
      <c r="H650" s="104">
        <f>H599</f>
        <v>529421.36</v>
      </c>
      <c r="I650" s="140" t="s">
        <v>388</v>
      </c>
      <c r="J650" s="109">
        <f t="shared" si="50"/>
        <v>0</v>
      </c>
      <c r="K650" s="85"/>
      <c r="L650" s="88"/>
      <c r="M650" s="8"/>
    </row>
    <row r="651" spans="1:13" s="3" customFormat="1" ht="12.4"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4"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4"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4"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4"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4" customHeight="1" x14ac:dyDescent="0.15">
      <c r="A656" s="22"/>
      <c r="B656" s="105"/>
      <c r="C656" s="105"/>
      <c r="D656" s="105"/>
      <c r="E656" s="105"/>
      <c r="F656" s="120" t="s">
        <v>668</v>
      </c>
      <c r="G656" s="109">
        <f>J180+J182</f>
        <v>75000</v>
      </c>
      <c r="H656" s="104">
        <f>K267+K348</f>
        <v>75000</v>
      </c>
      <c r="I656" s="140" t="s">
        <v>400</v>
      </c>
      <c r="J656" s="109">
        <f t="shared" si="50"/>
        <v>0</v>
      </c>
      <c r="K656" s="85"/>
      <c r="L656" s="88"/>
      <c r="M656" s="9"/>
    </row>
    <row r="657" spans="1:13" s="3" customFormat="1" ht="12.4" customHeight="1" x14ac:dyDescent="0.15">
      <c r="A657" s="127"/>
      <c r="B657" s="127"/>
      <c r="C657" s="127"/>
      <c r="D657" s="127"/>
      <c r="E657" s="127"/>
      <c r="F657" s="26" t="s">
        <v>122</v>
      </c>
      <c r="G657" s="19"/>
      <c r="H657" s="104">
        <f>SUM(G618:G656)-SUM(H618:H656)</f>
        <v>0</v>
      </c>
      <c r="I657" s="19"/>
      <c r="J657" s="19"/>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9" t="s">
        <v>123</v>
      </c>
      <c r="F659" s="25" t="s">
        <v>124</v>
      </c>
      <c r="G659" s="25" t="s">
        <v>125</v>
      </c>
      <c r="H659" s="25" t="s">
        <v>367</v>
      </c>
      <c r="I659" s="25" t="s">
        <v>340</v>
      </c>
      <c r="J659" s="13"/>
      <c r="K659" s="13"/>
      <c r="L659" s="13"/>
      <c r="M659" s="9"/>
    </row>
    <row r="660" spans="1:13" s="3" customFormat="1" ht="12.4" customHeight="1" x14ac:dyDescent="0.15">
      <c r="A660" s="268" t="s">
        <v>902</v>
      </c>
      <c r="F660" s="14" t="s">
        <v>286</v>
      </c>
      <c r="G660" s="13"/>
      <c r="H660" s="13"/>
      <c r="I660" s="13"/>
      <c r="J660" s="13"/>
      <c r="K660" s="13"/>
      <c r="L660" s="13"/>
      <c r="M660" s="9"/>
    </row>
    <row r="661" spans="1:13" s="3" customFormat="1" ht="12.4" customHeight="1" x14ac:dyDescent="0.15">
      <c r="A661" s="1" t="s">
        <v>126</v>
      </c>
      <c r="F661" s="19">
        <f>(L212+L291+L359)</f>
        <v>19897514.07</v>
      </c>
      <c r="G661" s="19">
        <f>(L230+L310+L360)</f>
        <v>0</v>
      </c>
      <c r="H661" s="19">
        <f>(L248+L329+L361)</f>
        <v>0</v>
      </c>
      <c r="I661" s="19">
        <f>SUM(F661:H661)</f>
        <v>19897514.07</v>
      </c>
      <c r="J661" s="13"/>
      <c r="K661" s="13"/>
      <c r="L661" s="13"/>
      <c r="M661" s="9"/>
    </row>
    <row r="662" spans="1:13" s="3" customFormat="1" ht="12.4" customHeight="1" x14ac:dyDescent="0.2">
      <c r="A662" s="1" t="s">
        <v>127</v>
      </c>
      <c r="F662" s="19">
        <f>(L359/IF(SUM(L359:L361)=0,1,SUM(L359:L361))*(SUM(G97:G110)))</f>
        <v>154425.29999999999</v>
      </c>
      <c r="G662" s="19">
        <f>(L360/IF(SUM(L359:L361)=0,1,SUM(L359:L361))*(SUM(G97:G110)))</f>
        <v>0</v>
      </c>
      <c r="H662" s="19">
        <f>(L361/IF(SUM(L359:L361)=0,1,SUM(L359:L361))*(SUM(G97:G110)))</f>
        <v>0</v>
      </c>
      <c r="I662" s="19">
        <f>SUM(F662:H662)</f>
        <v>154425.29999999999</v>
      </c>
      <c r="J662"/>
      <c r="K662" s="13"/>
      <c r="L662" s="13"/>
      <c r="M662" s="8"/>
    </row>
    <row r="663" spans="1:13" s="3" customFormat="1" ht="12.4" customHeight="1" x14ac:dyDescent="0.2">
      <c r="A663" s="1" t="s">
        <v>128</v>
      </c>
      <c r="F663" s="19">
        <f>(L209+L288)-(J209+J288)</f>
        <v>529421.36</v>
      </c>
      <c r="G663" s="19">
        <f>(L227+L307)-(J227+J307)</f>
        <v>0</v>
      </c>
      <c r="H663" s="19">
        <f>(L245+L326)-(J245+J326)</f>
        <v>0</v>
      </c>
      <c r="I663" s="19">
        <f>SUM(F663:H663)</f>
        <v>529421.36</v>
      </c>
      <c r="J663"/>
      <c r="K663" s="13"/>
      <c r="L663" s="13"/>
      <c r="M663" s="9"/>
    </row>
    <row r="664" spans="1:13" s="3" customFormat="1" ht="12.4" customHeight="1" x14ac:dyDescent="0.15">
      <c r="A664" s="198" t="s">
        <v>129</v>
      </c>
      <c r="B664" s="169"/>
      <c r="C664" s="169"/>
      <c r="D664" s="169"/>
      <c r="E664" s="169"/>
      <c r="F664" s="199">
        <f>SUM(F576:F588)+SUM(H603:H605)+SUM(L612)</f>
        <v>491208.64999999997</v>
      </c>
      <c r="G664" s="199">
        <f>SUM(G576:G588)+SUM(I603:I605)+L613</f>
        <v>0</v>
      </c>
      <c r="H664" s="199">
        <f>SUM(H576:H588)+SUM(J603:J605)+L614</f>
        <v>0</v>
      </c>
      <c r="I664" s="19">
        <f>SUM(F664:H664)</f>
        <v>491208.64999999997</v>
      </c>
      <c r="J664" s="13"/>
      <c r="K664" s="13"/>
      <c r="L664" s="13"/>
      <c r="M664" s="9"/>
    </row>
    <row r="665" spans="1:13" s="3" customFormat="1" ht="12.4" customHeight="1" x14ac:dyDescent="0.15">
      <c r="A665" s="1" t="s">
        <v>130</v>
      </c>
      <c r="F665" s="19">
        <f>F661-SUM(F662:F664)</f>
        <v>18722458.760000002</v>
      </c>
      <c r="G665" s="19">
        <f>G661-SUM(G662:G664)</f>
        <v>0</v>
      </c>
      <c r="H665" s="19">
        <f>H661-SUM(H662:H664)</f>
        <v>0</v>
      </c>
      <c r="I665" s="19">
        <f>I661-SUM(I662:I664)</f>
        <v>18722458.760000002</v>
      </c>
      <c r="J665" s="13"/>
      <c r="K665" s="13"/>
      <c r="L665" s="13"/>
      <c r="M665" s="8"/>
    </row>
    <row r="666" spans="1:13" s="3" customFormat="1" ht="12.4" customHeight="1" x14ac:dyDescent="0.2">
      <c r="A666" s="1" t="s">
        <v>131</v>
      </c>
      <c r="F666" s="246">
        <v>927.05</v>
      </c>
      <c r="G666" s="247"/>
      <c r="H666" s="247"/>
      <c r="I666" s="19">
        <f>SUM(F666:H666)</f>
        <v>927.05</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9" t="s">
        <v>133</v>
      </c>
      <c r="F668" s="19">
        <f>ROUND(F665/F666,2)</f>
        <v>20195.740000000002</v>
      </c>
      <c r="G668" s="19" t="e">
        <f>ROUND(G665/G666,2)</f>
        <v>#DIV/0!</v>
      </c>
      <c r="H668" s="19" t="e">
        <f>ROUND(H665/H666,2)</f>
        <v>#DIV/0!</v>
      </c>
      <c r="I668" s="19">
        <f>ROUND(I665/I666,2)</f>
        <v>20195.740000000002</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18"/>
      <c r="G670" s="18"/>
      <c r="H670" s="18"/>
      <c r="I670" s="19">
        <f>SUM(F670:H670)</f>
        <v>0</v>
      </c>
      <c r="J670" s="13"/>
      <c r="K670" s="13"/>
      <c r="L670" s="13"/>
      <c r="M670" s="9"/>
    </row>
    <row r="671" spans="1:13" s="3" customFormat="1" ht="12.4" customHeight="1" x14ac:dyDescent="0.15">
      <c r="A671" s="1" t="s">
        <v>135</v>
      </c>
      <c r="F671" s="18"/>
      <c r="G671" s="18"/>
      <c r="H671" s="18"/>
      <c r="I671" s="19">
        <f>SUM(F671:H671)</f>
        <v>0</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9">
        <f>ROUND((F665+F670)/(F666+F671),2)</f>
        <v>20195.740000000002</v>
      </c>
      <c r="G673" s="19" t="e">
        <f>ROUND((G665+G670)/(G666+G671),2)</f>
        <v>#DIV/0!</v>
      </c>
      <c r="H673" s="19" t="e">
        <f>ROUND((H665+H670)/(H666+H671),2)</f>
        <v>#DIV/0!</v>
      </c>
      <c r="I673" s="19">
        <f>ROUND((I665+I670)/(I666+I671),2)</f>
        <v>20195.740000000002</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topLeftCell="A22"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EXETER SCHOOL DISTRICT</v>
      </c>
      <c r="C5" s="344"/>
      <c r="D5" s="344"/>
      <c r="E5" s="344"/>
      <c r="F5" s="344"/>
    </row>
    <row r="8" spans="1:9" ht="18" x14ac:dyDescent="0.25">
      <c r="A8" s="323" t="s">
        <v>1591</v>
      </c>
      <c r="F8" s="330" t="s">
        <v>1609</v>
      </c>
    </row>
    <row r="9" spans="1:9" ht="15" x14ac:dyDescent="0.2">
      <c r="A9" s="321" t="s">
        <v>1592</v>
      </c>
      <c r="B9" s="324">
        <f>'DOE25'!G97</f>
        <v>154425.29999999999</v>
      </c>
      <c r="F9" s="321" t="s">
        <v>1605</v>
      </c>
    </row>
    <row r="10" spans="1:9" ht="15" x14ac:dyDescent="0.2">
      <c r="A10" s="321" t="s">
        <v>1593</v>
      </c>
      <c r="B10" s="324">
        <f>'DOE25'!G112-'DOE25'!G97</f>
        <v>200.48000000001048</v>
      </c>
      <c r="F10" s="321" t="s">
        <v>1606</v>
      </c>
    </row>
    <row r="11" spans="1:9" ht="15" x14ac:dyDescent="0.2">
      <c r="A11" s="321" t="s">
        <v>1594</v>
      </c>
      <c r="B11" s="324">
        <f>'DOE25'!G140</f>
        <v>5521.55</v>
      </c>
      <c r="F11" s="321" t="s">
        <v>1607</v>
      </c>
    </row>
    <row r="12" spans="1:9" ht="15" x14ac:dyDescent="0.2">
      <c r="A12" s="321" t="s">
        <v>1595</v>
      </c>
      <c r="B12" s="324">
        <f>'DOE25'!G170</f>
        <v>90144.66</v>
      </c>
      <c r="F12" s="321" t="s">
        <v>1608</v>
      </c>
    </row>
    <row r="13" spans="1:9" ht="15" x14ac:dyDescent="0.2">
      <c r="A13" s="321" t="s">
        <v>1596</v>
      </c>
      <c r="B13" s="324">
        <f>'DOE25'!G193-'DOE25'!G180</f>
        <v>0</v>
      </c>
      <c r="F13" s="321" t="s">
        <v>1618</v>
      </c>
    </row>
    <row r="14" spans="1:9" ht="18" x14ac:dyDescent="0.25">
      <c r="A14" s="323" t="s">
        <v>732</v>
      </c>
      <c r="B14" s="325">
        <f>SUM(B9:B13)</f>
        <v>250291.99</v>
      </c>
    </row>
    <row r="16" spans="1:9" ht="18" x14ac:dyDescent="0.25">
      <c r="A16" s="323" t="s">
        <v>786</v>
      </c>
      <c r="F16" s="330" t="s">
        <v>1610</v>
      </c>
    </row>
    <row r="17" spans="1:6" ht="15" x14ac:dyDescent="0.2">
      <c r="A17" s="321" t="s">
        <v>1597</v>
      </c>
      <c r="B17" s="324">
        <f>'DOE25'!L363-'DOE25'!L362</f>
        <v>250291.99000000002</v>
      </c>
      <c r="F17" s="321" t="s">
        <v>1611</v>
      </c>
    </row>
    <row r="18" spans="1:6" ht="15" x14ac:dyDescent="0.2">
      <c r="A18" s="321" t="s">
        <v>1598</v>
      </c>
      <c r="B18" s="338"/>
      <c r="F18" s="330" t="s">
        <v>1637</v>
      </c>
    </row>
    <row r="19" spans="1:6" ht="18" x14ac:dyDescent="0.25">
      <c r="A19" s="323" t="s">
        <v>725</v>
      </c>
      <c r="B19" s="325">
        <f>SUM(B17:B18)</f>
        <v>250291.99000000002</v>
      </c>
    </row>
    <row r="21" spans="1:6" ht="18.75" thickBot="1" x14ac:dyDescent="0.3">
      <c r="A21" s="323" t="s">
        <v>1599</v>
      </c>
    </row>
    <row r="22" spans="1:6" ht="18.75" thickTop="1" x14ac:dyDescent="0.25">
      <c r="A22" s="323" t="s">
        <v>1600</v>
      </c>
      <c r="B22" s="329">
        <f>B14-B19</f>
        <v>0</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41">
        <v>23793.31</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6" fitToHeight="0"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0" sqref="C20"/>
    </sheetView>
  </sheetViews>
  <sheetFormatPr defaultRowHeight="11.25" x14ac:dyDescent="0.2"/>
  <cols>
    <col min="1" max="1" width="26.6640625" customWidth="1"/>
    <col min="2" max="2" width="33.6640625" customWidth="1"/>
    <col min="3" max="3" width="29.5" customWidth="1"/>
  </cols>
  <sheetData>
    <row r="1" spans="1:3" x14ac:dyDescent="0.2">
      <c r="A1" s="233" t="s">
        <v>781</v>
      </c>
      <c r="B1" s="232" t="str">
        <f>'DOE25'!A2</f>
        <v>EXETER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6357603.9700000007</v>
      </c>
      <c r="C9" s="229">
        <f>'DOE25'!G198+'DOE25'!G216+'DOE25'!G234+'DOE25'!G277+'DOE25'!G296+'DOE25'!G315</f>
        <v>2716538.07</v>
      </c>
    </row>
    <row r="10" spans="1:3" x14ac:dyDescent="0.2">
      <c r="A10" t="s">
        <v>775</v>
      </c>
      <c r="B10" s="240">
        <f>5441214.43+88514.32</f>
        <v>5529728.75</v>
      </c>
      <c r="C10" s="240">
        <f>2341490.22+15885.02</f>
        <v>2357375.2400000002</v>
      </c>
    </row>
    <row r="11" spans="1:3" x14ac:dyDescent="0.2">
      <c r="A11" t="s">
        <v>776</v>
      </c>
      <c r="B11" s="240">
        <v>608308.37</v>
      </c>
      <c r="C11" s="240">
        <v>264639.98</v>
      </c>
    </row>
    <row r="12" spans="1:3" x14ac:dyDescent="0.2">
      <c r="A12" t="s">
        <v>777</v>
      </c>
      <c r="B12" s="240">
        <v>219566.85</v>
      </c>
      <c r="C12" s="240">
        <v>94522.85</v>
      </c>
    </row>
    <row r="13" spans="1:3" x14ac:dyDescent="0.2">
      <c r="A13" t="str">
        <f>IF(B9=B13,IF(C9=C13,"Check Total OK","Check Total Error"),"Check Total Error")</f>
        <v>Check Total OK</v>
      </c>
      <c r="B13" s="231">
        <f>SUM(B10:B12)</f>
        <v>6357603.9699999997</v>
      </c>
      <c r="C13" s="231">
        <f>SUM(C10:C12)</f>
        <v>2716538.0700000003</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2896088.5599999996</v>
      </c>
      <c r="C18" s="229">
        <f>'DOE25'!G199+'DOE25'!G217+'DOE25'!G235+'DOE25'!G278+'DOE25'!G297+'DOE25'!G316</f>
        <v>1217027.82</v>
      </c>
    </row>
    <row r="19" spans="1:3" x14ac:dyDescent="0.2">
      <c r="A19" t="s">
        <v>775</v>
      </c>
      <c r="B19" s="240">
        <f>1273311.81+157643.53</f>
        <v>1430955.34</v>
      </c>
      <c r="C19" s="240">
        <f>554454.87+37336.61</f>
        <v>591791.48</v>
      </c>
    </row>
    <row r="20" spans="1:3" x14ac:dyDescent="0.2">
      <c r="A20" t="s">
        <v>776</v>
      </c>
      <c r="B20" s="240">
        <v>1154004.3999999999</v>
      </c>
      <c r="C20" s="240">
        <v>495470.31</v>
      </c>
    </row>
    <row r="21" spans="1:3" x14ac:dyDescent="0.2">
      <c r="A21" t="s">
        <v>777</v>
      </c>
      <c r="B21" s="240">
        <v>311128.82</v>
      </c>
      <c r="C21" s="240">
        <v>129766.03</v>
      </c>
    </row>
    <row r="22" spans="1:3" x14ac:dyDescent="0.2">
      <c r="A22" t="str">
        <f>IF(B18=B22,IF(C18=C22,"Check Total OK","Check Total Error"),"Check Total Error")</f>
        <v>Check Total OK</v>
      </c>
      <c r="B22" s="231">
        <f>SUM(B19:B21)</f>
        <v>2896088.56</v>
      </c>
      <c r="C22" s="231">
        <f>SUM(C19:C21)</f>
        <v>1217027.82</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42123.94</v>
      </c>
      <c r="C36" s="235">
        <f>'DOE25'!G201+'DOE25'!G219+'DOE25'!G237+'DOE25'!G280+'DOE25'!G299+'DOE25'!G318</f>
        <v>18146.52</v>
      </c>
    </row>
    <row r="37" spans="1:3" x14ac:dyDescent="0.2">
      <c r="A37" t="s">
        <v>775</v>
      </c>
      <c r="B37" s="240">
        <v>42123.94</v>
      </c>
      <c r="C37" s="240">
        <v>18146.52</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42123.94</v>
      </c>
      <c r="C40" s="231">
        <f>SUM(C37:C39)</f>
        <v>18146.52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8" activePane="bottomLeft" state="frozen"/>
      <selection activeCell="F46" sqref="F46"/>
      <selection pane="bottomLeft" activeCell="D12" sqref="D12"/>
    </sheetView>
  </sheetViews>
  <sheetFormatPr defaultRowHeight="11.25" x14ac:dyDescent="0.2"/>
  <cols>
    <col min="1" max="1" width="10.6640625" customWidth="1"/>
    <col min="2" max="2" width="41.1640625" customWidth="1"/>
    <col min="3" max="3" width="22.6640625" customWidth="1"/>
    <col min="4" max="4" width="20.5" customWidth="1"/>
    <col min="5" max="5" width="19.1640625" customWidth="1"/>
    <col min="6" max="6" width="21.33203125" customWidth="1"/>
    <col min="7" max="7" width="17.6640625" customWidth="1"/>
    <col min="8" max="8" width="17.1640625" customWidth="1"/>
    <col min="9" max="9" width="15.6640625" customWidth="1"/>
  </cols>
  <sheetData>
    <row r="1" spans="1:9" x14ac:dyDescent="0.2">
      <c r="A1" s="347" t="s">
        <v>894</v>
      </c>
      <c r="B1" s="351"/>
      <c r="C1" s="351"/>
      <c r="D1" s="351"/>
      <c r="E1" s="351"/>
      <c r="F1" s="351"/>
      <c r="G1" s="351"/>
      <c r="H1" s="351"/>
      <c r="I1" s="181"/>
    </row>
    <row r="2" spans="1:9" x14ac:dyDescent="0.2">
      <c r="A2" s="33" t="s">
        <v>713</v>
      </c>
      <c r="B2" s="260" t="str">
        <f>'DOE25'!A2</f>
        <v>EXETER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13619036.559999999</v>
      </c>
      <c r="D5" s="20">
        <f>SUM('DOE25'!L198:L201)+SUM('DOE25'!L216:L219)+SUM('DOE25'!L234:L237)-F5-G5-H5</f>
        <v>13616957.059999999</v>
      </c>
      <c r="E5" s="243"/>
      <c r="F5" s="244"/>
      <c r="G5" s="53">
        <f>SUM('DOE25'!J198:J201)+SUM('DOE25'!J216:J219)+SUM('DOE25'!J234:J237)</f>
        <v>2079.5</v>
      </c>
      <c r="H5" s="53">
        <f>SUM('DOE25'!K198:K201)+SUM('DOE25'!K216:K219)+SUM('DOE25'!K234:K237)</f>
        <v>0</v>
      </c>
      <c r="I5" s="256"/>
    </row>
    <row r="6" spans="1:9" x14ac:dyDescent="0.2">
      <c r="A6" s="32">
        <v>2100</v>
      </c>
      <c r="B6" t="s">
        <v>796</v>
      </c>
      <c r="C6" s="276">
        <f t="shared" si="0"/>
        <v>1812626.21</v>
      </c>
      <c r="D6" s="20">
        <f>'DOE25'!L203+'DOE25'!L221+'DOE25'!L239-F6-G6-H6</f>
        <v>1812626.21</v>
      </c>
      <c r="E6" s="243"/>
      <c r="F6" s="244"/>
      <c r="G6" s="53">
        <f>'DOE25'!J203+'DOE25'!J221+'DOE25'!J239</f>
        <v>0</v>
      </c>
      <c r="H6" s="53">
        <f>'DOE25'!K203+'DOE25'!K221+'DOE25'!K239</f>
        <v>0</v>
      </c>
      <c r="I6" s="256"/>
    </row>
    <row r="7" spans="1:9" x14ac:dyDescent="0.2">
      <c r="A7" s="32">
        <v>2200</v>
      </c>
      <c r="B7" t="s">
        <v>821</v>
      </c>
      <c r="C7" s="276">
        <f t="shared" si="0"/>
        <v>711592.64999999991</v>
      </c>
      <c r="D7" s="20">
        <f>'DOE25'!L204+'DOE25'!L222+'DOE25'!L240-F7-G7-H7</f>
        <v>711592.64999999991</v>
      </c>
      <c r="E7" s="243"/>
      <c r="F7" s="244"/>
      <c r="G7" s="53">
        <f>'DOE25'!J204+'DOE25'!J222+'DOE25'!J240</f>
        <v>0</v>
      </c>
      <c r="H7" s="53">
        <f>'DOE25'!K204+'DOE25'!K222+'DOE25'!K240</f>
        <v>0</v>
      </c>
      <c r="I7" s="256"/>
    </row>
    <row r="8" spans="1:9" x14ac:dyDescent="0.2">
      <c r="A8" s="32">
        <v>2300</v>
      </c>
      <c r="B8" t="s">
        <v>797</v>
      </c>
      <c r="C8" s="276">
        <f t="shared" si="0"/>
        <v>255676.47000000003</v>
      </c>
      <c r="D8" s="243"/>
      <c r="E8" s="20">
        <f>'DOE25'!L205+'DOE25'!L223+'DOE25'!L241-F8-G8-H8-D9-D11</f>
        <v>255676.47000000003</v>
      </c>
      <c r="F8" s="244"/>
      <c r="G8" s="53">
        <f>'DOE25'!J205+'DOE25'!J223+'DOE25'!J241</f>
        <v>0</v>
      </c>
      <c r="H8" s="53">
        <f>'DOE25'!K205+'DOE25'!K223+'DOE25'!K241</f>
        <v>0</v>
      </c>
      <c r="I8" s="256"/>
    </row>
    <row r="9" spans="1:9" ht="14.25" x14ac:dyDescent="0.2">
      <c r="A9" s="32">
        <v>2310</v>
      </c>
      <c r="B9" s="185" t="s">
        <v>890</v>
      </c>
      <c r="C9" s="276">
        <f t="shared" si="0"/>
        <v>31903.4</v>
      </c>
      <c r="D9" s="244">
        <v>31903.4</v>
      </c>
      <c r="E9" s="243"/>
      <c r="F9" s="253"/>
      <c r="G9" s="253"/>
      <c r="H9" s="253"/>
      <c r="I9" s="256"/>
    </row>
    <row r="10" spans="1:9" ht="14.25" x14ac:dyDescent="0.2">
      <c r="A10" s="32">
        <v>2317</v>
      </c>
      <c r="B10" s="185" t="s">
        <v>891</v>
      </c>
      <c r="C10" s="276">
        <f t="shared" si="0"/>
        <v>14750</v>
      </c>
      <c r="D10" s="243"/>
      <c r="E10" s="244">
        <v>14750</v>
      </c>
      <c r="F10" s="253"/>
      <c r="G10" s="253"/>
      <c r="H10" s="253"/>
      <c r="I10" s="256"/>
    </row>
    <row r="11" spans="1:9" ht="14.25" x14ac:dyDescent="0.2">
      <c r="A11" s="32">
        <v>2321</v>
      </c>
      <c r="B11" s="185" t="s">
        <v>892</v>
      </c>
      <c r="C11" s="276">
        <f t="shared" si="0"/>
        <v>87403.37</v>
      </c>
      <c r="D11" s="244">
        <v>87403.37</v>
      </c>
      <c r="E11" s="243"/>
      <c r="F11" s="253"/>
      <c r="G11" s="253"/>
      <c r="H11" s="253"/>
      <c r="I11" s="256"/>
    </row>
    <row r="12" spans="1:9" x14ac:dyDescent="0.2">
      <c r="A12" s="32">
        <v>2400</v>
      </c>
      <c r="B12" t="s">
        <v>711</v>
      </c>
      <c r="C12" s="276">
        <f t="shared" si="0"/>
        <v>974149.6399999999</v>
      </c>
      <c r="D12" s="20">
        <f>'DOE25'!L206+'DOE25'!L224+'DOE25'!L242-F12-G12-H12</f>
        <v>969115.44</v>
      </c>
      <c r="E12" s="243"/>
      <c r="F12" s="244"/>
      <c r="G12" s="53">
        <f>'DOE25'!J206+'DOE25'!J224+'DOE25'!J242</f>
        <v>1281.2</v>
      </c>
      <c r="H12" s="53">
        <f>'DOE25'!K206+'DOE25'!K224+'DOE25'!K242</f>
        <v>3753</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1216819.28</v>
      </c>
      <c r="D14" s="20">
        <f>'DOE25'!L208+'DOE25'!L226+'DOE25'!L244-F14-G14-H14</f>
        <v>1202117.94</v>
      </c>
      <c r="E14" s="243"/>
      <c r="F14" s="244"/>
      <c r="G14" s="53">
        <f>'DOE25'!J208+'DOE25'!J226+'DOE25'!J244</f>
        <v>14701.34</v>
      </c>
      <c r="H14" s="53">
        <f>'DOE25'!K208+'DOE25'!K226+'DOE25'!K244</f>
        <v>0</v>
      </c>
      <c r="I14" s="256"/>
    </row>
    <row r="15" spans="1:9" x14ac:dyDescent="0.2">
      <c r="A15" s="32">
        <v>2700</v>
      </c>
      <c r="B15" t="s">
        <v>799</v>
      </c>
      <c r="C15" s="276">
        <f t="shared" si="0"/>
        <v>529421.36</v>
      </c>
      <c r="D15" s="20">
        <f>'DOE25'!L209+'DOE25'!L227+'DOE25'!L245-F15-G15-H15</f>
        <v>200300</v>
      </c>
      <c r="E15" s="243"/>
      <c r="F15" s="244">
        <v>329121.36</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635898</v>
      </c>
      <c r="D25" s="243"/>
      <c r="E25" s="243"/>
      <c r="F25" s="255"/>
      <c r="G25" s="253"/>
      <c r="H25" s="253"/>
      <c r="I25" s="254">
        <f>'DOE25'!L261+'DOE25'!L262+'DOE25'!L342+'DOE25'!L343</f>
        <v>635898</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194902.48</v>
      </c>
      <c r="D29" s="284">
        <f>'DOE25'!L359+'DOE25'!L360+'DOE25'!L361-'DOE25'!I368-F29-G29-H29</f>
        <v>193453.34</v>
      </c>
      <c r="E29" s="243"/>
      <c r="F29" s="244"/>
      <c r="G29" s="53">
        <f>'DOE25'!J359+'DOE25'!J360+'DOE25'!J361</f>
        <v>859.7</v>
      </c>
      <c r="H29" s="53">
        <f>'DOE25'!K359+'DOE25'!K360+'DOE25'!K361</f>
        <v>589.44000000000005</v>
      </c>
      <c r="I29" s="256"/>
    </row>
    <row r="30" spans="1:9" x14ac:dyDescent="0.2">
      <c r="A30" s="32"/>
      <c r="C30" s="277"/>
      <c r="D30" s="20"/>
      <c r="E30" s="281"/>
      <c r="F30" s="271"/>
      <c r="G30" s="53"/>
      <c r="H30" s="53"/>
      <c r="I30" s="256"/>
    </row>
    <row r="31" spans="1:9" x14ac:dyDescent="0.2">
      <c r="A31" s="32" t="s">
        <v>818</v>
      </c>
      <c r="B31" t="s">
        <v>817</v>
      </c>
      <c r="C31" s="276">
        <f>SUM(D31:I31)</f>
        <v>408593.13999999996</v>
      </c>
      <c r="D31" s="20">
        <f>'DOE25'!L291+'DOE25'!L310+'DOE25'!L329+'DOE25'!L334+'DOE25'!L335+'DOE25'!L336-F31-G31-H31</f>
        <v>400989.63999999996</v>
      </c>
      <c r="E31" s="243"/>
      <c r="F31" s="244"/>
      <c r="G31" s="53">
        <f>'DOE25'!J291+'DOE25'!J310+'DOE25'!J329+'DOE25'!J334+'DOE25'!J335+'DOE25'!J336</f>
        <v>7603.5</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19226459.050000001</v>
      </c>
      <c r="E33" s="245">
        <f t="shared" si="1"/>
        <v>270426.47000000003</v>
      </c>
      <c r="F33" s="245">
        <f t="shared" si="1"/>
        <v>329121.36</v>
      </c>
      <c r="G33" s="245">
        <f t="shared" si="1"/>
        <v>26525.24</v>
      </c>
      <c r="H33" s="245">
        <f t="shared" si="1"/>
        <v>4342.4400000000005</v>
      </c>
      <c r="I33" s="245">
        <f t="shared" si="1"/>
        <v>635898</v>
      </c>
    </row>
    <row r="35" spans="1:9" ht="12" thickBot="1" x14ac:dyDescent="0.25">
      <c r="B35" s="251" t="s">
        <v>831</v>
      </c>
      <c r="D35" s="252">
        <f>E33</f>
        <v>270426.47000000003</v>
      </c>
      <c r="E35" s="248"/>
    </row>
    <row r="36" spans="1:9" ht="12" thickTop="1" x14ac:dyDescent="0.2">
      <c r="B36" t="s">
        <v>810</v>
      </c>
      <c r="D36" s="20">
        <f>D33</f>
        <v>19226459.050000001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4"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zoomScaleNormal="100" workbookViewId="0">
      <selection activeCell="E7" sqref="E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6640625" customWidth="1"/>
    <col min="8" max="8" width="19.1640625" customWidth="1"/>
    <col min="9" max="9" width="42.332031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EXETER SCHOOL DISTRICT</v>
      </c>
      <c r="B2" s="126">
        <f>'DOE25'!B2</f>
        <v>173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19647222.079999998</v>
      </c>
      <c r="G4" s="303">
        <f>'DOE25'!L212+'DOE25'!L291</f>
        <v>19647222.080000002</v>
      </c>
      <c r="H4" s="337">
        <f>F4-G4</f>
        <v>0</v>
      </c>
      <c r="I4" s="309" t="str">
        <f>IF(H4=0,"","Does not match DOE25 page 7 and 11 Totals!!")</f>
        <v/>
      </c>
      <c r="N4"/>
    </row>
    <row r="5" spans="1:18" x14ac:dyDescent="0.2">
      <c r="A5" s="21" t="s">
        <v>1036</v>
      </c>
      <c r="B5" s="304">
        <f>IFERROR(VLOOKUP(A5,'School Tables'!$C$3:$D$365,2,FALSE),"")</f>
        <v>20575</v>
      </c>
      <c r="C5" s="297" t="str">
        <f>IFERROR(INDEX('School Tables'!$B$3:$B$365,MATCH('School Level Expenditures'!B5,'School Tables'!$D$3:$D$365,0)),"")</f>
        <v>Exeter</v>
      </c>
      <c r="D5" s="294">
        <v>9810961.3699999992</v>
      </c>
      <c r="E5" s="294">
        <v>199745.91</v>
      </c>
      <c r="F5" s="312">
        <f>D5+E5</f>
        <v>10010707.279999999</v>
      </c>
      <c r="G5" s="297"/>
      <c r="H5" s="297"/>
      <c r="I5" s="126"/>
      <c r="N5"/>
    </row>
    <row r="6" spans="1:18" x14ac:dyDescent="0.2">
      <c r="A6" s="21" t="s">
        <v>1037</v>
      </c>
      <c r="B6" s="304">
        <f>IFERROR(VLOOKUP(A6,'School Tables'!$C$3:$D$365,2,FALSE),"")</f>
        <v>20595</v>
      </c>
      <c r="C6" s="297" t="str">
        <f>IFERROR(INDEX('School Tables'!$B$3:$B$365,MATCH('School Level Expenditures'!B6,'School Tables'!$D$3:$D$365,0)),"")</f>
        <v>Exeter</v>
      </c>
      <c r="D6" s="294">
        <v>9436768.9000000004</v>
      </c>
      <c r="E6" s="294">
        <v>199745.9</v>
      </c>
      <c r="F6" s="307">
        <f t="shared" ref="F6:F20" si="0">D6+E6</f>
        <v>9636514.8000000007</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EXETER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263585.53000000003</v>
      </c>
      <c r="D8" s="95">
        <f>'DOE25'!G9</f>
        <v>0</v>
      </c>
      <c r="E8" s="95">
        <f>'DOE25'!H9</f>
        <v>0</v>
      </c>
      <c r="F8" s="95">
        <f>'DOE25'!I9</f>
        <v>268243.88</v>
      </c>
      <c r="G8" s="95">
        <f>'DOE25'!J9</f>
        <v>451853.28</v>
      </c>
      <c r="H8" s="124"/>
      <c r="I8" s="124"/>
    </row>
    <row r="9" spans="1:9" x14ac:dyDescent="0.2">
      <c r="A9" s="1" t="s">
        <v>140</v>
      </c>
      <c r="B9" s="6">
        <v>110</v>
      </c>
      <c r="C9" s="95">
        <f>'DOE25'!F10</f>
        <v>1830883.51</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14544.45</v>
      </c>
      <c r="D11" s="95">
        <f>'DOE25'!G12</f>
        <v>0</v>
      </c>
      <c r="E11" s="95">
        <f>'DOE25'!H12</f>
        <v>21640.81</v>
      </c>
      <c r="F11" s="95">
        <f>'DOE25'!I12</f>
        <v>0</v>
      </c>
      <c r="G11" s="95">
        <f>'DOE25'!J12</f>
        <v>0</v>
      </c>
      <c r="H11" s="124"/>
      <c r="I11" s="124"/>
    </row>
    <row r="12" spans="1:9" x14ac:dyDescent="0.2">
      <c r="A12" s="1" t="s">
        <v>143</v>
      </c>
      <c r="B12" s="6">
        <v>140</v>
      </c>
      <c r="C12" s="95">
        <f>'DOE25'!F13</f>
        <v>64720.87</v>
      </c>
      <c r="D12" s="95">
        <f>'DOE25'!G13</f>
        <v>0</v>
      </c>
      <c r="E12" s="95">
        <f>'DOE25'!H13</f>
        <v>0</v>
      </c>
      <c r="F12" s="95">
        <f>'DOE25'!I13</f>
        <v>0</v>
      </c>
      <c r="G12" s="95">
        <f>'DOE25'!J13</f>
        <v>0</v>
      </c>
      <c r="H12" s="124"/>
      <c r="I12" s="124"/>
    </row>
    <row r="13" spans="1:9" x14ac:dyDescent="0.2">
      <c r="A13" s="1" t="s">
        <v>144</v>
      </c>
      <c r="B13" s="6">
        <v>150</v>
      </c>
      <c r="C13" s="95">
        <f>'DOE25'!F14</f>
        <v>5760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2179494.3600000003</v>
      </c>
      <c r="D18" s="41">
        <f>SUM(D8:D17)</f>
        <v>0</v>
      </c>
      <c r="E18" s="41">
        <f>SUM(E8:E17)</f>
        <v>21640.81</v>
      </c>
      <c r="F18" s="41">
        <f>SUM(F8:F17)</f>
        <v>268243.88</v>
      </c>
      <c r="G18" s="41">
        <f>SUM(G8:G17)</f>
        <v>451853.28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21640.81</v>
      </c>
      <c r="D21" s="95">
        <f>'DOE25'!G22</f>
        <v>0</v>
      </c>
      <c r="E21" s="95">
        <f>'DOE25'!H22</f>
        <v>0</v>
      </c>
      <c r="F21" s="95">
        <f>'DOE25'!I22</f>
        <v>14544.45</v>
      </c>
      <c r="G21" s="95">
        <f>'DOE25'!J22</f>
        <v>0</v>
      </c>
      <c r="H21" s="124"/>
      <c r="I21" s="124"/>
    </row>
    <row r="22" spans="1:9" x14ac:dyDescent="0.2">
      <c r="A22" s="1" t="s">
        <v>151</v>
      </c>
      <c r="B22" s="6">
        <v>410</v>
      </c>
      <c r="C22" s="95">
        <f>'DOE25'!F23</f>
        <v>463394.24</v>
      </c>
      <c r="D22" s="95">
        <f>'DOE25'!G23</f>
        <v>0</v>
      </c>
      <c r="E22" s="95">
        <f>'DOE25'!H23</f>
        <v>0</v>
      </c>
      <c r="F22" s="95">
        <f>'DOE25'!I23</f>
        <v>0</v>
      </c>
      <c r="G22" s="95">
        <f>'DOE25'!J23</f>
        <v>0</v>
      </c>
      <c r="H22" s="124"/>
      <c r="I22" s="124"/>
    </row>
    <row r="23" spans="1:9" x14ac:dyDescent="0.2">
      <c r="A23" s="1" t="s">
        <v>152</v>
      </c>
      <c r="B23" s="6">
        <v>420</v>
      </c>
      <c r="C23" s="95">
        <f>'DOE25'!F24</f>
        <v>4193.37</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882798.07</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17297.16</v>
      </c>
      <c r="D30" s="95">
        <f>'DOE25'!G31</f>
        <v>0</v>
      </c>
      <c r="E30" s="95">
        <f>'DOE25'!H31</f>
        <v>0</v>
      </c>
      <c r="F30" s="95">
        <f>'DOE25'!I31</f>
        <v>0</v>
      </c>
      <c r="G30" s="95">
        <f>'DOE25'!J31</f>
        <v>0</v>
      </c>
      <c r="H30" s="124"/>
      <c r="I30" s="124"/>
    </row>
    <row r="31" spans="1:9" ht="12" thickTop="1" x14ac:dyDescent="0.2">
      <c r="A31" s="38" t="s">
        <v>160</v>
      </c>
      <c r="B31" s="2"/>
      <c r="C31" s="41">
        <f>SUM(C21:C30)</f>
        <v>1389323.65</v>
      </c>
      <c r="D31" s="41">
        <f>SUM(D21:D30)</f>
        <v>0</v>
      </c>
      <c r="E31" s="41">
        <f>SUM(E21:E30)</f>
        <v>0</v>
      </c>
      <c r="F31" s="41">
        <f>SUM(F21:F30)</f>
        <v>14544.45</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75000</v>
      </c>
      <c r="D43" s="95">
        <f>'DOE25'!G44</f>
        <v>0</v>
      </c>
      <c r="E43" s="95">
        <f>'DOE25'!H44</f>
        <v>0</v>
      </c>
      <c r="F43" s="95">
        <f>'DOE25'!I44</f>
        <v>0</v>
      </c>
      <c r="G43" s="24" t="s">
        <v>288</v>
      </c>
      <c r="H43" s="124"/>
      <c r="I43" s="124"/>
    </row>
    <row r="44" spans="1:9" x14ac:dyDescent="0.2">
      <c r="A44" s="1" t="s">
        <v>864</v>
      </c>
      <c r="B44" s="6">
        <v>753</v>
      </c>
      <c r="C44" s="95">
        <f>'DOE25'!F45</f>
        <v>304486.3</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21640.81</v>
      </c>
      <c r="F47" s="95">
        <f>'DOE25'!I48</f>
        <v>253699.43</v>
      </c>
      <c r="G47" s="95">
        <f>'DOE25'!J48</f>
        <v>451853.28</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410684.41</v>
      </c>
      <c r="D49" s="24" t="s">
        <v>288</v>
      </c>
      <c r="E49" s="24" t="s">
        <v>288</v>
      </c>
      <c r="F49" s="24" t="s">
        <v>288</v>
      </c>
      <c r="G49" s="24" t="s">
        <v>288</v>
      </c>
      <c r="H49" s="124"/>
      <c r="I49" s="124"/>
    </row>
    <row r="50" spans="1:9" ht="12.75" thickTop="1" thickBot="1" x14ac:dyDescent="0.25">
      <c r="A50" s="38" t="s">
        <v>884</v>
      </c>
      <c r="B50" s="48"/>
      <c r="C50" s="41">
        <f>SUM(C34:C49)</f>
        <v>790170.71</v>
      </c>
      <c r="D50" s="41">
        <f>SUM(D34:D49)</f>
        <v>0</v>
      </c>
      <c r="E50" s="41">
        <f>SUM(E34:E49)</f>
        <v>21640.81</v>
      </c>
      <c r="F50" s="41">
        <f>SUM(F34:F49)</f>
        <v>253699.43</v>
      </c>
      <c r="G50" s="41">
        <f>SUM(G34:G49)</f>
        <v>451853.28</v>
      </c>
      <c r="H50" s="124"/>
      <c r="I50" s="124"/>
    </row>
    <row r="51" spans="1:9" ht="12" thickTop="1" x14ac:dyDescent="0.2">
      <c r="A51" s="38" t="s">
        <v>885</v>
      </c>
      <c r="B51" s="2"/>
      <c r="C51" s="41">
        <f>C50+C31</f>
        <v>2179494.36</v>
      </c>
      <c r="D51" s="41">
        <f>D50+D31</f>
        <v>0</v>
      </c>
      <c r="E51" s="41">
        <f>E50+E31</f>
        <v>21640.81</v>
      </c>
      <c r="F51" s="41">
        <f>F50+F31</f>
        <v>268243.88</v>
      </c>
      <c r="G51" s="41">
        <f>G50+G31</f>
        <v>451853.28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15577954</v>
      </c>
      <c r="D56" s="95">
        <f>'DOE25'!G60</f>
        <v>0</v>
      </c>
      <c r="E56" s="95">
        <f>'DOE25'!H60</f>
        <v>0</v>
      </c>
      <c r="F56" s="95">
        <f>'DOE25'!I60</f>
        <v>0</v>
      </c>
      <c r="G56" s="95">
        <f>'DOE25'!J60</f>
        <v>0</v>
      </c>
      <c r="H56"/>
      <c r="I56"/>
    </row>
    <row r="57" spans="1:9" x14ac:dyDescent="0.2">
      <c r="A57" s="1" t="s">
        <v>164</v>
      </c>
      <c r="B57" s="6" t="s">
        <v>165</v>
      </c>
      <c r="C57" s="95">
        <f>'DOE25'!F79</f>
        <v>39887.5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38817.97</v>
      </c>
      <c r="D59" s="95">
        <f>'DOE25'!G96</f>
        <v>200.48</v>
      </c>
      <c r="E59" s="95">
        <f>'DOE25'!H96</f>
        <v>0</v>
      </c>
      <c r="F59" s="95">
        <f>'DOE25'!I96</f>
        <v>7408.69</v>
      </c>
      <c r="G59" s="95">
        <f>'DOE25'!J96</f>
        <v>2713.88</v>
      </c>
      <c r="H59"/>
      <c r="I59"/>
    </row>
    <row r="60" spans="1:9" x14ac:dyDescent="0.2">
      <c r="A60" s="1" t="s">
        <v>170</v>
      </c>
      <c r="B60" s="118" t="s">
        <v>171</v>
      </c>
      <c r="C60" s="24" t="s">
        <v>288</v>
      </c>
      <c r="D60" s="95">
        <f>'DOE25'!G97</f>
        <v>154425.29999999999</v>
      </c>
      <c r="E60" s="24" t="s">
        <v>288</v>
      </c>
      <c r="F60" s="24" t="s">
        <v>288</v>
      </c>
      <c r="G60" s="24" t="s">
        <v>288</v>
      </c>
      <c r="H60"/>
      <c r="I60"/>
    </row>
    <row r="61" spans="1:9" ht="12" thickBot="1" x14ac:dyDescent="0.25">
      <c r="A61" s="1" t="s">
        <v>172</v>
      </c>
      <c r="B61" s="118" t="s">
        <v>173</v>
      </c>
      <c r="C61" s="95">
        <f>SUM('DOE25'!F98:F110)</f>
        <v>55803.95</v>
      </c>
      <c r="D61" s="95">
        <f>SUM('DOE25'!G98:G110)</f>
        <v>0</v>
      </c>
      <c r="E61" s="95">
        <f>SUM('DOE25'!H98:H110)</f>
        <v>13970</v>
      </c>
      <c r="F61" s="95">
        <f>SUM('DOE25'!I98:I110)</f>
        <v>0</v>
      </c>
      <c r="G61" s="95">
        <f>SUM('DOE25'!J98:J110)</f>
        <v>0</v>
      </c>
      <c r="H61"/>
      <c r="I61"/>
    </row>
    <row r="62" spans="1:9" ht="12.75" thickTop="1" thickBot="1" x14ac:dyDescent="0.25">
      <c r="A62" s="29" t="s">
        <v>174</v>
      </c>
      <c r="B62" s="6"/>
      <c r="C62" s="130">
        <f>SUM(C57:C61)</f>
        <v>134509.41999999998</v>
      </c>
      <c r="D62" s="130">
        <f>SUM(D57:D61)</f>
        <v>154625.78</v>
      </c>
      <c r="E62" s="130">
        <f>SUM(E57:E61)</f>
        <v>13970</v>
      </c>
      <c r="F62" s="130">
        <f>SUM(F57:F61)</f>
        <v>7408.69</v>
      </c>
      <c r="G62" s="130">
        <f>SUM(G57:G61)</f>
        <v>2713.88</v>
      </c>
      <c r="H62"/>
      <c r="I62"/>
    </row>
    <row r="63" spans="1:9" ht="12" thickTop="1" x14ac:dyDescent="0.2">
      <c r="A63" s="29" t="s">
        <v>175</v>
      </c>
      <c r="B63" s="6"/>
      <c r="C63" s="22">
        <f>C56+C62</f>
        <v>15712463.42</v>
      </c>
      <c r="D63" s="22">
        <f>D56+D62</f>
        <v>154625.78</v>
      </c>
      <c r="E63" s="22">
        <f>E56+E62</f>
        <v>13970</v>
      </c>
      <c r="F63" s="22">
        <f>F56+F62</f>
        <v>7408.69</v>
      </c>
      <c r="G63" s="22">
        <f>G56+G62</f>
        <v>2713.88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2153365.46</v>
      </c>
      <c r="D66" s="24" t="s">
        <v>288</v>
      </c>
      <c r="E66" s="24" t="s">
        <v>288</v>
      </c>
      <c r="F66" s="24" t="s">
        <v>288</v>
      </c>
      <c r="G66" s="24" t="s">
        <v>288</v>
      </c>
      <c r="H66"/>
      <c r="I66"/>
    </row>
    <row r="67" spans="1:9" x14ac:dyDescent="0.2">
      <c r="A67" s="1" t="s">
        <v>770</v>
      </c>
      <c r="B67" s="6">
        <v>3112</v>
      </c>
      <c r="C67" s="95">
        <f>'DOE25'!F118</f>
        <v>1921259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4074624.46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56600.28</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5521.55</v>
      </c>
      <c r="E77" s="95">
        <f>SUM('DOE25'!H131:H135)</f>
        <v>0</v>
      </c>
      <c r="F77" s="95">
        <f>SUM('DOE25'!I131:I135)</f>
        <v>0</v>
      </c>
      <c r="G77" s="95">
        <f>SUM('DOE25'!J131:J135)</f>
        <v>0</v>
      </c>
      <c r="H77"/>
      <c r="I77"/>
    </row>
    <row r="78" spans="1:9" ht="12.75" thickTop="1" thickBot="1" x14ac:dyDescent="0.25">
      <c r="A78" s="29" t="s">
        <v>259</v>
      </c>
      <c r="B78" s="6"/>
      <c r="C78" s="130">
        <f>SUM(C72:C77)</f>
        <v>56600.28</v>
      </c>
      <c r="D78" s="130">
        <f>SUM(D72:D77)</f>
        <v>5521.55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4131224.7399999998</v>
      </c>
      <c r="D81" s="130">
        <f>SUM(D79:D80)+D78+D70</f>
        <v>5521.55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39" t="s">
        <v>184</v>
      </c>
      <c r="C88" s="340">
        <f>SUM('DOE25'!F153:F162)</f>
        <v>144366.18</v>
      </c>
      <c r="D88" s="340">
        <f>SUM('DOE25'!G153:G162)</f>
        <v>90144.66</v>
      </c>
      <c r="E88" s="340">
        <f>SUM('DOE25'!H153:H162)</f>
        <v>399491.81</v>
      </c>
      <c r="F88" s="34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144366.18</v>
      </c>
      <c r="D91" s="131">
        <f>SUM(D85:D90)</f>
        <v>90144.66</v>
      </c>
      <c r="E91" s="131">
        <f>SUM(E85:E90)</f>
        <v>399491.81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75000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75000</v>
      </c>
    </row>
    <row r="104" spans="1:7" ht="12.75" thickTop="1" thickBot="1" x14ac:dyDescent="0.25">
      <c r="A104" s="33" t="s">
        <v>761</v>
      </c>
      <c r="C104" s="86">
        <f>C63+C81+C91+C103</f>
        <v>19988054.34</v>
      </c>
      <c r="D104" s="86">
        <f>D63+D81+D91+D103</f>
        <v>250291.99</v>
      </c>
      <c r="E104" s="86">
        <f>E63+E81+E91+E103</f>
        <v>413461.81</v>
      </c>
      <c r="F104" s="86">
        <f>F63+F81+F91+F103</f>
        <v>7408.69</v>
      </c>
      <c r="G104" s="86">
        <f>G63+G81+G103</f>
        <v>77713.88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9170274.1099999994</v>
      </c>
      <c r="D109" s="24" t="s">
        <v>288</v>
      </c>
      <c r="E109" s="95">
        <f>('DOE25'!L277)+('DOE25'!L296)+('DOE25'!L315)</f>
        <v>111206.34000000001</v>
      </c>
      <c r="F109" s="24" t="s">
        <v>288</v>
      </c>
      <c r="G109" s="24" t="s">
        <v>288</v>
      </c>
    </row>
    <row r="110" spans="1:7" x14ac:dyDescent="0.2">
      <c r="A110" t="s">
        <v>198</v>
      </c>
      <c r="B110" s="32" t="s">
        <v>199</v>
      </c>
      <c r="C110" s="95">
        <f>('DOE25'!L199)+('DOE25'!L217)+('DOE25'!L235)</f>
        <v>4388491.9899999993</v>
      </c>
      <c r="D110" s="24" t="s">
        <v>288</v>
      </c>
      <c r="E110" s="95">
        <f>('DOE25'!L278)+('DOE25'!L297)+('DOE25'!L316)</f>
        <v>216302.73</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60270.460000000006</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13619036.559999999</v>
      </c>
      <c r="D115" s="86">
        <f>SUM(D109:D114)</f>
        <v>0</v>
      </c>
      <c r="E115" s="86">
        <f>SUM(E109:E114)</f>
        <v>327509.07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1812626.21</v>
      </c>
      <c r="D118" s="24" t="s">
        <v>288</v>
      </c>
      <c r="E118" s="95">
        <f>+('DOE25'!L282)+('DOE25'!L301)+('DOE25'!L320)</f>
        <v>30398.679999999997</v>
      </c>
      <c r="F118" s="24" t="s">
        <v>288</v>
      </c>
      <c r="G118" s="24" t="s">
        <v>288</v>
      </c>
    </row>
    <row r="119" spans="1:7" x14ac:dyDescent="0.2">
      <c r="A119" t="s">
        <v>208</v>
      </c>
      <c r="B119" s="32" t="s">
        <v>209</v>
      </c>
      <c r="C119" s="95">
        <f>('DOE25'!L204)+('DOE25'!L222)+('DOE25'!L240)</f>
        <v>711592.64999999991</v>
      </c>
      <c r="D119" s="24" t="s">
        <v>288</v>
      </c>
      <c r="E119" s="95">
        <f>+('DOE25'!L283)+('DOE25'!L302)+('DOE25'!L321)</f>
        <v>46669.48</v>
      </c>
      <c r="F119" s="24" t="s">
        <v>288</v>
      </c>
      <c r="G119" s="24" t="s">
        <v>288</v>
      </c>
    </row>
    <row r="120" spans="1:7" x14ac:dyDescent="0.2">
      <c r="A120" t="s">
        <v>210</v>
      </c>
      <c r="B120" s="32" t="s">
        <v>211</v>
      </c>
      <c r="C120" s="95">
        <f>('DOE25'!L205)+('DOE25'!L223)+('DOE25'!L241)</f>
        <v>374983.24000000005</v>
      </c>
      <c r="D120" s="24" t="s">
        <v>288</v>
      </c>
      <c r="E120" s="95">
        <f>+('DOE25'!L284)+('DOE25'!L303)+('DOE25'!L322)</f>
        <v>0</v>
      </c>
      <c r="F120" s="24" t="s">
        <v>288</v>
      </c>
      <c r="G120" s="24" t="s">
        <v>288</v>
      </c>
    </row>
    <row r="121" spans="1:7" x14ac:dyDescent="0.2">
      <c r="A121" t="s">
        <v>212</v>
      </c>
      <c r="B121" s="32" t="s">
        <v>213</v>
      </c>
      <c r="C121" s="95">
        <f>('DOE25'!L206)+('DOE25'!L224)+('DOE25'!L242)</f>
        <v>974149.6399999999</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1216819.28</v>
      </c>
      <c r="D123" s="24" t="s">
        <v>288</v>
      </c>
      <c r="E123" s="95">
        <f>+('DOE25'!L287)+('DOE25'!L306)+('DOE25'!L325)</f>
        <v>0</v>
      </c>
      <c r="F123" s="24" t="s">
        <v>288</v>
      </c>
      <c r="G123" s="24" t="s">
        <v>288</v>
      </c>
    </row>
    <row r="124" spans="1:7" x14ac:dyDescent="0.2">
      <c r="A124" t="s">
        <v>218</v>
      </c>
      <c r="B124" s="32" t="s">
        <v>219</v>
      </c>
      <c r="C124" s="95">
        <f>('DOE25'!L209)+('DOE25'!L227)+('DOE25'!L245+'DOE25'!L255)</f>
        <v>529421.36</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4015.91</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250291.99000000002</v>
      </c>
      <c r="E127" s="24" t="s">
        <v>288</v>
      </c>
      <c r="F127" s="24" t="s">
        <v>288</v>
      </c>
      <c r="G127" s="24" t="s">
        <v>288</v>
      </c>
    </row>
    <row r="128" spans="1:7" ht="12.75" thickTop="1" thickBot="1" x14ac:dyDescent="0.25">
      <c r="A128" s="33" t="s">
        <v>226</v>
      </c>
      <c r="C128" s="86">
        <f>SUM(C118:C127)</f>
        <v>5619592.3800000008</v>
      </c>
      <c r="D128" s="86">
        <f>SUM(D118:D127)</f>
        <v>250291.99000000002</v>
      </c>
      <c r="E128" s="86">
        <f>SUM(E118:E127)</f>
        <v>81084.070000000007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249077.5</v>
      </c>
      <c r="G130" s="24" t="s">
        <v>288</v>
      </c>
    </row>
    <row r="131" spans="1:7" x14ac:dyDescent="0.2">
      <c r="A131" t="s">
        <v>229</v>
      </c>
      <c r="B131" s="32">
        <v>5110</v>
      </c>
      <c r="C131" s="95">
        <f>'DOE25'!L261</f>
        <v>470000</v>
      </c>
      <c r="D131" s="24" t="s">
        <v>288</v>
      </c>
      <c r="E131" s="129">
        <f>'DOE25'!L342</f>
        <v>0</v>
      </c>
      <c r="F131" s="24" t="s">
        <v>288</v>
      </c>
      <c r="G131" s="24" t="s">
        <v>288</v>
      </c>
    </row>
    <row r="132" spans="1:7" x14ac:dyDescent="0.2">
      <c r="A132" t="s">
        <v>230</v>
      </c>
      <c r="B132" s="32">
        <v>5120</v>
      </c>
      <c r="C132" s="95">
        <f>'DOE25'!L262</f>
        <v>165898</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2576.6999999999998</v>
      </c>
      <c r="D138" s="24" t="s">
        <v>288</v>
      </c>
      <c r="E138" s="24" t="s">
        <v>288</v>
      </c>
      <c r="F138" s="24" t="s">
        <v>288</v>
      </c>
      <c r="G138" s="24" t="s">
        <v>288</v>
      </c>
    </row>
    <row r="139" spans="1:7" x14ac:dyDescent="0.2">
      <c r="A139" t="s">
        <v>239</v>
      </c>
      <c r="B139" s="32">
        <v>5252</v>
      </c>
      <c r="C139" s="95">
        <f>'DOE25'!L402</f>
        <v>75137.179999999993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-2713.8799999999901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710897.99999999988</v>
      </c>
      <c r="D144" s="141">
        <f>SUM(D130:D143)</f>
        <v>0</v>
      </c>
      <c r="E144" s="141">
        <f>SUM(E130:E143)</f>
        <v>0</v>
      </c>
      <c r="F144" s="141">
        <f>SUM(F130:F143)</f>
        <v>249077.5</v>
      </c>
      <c r="G144" s="141">
        <f>SUM(G130:G143)</f>
        <v>0</v>
      </c>
    </row>
    <row r="145" spans="1:9" ht="12.75" thickTop="1" thickBot="1" x14ac:dyDescent="0.25">
      <c r="A145" s="33" t="s">
        <v>244</v>
      </c>
      <c r="C145" s="86">
        <f>(C115+C128+C144)</f>
        <v>19949526.939999998</v>
      </c>
      <c r="D145" s="86">
        <f>(D115+D128+D144)</f>
        <v>250291.99000000002</v>
      </c>
      <c r="E145" s="86">
        <f>(E115+E128+E144)</f>
        <v>408593.14</v>
      </c>
      <c r="F145" s="86">
        <f>(F115+F128+F144)</f>
        <v>249077.5</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0</v>
      </c>
      <c r="D151" s="153">
        <f>'DOE25'!H491</f>
        <v>0</v>
      </c>
      <c r="E151" s="153">
        <f>'DOE25'!I491</f>
        <v>0</v>
      </c>
      <c r="F151" s="153">
        <f>'DOE25'!J491</f>
        <v>0</v>
      </c>
      <c r="G151" s="24" t="s">
        <v>288</v>
      </c>
    </row>
    <row r="152" spans="1:9" x14ac:dyDescent="0.2">
      <c r="A152" s="136" t="s">
        <v>28</v>
      </c>
      <c r="B152" s="152" t="str">
        <f>'DOE25'!F492</f>
        <v>6/16</v>
      </c>
      <c r="C152" s="152">
        <f>'DOE25'!G492</f>
        <v>0</v>
      </c>
      <c r="D152" s="152">
        <f>'DOE25'!H492</f>
        <v>0</v>
      </c>
      <c r="E152" s="152">
        <f>'DOE25'!I492</f>
        <v>0</v>
      </c>
      <c r="F152" s="152">
        <f>'DOE25'!J492</f>
        <v>0</v>
      </c>
      <c r="G152" s="24" t="s">
        <v>288</v>
      </c>
    </row>
    <row r="153" spans="1:9" x14ac:dyDescent="0.2">
      <c r="A153" s="136" t="s">
        <v>29</v>
      </c>
      <c r="B153" s="152" t="str">
        <f>'DOE25'!F493</f>
        <v>8/26</v>
      </c>
      <c r="C153" s="152">
        <f>'DOE25'!G493</f>
        <v>0</v>
      </c>
      <c r="D153" s="152">
        <f>'DOE25'!H493</f>
        <v>0</v>
      </c>
      <c r="E153" s="152">
        <f>'DOE25'!I493</f>
        <v>0</v>
      </c>
      <c r="F153" s="152">
        <f>'DOE25'!J493</f>
        <v>0</v>
      </c>
      <c r="G153" s="24" t="s">
        <v>288</v>
      </c>
    </row>
    <row r="154" spans="1:9" x14ac:dyDescent="0.2">
      <c r="A154" s="136" t="s">
        <v>30</v>
      </c>
      <c r="B154" s="137">
        <f>'DOE25'!F494</f>
        <v>4663225</v>
      </c>
      <c r="C154" s="137">
        <f>'DOE25'!G494</f>
        <v>0</v>
      </c>
      <c r="D154" s="137">
        <f>'DOE25'!H494</f>
        <v>0</v>
      </c>
      <c r="E154" s="137">
        <f>'DOE25'!I494</f>
        <v>0</v>
      </c>
      <c r="F154" s="137">
        <f>'DOE25'!J494</f>
        <v>0</v>
      </c>
      <c r="G154" s="24" t="s">
        <v>288</v>
      </c>
    </row>
    <row r="155" spans="1:9" x14ac:dyDescent="0.2">
      <c r="A155" s="136" t="s">
        <v>31</v>
      </c>
      <c r="B155" s="137">
        <f>'DOE25'!F495</f>
        <v>0.05</v>
      </c>
      <c r="C155" s="137">
        <f>'DOE25'!G495</f>
        <v>0</v>
      </c>
      <c r="D155" s="137">
        <f>'DOE25'!H495</f>
        <v>0</v>
      </c>
      <c r="E155" s="137">
        <f>'DOE25'!I495</f>
        <v>0</v>
      </c>
      <c r="F155" s="137">
        <f>'DOE25'!J495</f>
        <v>0</v>
      </c>
      <c r="G155" s="24" t="s">
        <v>288</v>
      </c>
    </row>
    <row r="156" spans="1:9" x14ac:dyDescent="0.2">
      <c r="A156" s="22" t="s">
        <v>32</v>
      </c>
      <c r="B156" s="137">
        <f>'DOE25'!F496</f>
        <v>3725000</v>
      </c>
      <c r="C156" s="137">
        <f>'DOE25'!G496</f>
        <v>0</v>
      </c>
      <c r="D156" s="137">
        <f>'DOE25'!H496</f>
        <v>0</v>
      </c>
      <c r="E156" s="137">
        <f>'DOE25'!I496</f>
        <v>0</v>
      </c>
      <c r="F156" s="137">
        <f>'DOE25'!J496</f>
        <v>0</v>
      </c>
      <c r="G156" s="138">
        <f>SUM(B156:F156)</f>
        <v>3725000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470000</v>
      </c>
      <c r="C158" s="137">
        <f>'DOE25'!G498</f>
        <v>0</v>
      </c>
      <c r="D158" s="137">
        <f>'DOE25'!H498</f>
        <v>0</v>
      </c>
      <c r="E158" s="137">
        <f>'DOE25'!I498</f>
        <v>0</v>
      </c>
      <c r="F158" s="137">
        <f>'DOE25'!J498</f>
        <v>0</v>
      </c>
      <c r="G158" s="138">
        <f t="shared" si="0"/>
        <v>470000</v>
      </c>
    </row>
    <row r="159" spans="1:9" x14ac:dyDescent="0.2">
      <c r="A159" s="22" t="s">
        <v>35</v>
      </c>
      <c r="B159" s="137">
        <f>'DOE25'!F499</f>
        <v>3255000</v>
      </c>
      <c r="C159" s="137">
        <f>'DOE25'!G499</f>
        <v>0</v>
      </c>
      <c r="D159" s="137">
        <f>'DOE25'!H499</f>
        <v>0</v>
      </c>
      <c r="E159" s="137">
        <f>'DOE25'!I499</f>
        <v>0</v>
      </c>
      <c r="F159" s="137">
        <f>'DOE25'!J499</f>
        <v>0</v>
      </c>
      <c r="G159" s="138">
        <f t="shared" si="0"/>
        <v>3255000</v>
      </c>
    </row>
    <row r="160" spans="1:9" x14ac:dyDescent="0.2">
      <c r="A160" s="22" t="s">
        <v>36</v>
      </c>
      <c r="B160" s="137">
        <f>'DOE25'!F500</f>
        <v>534703.5</v>
      </c>
      <c r="C160" s="137">
        <f>'DOE25'!G500</f>
        <v>0</v>
      </c>
      <c r="D160" s="137">
        <f>'DOE25'!H500</f>
        <v>0</v>
      </c>
      <c r="E160" s="137">
        <f>'DOE25'!I500</f>
        <v>0</v>
      </c>
      <c r="F160" s="137">
        <f>'DOE25'!J500</f>
        <v>0</v>
      </c>
      <c r="G160" s="138">
        <f t="shared" si="0"/>
        <v>534703.5</v>
      </c>
    </row>
    <row r="161" spans="1:7" x14ac:dyDescent="0.2">
      <c r="A161" s="22" t="s">
        <v>37</v>
      </c>
      <c r="B161" s="137">
        <f>'DOE25'!F501</f>
        <v>3789703.5</v>
      </c>
      <c r="C161" s="137">
        <f>'DOE25'!G501</f>
        <v>0</v>
      </c>
      <c r="D161" s="137">
        <f>'DOE25'!H501</f>
        <v>0</v>
      </c>
      <c r="E161" s="137">
        <f>'DOE25'!I501</f>
        <v>0</v>
      </c>
      <c r="F161" s="137">
        <f>'DOE25'!J501</f>
        <v>0</v>
      </c>
      <c r="G161" s="138">
        <f t="shared" si="0"/>
        <v>3789703.5</v>
      </c>
    </row>
    <row r="162" spans="1:7" x14ac:dyDescent="0.2">
      <c r="A162" s="22" t="s">
        <v>38</v>
      </c>
      <c r="B162" s="137">
        <f>'DOE25'!F502</f>
        <v>465000</v>
      </c>
      <c r="C162" s="137">
        <f>'DOE25'!G502</f>
        <v>0</v>
      </c>
      <c r="D162" s="137">
        <f>'DOE25'!H502</f>
        <v>0</v>
      </c>
      <c r="E162" s="137">
        <f>'DOE25'!I502</f>
        <v>0</v>
      </c>
      <c r="F162" s="137">
        <f>'DOE25'!J502</f>
        <v>0</v>
      </c>
      <c r="G162" s="138">
        <f t="shared" si="0"/>
        <v>465000</v>
      </c>
    </row>
    <row r="163" spans="1:7" x14ac:dyDescent="0.2">
      <c r="A163" s="22" t="s">
        <v>39</v>
      </c>
      <c r="B163" s="137">
        <f>'DOE25'!F503</f>
        <v>142429</v>
      </c>
      <c r="C163" s="137">
        <f>'DOE25'!G503</f>
        <v>0</v>
      </c>
      <c r="D163" s="137">
        <f>'DOE25'!H503</f>
        <v>0</v>
      </c>
      <c r="E163" s="137">
        <f>'DOE25'!I503</f>
        <v>0</v>
      </c>
      <c r="F163" s="137">
        <f>'DOE25'!J503</f>
        <v>0</v>
      </c>
      <c r="G163" s="138">
        <f t="shared" si="0"/>
        <v>142429</v>
      </c>
    </row>
    <row r="164" spans="1:7" x14ac:dyDescent="0.2">
      <c r="A164" s="22" t="s">
        <v>246</v>
      </c>
      <c r="B164" s="137">
        <f>'DOE25'!F504</f>
        <v>607429</v>
      </c>
      <c r="C164" s="137">
        <f>'DOE25'!G504</f>
        <v>0</v>
      </c>
      <c r="D164" s="137">
        <f>'DOE25'!H504</f>
        <v>0</v>
      </c>
      <c r="E164" s="137">
        <f>'DOE25'!I504</f>
        <v>0</v>
      </c>
      <c r="F164" s="137">
        <f>'DOE25'!J504</f>
        <v>0</v>
      </c>
      <c r="G164" s="138">
        <f t="shared" si="0"/>
        <v>607429</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0"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EXETER SCHOOL DISTRICT</v>
      </c>
    </row>
    <row r="3" spans="1:4" x14ac:dyDescent="0.2">
      <c r="B3" s="188" t="s">
        <v>1587</v>
      </c>
    </row>
    <row r="4" spans="1:4" x14ac:dyDescent="0.2">
      <c r="B4" t="s">
        <v>61</v>
      </c>
      <c r="C4" s="179">
        <f>IF('DOE25'!F666+'DOE25'!F671=0,0,ROUND('DOE25'!F673,0))</f>
        <v>20196</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20196</v>
      </c>
    </row>
    <row r="9" spans="1:4" x14ac:dyDescent="0.2">
      <c r="A9" s="187" t="s">
        <v>94</v>
      </c>
      <c r="B9" s="188" t="s">
        <v>1588</v>
      </c>
      <c r="C9" s="181" t="s">
        <v>720</v>
      </c>
      <c r="D9" s="181" t="s">
        <v>721</v>
      </c>
    </row>
    <row r="10" spans="1:4" x14ac:dyDescent="0.2">
      <c r="A10">
        <v>1100</v>
      </c>
      <c r="B10" t="s">
        <v>702</v>
      </c>
      <c r="C10" s="179">
        <f>ROUND('DOE25'!L198+'DOE25'!L216+'DOE25'!L234+'DOE25'!L277+'DOE25'!L296+'DOE25'!L315,0)</f>
        <v>9281480</v>
      </c>
      <c r="D10" s="182">
        <f>ROUND((C10/$C$28)*100,1)</f>
        <v>46.6</v>
      </c>
    </row>
    <row r="11" spans="1:4" x14ac:dyDescent="0.2">
      <c r="A11">
        <v>1200</v>
      </c>
      <c r="B11" t="s">
        <v>703</v>
      </c>
      <c r="C11" s="179">
        <f>ROUND('DOE25'!L199+'DOE25'!L217+'DOE25'!L235+'DOE25'!L278+'DOE25'!L297+'DOE25'!L316,0)</f>
        <v>4604795</v>
      </c>
      <c r="D11" s="182">
        <f>ROUND((C11/$C$28)*100,1)</f>
        <v>23.1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60270</v>
      </c>
      <c r="D13" s="182">
        <f>ROUND((C13/$C$28)*100,1)</f>
        <v>0.3</v>
      </c>
    </row>
    <row r="14" spans="1:4" x14ac:dyDescent="0.2">
      <c r="D14" s="182"/>
    </row>
    <row r="15" spans="1:4" x14ac:dyDescent="0.2">
      <c r="A15">
        <v>2100</v>
      </c>
      <c r="B15" t="s">
        <v>706</v>
      </c>
      <c r="C15" s="179">
        <f>ROUND('DOE25'!L203+'DOE25'!L221+'DOE25'!L239+'DOE25'!L282+'DOE25'!L301+'DOE25'!L320,0)</f>
        <v>1843025</v>
      </c>
      <c r="D15" s="182">
        <f t="shared" ref="D15:D27" si="0">ROUND((C15/$C$28)*100,1)</f>
        <v>9.3000000000000007</v>
      </c>
    </row>
    <row r="16" spans="1:4" x14ac:dyDescent="0.2">
      <c r="A16">
        <v>2200</v>
      </c>
      <c r="B16" t="s">
        <v>707</v>
      </c>
      <c r="C16" s="179">
        <f>ROUND('DOE25'!L204+'DOE25'!L222+'DOE25'!L240+'DOE25'!L283+'DOE25'!L302+'DOE25'!L321,0)</f>
        <v>758262</v>
      </c>
      <c r="D16" s="182">
        <f t="shared" si="0"/>
        <v>3.8</v>
      </c>
    </row>
    <row r="17" spans="1:4" x14ac:dyDescent="0.2">
      <c r="A17" s="183" t="s">
        <v>723</v>
      </c>
      <c r="B17" t="s">
        <v>738</v>
      </c>
      <c r="C17" s="179">
        <f>ROUND('DOE25'!L205+'DOE25'!L210+'DOE25'!L223+'DOE25'!L228+'DOE25'!L241+'DOE25'!L246+'DOE25'!L284+'DOE25'!L289+'DOE25'!L303+'DOE25'!L308+'DOE25'!L322+'DOE25'!L327,0)</f>
        <v>378999</v>
      </c>
      <c r="D17" s="182">
        <f t="shared" si="0"/>
        <v>1.9</v>
      </c>
    </row>
    <row r="18" spans="1:4" x14ac:dyDescent="0.2">
      <c r="A18">
        <v>2400</v>
      </c>
      <c r="B18" t="s">
        <v>711</v>
      </c>
      <c r="C18" s="179">
        <f>ROUND('DOE25'!L206+'DOE25'!L224+'DOE25'!L242+'DOE25'!L285+'DOE25'!L304+'DOE25'!L323,0)</f>
        <v>974150</v>
      </c>
      <c r="D18" s="182">
        <f t="shared" si="0"/>
        <v>4.9000000000000004</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1216819</v>
      </c>
      <c r="D20" s="182">
        <f t="shared" si="0"/>
        <v>6.1</v>
      </c>
    </row>
    <row r="21" spans="1:4" x14ac:dyDescent="0.2">
      <c r="A21">
        <v>2700</v>
      </c>
      <c r="B21" t="s">
        <v>710</v>
      </c>
      <c r="C21" s="179">
        <f>ROUND('DOE25'!L209+'DOE25'!L227+'DOE25'!L245+'DOE25'!L288+'DOE25'!L307+'DOE25'!L326,0)</f>
        <v>529421</v>
      </c>
      <c r="D21" s="182">
        <f t="shared" si="0"/>
        <v>2.7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165898</v>
      </c>
      <c r="D25" s="182">
        <f t="shared" si="0"/>
        <v>0.8</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95866.700000000012</v>
      </c>
      <c r="D27" s="182">
        <f t="shared" si="0"/>
        <v>0.5</v>
      </c>
    </row>
    <row r="28" spans="1:4" x14ac:dyDescent="0.2">
      <c r="B28" s="187" t="s">
        <v>719</v>
      </c>
      <c r="C28" s="180">
        <f>SUM(C10:C27)</f>
        <v>19908985.699999999</v>
      </c>
      <c r="D28" s="184">
        <f>ROUND(SUM(D10:D27),0)</f>
        <v>100</v>
      </c>
    </row>
    <row r="29" spans="1:4" x14ac:dyDescent="0.2">
      <c r="A29">
        <v>4000</v>
      </c>
      <c r="B29" t="s">
        <v>724</v>
      </c>
      <c r="C29" s="179">
        <f>ROUND('DOE25'!L256+'DOE25'!L337+'DOE25'!L375+'DOE25'!L376+'DOE25'!L377+'DOE25'!L378+'DOE25'!L379+'DOE25'!L380+'DOE25'!L381,0)</f>
        <v>249078</v>
      </c>
    </row>
    <row r="30" spans="1:4" x14ac:dyDescent="0.2">
      <c r="B30" s="187" t="s">
        <v>725</v>
      </c>
      <c r="C30" s="180">
        <f>SUM(C28:C29)</f>
        <v>20158063.699999999</v>
      </c>
    </row>
    <row r="31" spans="1:4" x14ac:dyDescent="0.2">
      <c r="B31" s="33"/>
      <c r="C31" s="180"/>
    </row>
    <row r="32" spans="1:4" x14ac:dyDescent="0.2">
      <c r="A32">
        <v>5100</v>
      </c>
      <c r="B32" s="33" t="s">
        <v>726</v>
      </c>
      <c r="C32" s="180">
        <f>ROUND('DOE25'!L261+'DOE25'!L342,0)</f>
        <v>470000</v>
      </c>
    </row>
    <row r="34" spans="1:4" x14ac:dyDescent="0.2">
      <c r="A34" s="187" t="s">
        <v>94</v>
      </c>
      <c r="B34" s="188" t="s">
        <v>1589</v>
      </c>
      <c r="C34" s="181" t="s">
        <v>720</v>
      </c>
      <c r="D34" s="181" t="s">
        <v>721</v>
      </c>
    </row>
    <row r="35" spans="1:4" x14ac:dyDescent="0.2">
      <c r="A35">
        <v>1100</v>
      </c>
      <c r="B35" s="185" t="s">
        <v>727</v>
      </c>
      <c r="C35" s="179">
        <f>ROUND('DOE25'!F60+'DOE25'!G60+'DOE25'!H60+'DOE25'!I60+'DOE25'!J60,0)</f>
        <v>15577954</v>
      </c>
      <c r="D35" s="182">
        <f t="shared" ref="D35:D40" si="1">ROUND((C35/$C$41)*100,1)</f>
        <v>76</v>
      </c>
    </row>
    <row r="36" spans="1:4" x14ac:dyDescent="0.2">
      <c r="B36" s="185" t="s">
        <v>739</v>
      </c>
      <c r="C36" s="179">
        <f>SUM('DOE25'!F112:J112)-SUM('DOE25'!G97:G110)+('DOE25'!F175+'DOE25'!F176+'DOE25'!I175+'DOE25'!I176)-C35</f>
        <v>158802.46999999881</v>
      </c>
      <c r="D36" s="182">
        <f t="shared" si="1"/>
        <v>0.8</v>
      </c>
    </row>
    <row r="37" spans="1:4" x14ac:dyDescent="0.2">
      <c r="A37" s="183" t="s">
        <v>835</v>
      </c>
      <c r="B37" s="185" t="s">
        <v>728</v>
      </c>
      <c r="C37" s="179">
        <f>ROUND('DOE25'!F117+'DOE25'!F118,0)</f>
        <v>4074624</v>
      </c>
      <c r="D37" s="182">
        <f t="shared" si="1"/>
        <v>19.899999999999999</v>
      </c>
    </row>
    <row r="38" spans="1:4" x14ac:dyDescent="0.2">
      <c r="A38" s="183" t="s">
        <v>734</v>
      </c>
      <c r="B38" s="185" t="s">
        <v>729</v>
      </c>
      <c r="C38" s="179">
        <f>ROUND(SUM('DOE25'!F140:J140)-SUM('DOE25'!F117:F119),0)</f>
        <v>62122</v>
      </c>
      <c r="D38" s="182">
        <f t="shared" si="1"/>
        <v>0.3</v>
      </c>
    </row>
    <row r="39" spans="1:4" x14ac:dyDescent="0.2">
      <c r="A39">
        <v>4000</v>
      </c>
      <c r="B39" s="185" t="s">
        <v>730</v>
      </c>
      <c r="C39" s="179">
        <f>ROUND('DOE25'!F170+'DOE25'!G170+'DOE25'!H170+'DOE25'!I170,0)</f>
        <v>634003</v>
      </c>
      <c r="D39" s="182">
        <f t="shared" si="1"/>
        <v>3.1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20507505.469999999</v>
      </c>
      <c r="D41" s="184">
        <f>SUM(D35:D40)</f>
        <v>100.09999999999998</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7" sqref="C17:M17"/>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EXETER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6640625" bestFit="1" customWidth="1"/>
    <col min="9" max="9" width="43.33203125" bestFit="1" customWidth="1"/>
    <col min="11" max="11" width="13.6640625" customWidth="1"/>
    <col min="14" max="14" width="41.66406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2020-08-27T19:08:22Z</cp:lastPrinted>
  <dcterms:created xsi:type="dcterms:W3CDTF">1997-12-04T19:04:30Z</dcterms:created>
  <dcterms:modified xsi:type="dcterms:W3CDTF">2020-11-04T15:08:07Z</dcterms:modified>
</cp:coreProperties>
</file>