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C37" i="12" l="1"/>
  <c r="B37" i="12"/>
  <c r="C20" i="12" l="1"/>
  <c r="C21" i="12"/>
  <c r="B19" i="12"/>
  <c r="C11" i="12"/>
  <c r="C12" i="12" l="1"/>
  <c r="B11" i="12"/>
  <c r="B10" i="12"/>
  <c r="F6" i="13"/>
  <c r="F15" i="13"/>
  <c r="F5" i="13"/>
  <c r="E37" i="14" l="1"/>
  <c r="E6" i="14"/>
  <c r="E5" i="14"/>
  <c r="D37" i="14"/>
  <c r="D6" i="14"/>
  <c r="D5" i="14"/>
  <c r="F583" i="1" l="1"/>
  <c r="F580" i="1"/>
  <c r="H579" i="1"/>
  <c r="H576" i="1"/>
  <c r="G612" i="1"/>
  <c r="F612" i="1"/>
  <c r="I320" i="1"/>
  <c r="G278" i="1"/>
  <c r="H278" i="1"/>
  <c r="H334" i="1"/>
  <c r="G334" i="1"/>
  <c r="F334" i="1"/>
  <c r="J605" i="1"/>
  <c r="H605" i="1"/>
  <c r="J380" i="1"/>
  <c r="J592" i="1"/>
  <c r="H592" i="1"/>
  <c r="J596" i="1"/>
  <c r="J595" i="1"/>
  <c r="J594" i="1"/>
  <c r="J593" i="1"/>
  <c r="H595" i="1"/>
  <c r="H593" i="1"/>
  <c r="J598" i="1"/>
  <c r="H598" i="1"/>
  <c r="K320" i="1"/>
  <c r="K345" i="1"/>
  <c r="K284" i="1"/>
  <c r="K282" i="1"/>
  <c r="H325" i="1"/>
  <c r="H315" i="1"/>
  <c r="J325" i="1"/>
  <c r="J320" i="1"/>
  <c r="J287" i="1"/>
  <c r="J282" i="1"/>
  <c r="I322" i="1"/>
  <c r="I321" i="1"/>
  <c r="I318" i="1"/>
  <c r="I316" i="1"/>
  <c r="I315" i="1"/>
  <c r="I284" i="1"/>
  <c r="I283" i="1"/>
  <c r="I282" i="1"/>
  <c r="I280" i="1"/>
  <c r="I278" i="1"/>
  <c r="I277" i="1"/>
  <c r="H326" i="1"/>
  <c r="H323" i="1"/>
  <c r="H322" i="1"/>
  <c r="H321" i="1"/>
  <c r="H320" i="1"/>
  <c r="H316" i="1"/>
  <c r="H288" i="1"/>
  <c r="H287" i="1"/>
  <c r="H285" i="1"/>
  <c r="H283" i="1"/>
  <c r="G283" i="1"/>
  <c r="H284" i="1"/>
  <c r="G284" i="1"/>
  <c r="H282" i="1"/>
  <c r="H280" i="1"/>
  <c r="F321" i="1"/>
  <c r="F320" i="1"/>
  <c r="F318" i="1"/>
  <c r="F316" i="1"/>
  <c r="F315" i="1"/>
  <c r="F283" i="1"/>
  <c r="F282" i="1"/>
  <c r="F280" i="1"/>
  <c r="F278" i="1"/>
  <c r="F277" i="1"/>
  <c r="G323" i="1"/>
  <c r="G322" i="1"/>
  <c r="G321" i="1"/>
  <c r="G320" i="1"/>
  <c r="G315" i="1"/>
  <c r="G285" i="1"/>
  <c r="G282" i="1"/>
  <c r="G277" i="1"/>
  <c r="F322" i="1"/>
  <c r="F285" i="1"/>
  <c r="F284" i="1"/>
  <c r="H22" i="1" l="1"/>
  <c r="H48" i="1"/>
  <c r="H277" i="1"/>
  <c r="H102" i="1"/>
  <c r="J277" i="1"/>
  <c r="J469" i="1"/>
  <c r="F239" i="1" l="1"/>
  <c r="H239" i="1"/>
  <c r="H205" i="1"/>
  <c r="H204" i="1"/>
  <c r="I208" i="1"/>
  <c r="I239" i="1"/>
  <c r="G244" i="1" l="1"/>
  <c r="F244" i="1" l="1"/>
  <c r="F240" i="1"/>
  <c r="F237" i="1"/>
  <c r="F235" i="1"/>
  <c r="G242" i="1"/>
  <c r="G240" i="1"/>
  <c r="G239" i="1"/>
  <c r="G237" i="1"/>
  <c r="G235" i="1"/>
  <c r="H245" i="1"/>
  <c r="H244" i="1"/>
  <c r="H240" i="1"/>
  <c r="H236" i="1"/>
  <c r="H235" i="1"/>
  <c r="I244" i="1"/>
  <c r="I242" i="1"/>
  <c r="I240" i="1"/>
  <c r="I237" i="1"/>
  <c r="I235" i="1"/>
  <c r="I234" i="1"/>
  <c r="J244" i="1"/>
  <c r="J240" i="1"/>
  <c r="J237" i="1"/>
  <c r="J234" i="1"/>
  <c r="K242" i="1"/>
  <c r="K239" i="1"/>
  <c r="K237" i="1"/>
  <c r="K234" i="1"/>
  <c r="K206" i="1"/>
  <c r="K201" i="1"/>
  <c r="K241" i="1"/>
  <c r="K235" i="1"/>
  <c r="K205" i="1"/>
  <c r="K199" i="1"/>
  <c r="J208" i="1"/>
  <c r="J204" i="1"/>
  <c r="J201" i="1"/>
  <c r="J198" i="1"/>
  <c r="J241" i="1"/>
  <c r="J205" i="1"/>
  <c r="I206" i="1"/>
  <c r="I204" i="1"/>
  <c r="I203" i="1"/>
  <c r="I201" i="1"/>
  <c r="I199" i="1"/>
  <c r="I198" i="1"/>
  <c r="I241" i="1"/>
  <c r="I209" i="1"/>
  <c r="I205" i="1"/>
  <c r="G246" i="1"/>
  <c r="G243" i="1"/>
  <c r="G241" i="1"/>
  <c r="F243" i="1"/>
  <c r="F241" i="1"/>
  <c r="H241" i="1" l="1"/>
  <c r="H209" i="1"/>
  <c r="H208" i="1"/>
  <c r="H203" i="1"/>
  <c r="H199" i="1"/>
  <c r="H198" i="1"/>
  <c r="H206" i="1"/>
  <c r="H201" i="1"/>
  <c r="G210" i="1"/>
  <c r="G208" i="1"/>
  <c r="G207" i="1"/>
  <c r="G205" i="1"/>
  <c r="G204" i="1"/>
  <c r="G203" i="1"/>
  <c r="G199" i="1"/>
  <c r="G206" i="1"/>
  <c r="G201" i="1"/>
  <c r="G198" i="1"/>
  <c r="F208" i="1"/>
  <c r="F205" i="1"/>
  <c r="F204" i="1"/>
  <c r="F203" i="1"/>
  <c r="F199" i="1"/>
  <c r="F206" i="1"/>
  <c r="F201" i="1"/>
  <c r="F198" i="1"/>
  <c r="K267" i="1" l="1"/>
  <c r="F369" i="1"/>
  <c r="F368" i="1"/>
  <c r="F359" i="1"/>
  <c r="K361" i="1"/>
  <c r="K359" i="1"/>
  <c r="H359" i="1"/>
  <c r="I359" i="1"/>
  <c r="I361" i="1"/>
  <c r="G359" i="1"/>
  <c r="G361" i="1"/>
  <c r="F361" i="1"/>
  <c r="G158" i="1"/>
  <c r="G132" i="1"/>
  <c r="G97" i="1"/>
  <c r="G24" i="1" l="1"/>
  <c r="G9" i="1"/>
  <c r="H161" i="1"/>
  <c r="H159" i="1"/>
  <c r="H155" i="1"/>
  <c r="H154" i="1"/>
  <c r="H135" i="1"/>
  <c r="H131" i="1"/>
  <c r="H30" i="1"/>
  <c r="H24" i="1"/>
  <c r="F110" i="1"/>
  <c r="F48" i="1"/>
  <c r="F29" i="1"/>
  <c r="F13" i="1" l="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3" i="1"/>
  <c r="H653" i="1"/>
  <c r="G654" i="1"/>
  <c r="H654" i="1"/>
  <c r="G655" i="1"/>
  <c r="H655" i="1"/>
  <c r="H656" i="1"/>
  <c r="J656" i="1" s="1"/>
  <c r="G62" i="2"/>
  <c r="J572" i="1"/>
  <c r="I170" i="1"/>
  <c r="G477" i="1"/>
  <c r="J140" i="1"/>
  <c r="H140" i="1"/>
  <c r="A40" i="12" l="1"/>
  <c r="G553" i="1"/>
  <c r="J652" i="1"/>
  <c r="K339" i="1"/>
  <c r="K353" i="1" s="1"/>
  <c r="C13" i="10"/>
  <c r="E121" i="2"/>
  <c r="E119" i="2"/>
  <c r="E110" i="2"/>
  <c r="G339" i="1"/>
  <c r="G353" i="1" s="1"/>
  <c r="E112" i="2"/>
  <c r="L402" i="1"/>
  <c r="C139" i="2" s="1"/>
  <c r="D6" i="13"/>
  <c r="C6" i="13" s="1"/>
  <c r="L257" i="1"/>
  <c r="H663" i="1"/>
  <c r="J258" i="1"/>
  <c r="C112" i="2"/>
  <c r="C119" i="2"/>
  <c r="F258" i="1"/>
  <c r="F272" i="1" s="1"/>
  <c r="C110" i="2"/>
  <c r="C20" i="10"/>
  <c r="C11" i="10"/>
  <c r="C121" i="2"/>
  <c r="G662" i="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E115" i="2" l="1"/>
  <c r="E128" i="2"/>
  <c r="H661" i="1"/>
  <c r="H665" i="1" s="1"/>
  <c r="H668" i="1" s="1"/>
  <c r="F661" i="1"/>
  <c r="F665" i="1" s="1"/>
  <c r="F668" i="1" s="1"/>
  <c r="F51" i="2"/>
  <c r="G36" i="14"/>
  <c r="H36" i="14" s="1"/>
  <c r="I36" i="14" s="1"/>
  <c r="F194" i="1"/>
  <c r="G628" i="1" s="1"/>
  <c r="J628" i="1" s="1"/>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<sst xmlns="http://schemas.openxmlformats.org/spreadsheetml/2006/main" count="5556" uniqueCount="1653">
  <si>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</si>
  <si>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</si>
  <si>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</si>
  <si>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</si>
  <si>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</si>
  <si>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</si>
  <si>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</si>
  <si>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</si>
  <si>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</si>
  <si>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</si>
  <si>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</si>
  <si>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</si>
  <si>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</si>
  <si>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</si>
  <si>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</si>
  <si>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</si>
  <si>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</si>
  <si>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</si>
  <si>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</si>
  <si>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</si>
  <si>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</si>
  <si>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</si>
  <si>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</si>
  <si>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</si>
  <si>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</si>
  <si>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</si>
  <si>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</si>
  <si>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</si>
  <si>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</si>
  <si>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</si>
  <si>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</si>
  <si>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</si>
  <si>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</si>
  <si>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</si>
  <si>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</si>
  <si>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</si>
  <si>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</si>
  <si>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</si>
  <si>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</si>
  <si>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</si>
  <si>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</si>
  <si>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</si>
  <si>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</si>
  <si>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</si>
  <si>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</si>
  <si>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</si>
  <si>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</si>
  <si>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</si>
  <si>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</si>
  <si>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</si>
  <si>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</si>
  <si>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</si>
  <si>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</si>
  <si>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</si>
  <si>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</si>
  <si>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</si>
  <si>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</si>
  <si>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</si>
  <si>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</si>
  <si>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</si>
  <si>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</si>
  <si>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</si>
  <si>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</si>
  <si>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</si>
  <si>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</si>
  <si>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</si>
  <si>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</si>
  <si>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</si>
  <si>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</si>
  <si>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</si>
  <si>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</si>
  <si>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</si>
  <si>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</si>
  <si>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</si>
  <si>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</si>
  <si>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</si>
  <si>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</si>
  <si>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</si>
  <si>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</si>
  <si>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</si>
  <si>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</si>
  <si>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</si>
  <si>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</si>
  <si>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</si>
  <si>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</si>
  <si>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</si>
  <si>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</si>
  <si>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</si>
  <si>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</si>
  <si>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</si>
  <si>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</si>
  <si>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</si>
  <si>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</si>
  <si>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</si>
  <si>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</si>
  <si>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</si>
  <si>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</si>
  <si>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</si>
  <si>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</si>
  <si>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</si>
  <si>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</si>
  <si>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</si>
  <si>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</si>
  <si>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</si>
  <si>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</si>
  <si>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</si>
  <si>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</si>
  <si>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</si>
  <si>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</si>
  <si>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</si>
  <si>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</si>
  <si>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</si>
  <si>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</si>
  <si>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</si>
  <si>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</si>
  <si>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</si>
  <si>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</si>
  <si>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</si>
  <si>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</si>
  <si>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</si>
  <si>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</si>
  <si>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</si>
  <si>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</si>
  <si>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</si>
  <si>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</si>
  <si>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</si>
  <si>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</si>
  <si>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</si>
  <si>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</si>
  <si>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</si>
  <si>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</si>
  <si>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</si>
  <si>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</si>
  <si>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</si>
  <si>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</si>
  <si>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</si>
  <si>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</si>
  <si>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</si>
  <si>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</si>
  <si>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</si>
  <si>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</si>
  <si>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</si>
  <si>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</si>
  <si>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</si>
  <si>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</si>
  <si>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</si>
  <si>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</si>
  <si>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</si>
  <si>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</si>
  <si>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</si>
  <si>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</si>
  <si>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</si>
  <si>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</si>
  <si>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</si>
  <si>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</si>
  <si>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</si>
  <si>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</si>
  <si>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</si>
  <si>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</si>
  <si>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</si>
  <si>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</si>
  <si>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</si>
  <si>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</si>
  <si>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</si>
  <si>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</si>
  <si>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</si>
  <si>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</si>
  <si>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</si>
  <si>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</si>
  <si>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</si>
  <si>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</si>
  <si>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</si>
  <si>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</si>
  <si>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</si>
  <si>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</si>
  <si>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</si>
  <si>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</si>
  <si>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</si>
  <si>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</si>
  <si>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</si>
  <si>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</si>
  <si>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</si>
  <si>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</si>
  <si>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</si>
  <si>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</si>
  <si>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</si>
  <si>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</si>
  <si>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</si>
  <si>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</si>
  <si>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</si>
  <si>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</si>
  <si>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</si>
  <si>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</si>
  <si>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</si>
  <si>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</si>
  <si>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</si>
  <si>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</si>
  <si>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</si>
  <si>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</si>
  <si>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</si>
  <si>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</si>
  <si>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</si>
  <si>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</si>
  <si>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</si>
  <si>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</si>
  <si>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</si>
  <si>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</si>
  <si>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</si>
  <si>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</si>
  <si>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</si>
  <si>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</si>
  <si>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</si>
  <si>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</si>
  <si>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</si>
  <si>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</si>
  <si>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</si>
  <si>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</si>
  <si>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</si>
  <si>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</si>
  <si>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</si>
  <si>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</si>
  <si>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</si>
  <si>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</si>
  <si>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</si>
  <si>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</si>
  <si>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</si>
  <si>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</si>
  <si>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</si>
  <si>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</si>
  <si>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</si>
  <si>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</si>
  <si>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</si>
  <si>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</si>
  <si>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</si>
  <si>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</si>
  <si>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</si>
  <si>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</si>
  <si>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</si>
  <si>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</si>
  <si>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</si>
  <si>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</si>
  <si>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</si>
  <si>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</si>
  <si>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</si>
  <si>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</si>
  <si>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</si>
  <si>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</si>
  <si>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</si>
  <si>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</si>
  <si>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</si>
  <si>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</si>
  <si>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</si>
  <si>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</si>
  <si>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</si>
  <si>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</si>
  <si>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</si>
  <si>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</si>
  <si>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</si>
  <si>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</si>
  <si>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</si>
  <si>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</si>
  <si>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</si>
  <si>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</si>
  <si>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</si>
  <si>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</si>
  <si>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</si>
  <si>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</si>
  <si>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</si>
  <si>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</si>
  <si>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</si>
  <si>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</si>
  <si>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</si>
  <si>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</si>
  <si>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</si>
  <si>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</si>
  <si>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</si>
  <si>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</si>
  <si>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</si>
  <si>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</si>
  <si>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</si>
  <si>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</si>
  <si>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</si>
  <si>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</si>
  <si>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</si>
  <si>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</si>
  <si>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</si>
  <si>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</si>
  <si>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</si>
  <si>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</si>
  <si>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</si>
  <si>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</si>
  <si>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</si>
  <si>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</si>
  <si>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</si>
  <si>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</si>
  <si>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</si>
  <si>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</si>
  <si>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</si>
  <si>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</si>
  <si>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</si>
  <si>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</si>
  <si>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</si>
  <si>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</si>
  <si>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</si>
  <si>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</si>
  <si>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</si>
  <si>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</si>
  <si>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</si>
  <si>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</si>
  <si>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</si>
  <si>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</si>
  <si>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</si>
  <si>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</si>
  <si>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</si>
  <si>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</si>
  <si>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</si>
  <si>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</si>
  <si>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</si>
  <si>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</si>
  <si>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</si>
  <si>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</si>
  <si>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</si>
  <si>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</si>
  <si>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</si>
  <si>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</si>
  <si>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</si>
  <si>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</si>
  <si>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</si>
  <si>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</si>
  <si>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</si>
  <si>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</si>
  <si>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</si>
  <si>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</si>
  <si>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</si>
  <si>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</si>
  <si>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</si>
  <si>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</si>
  <si>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</si>
  <si>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</si>
  <si>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</si>
  <si>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</si>
  <si>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</si>
  <si>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</si>
  <si>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</si>
  <si>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</si>
  <si>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</si>
  <si>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</si>
  <si>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</si>
  <si>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</si>
  <si>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</si>
  <si>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</si>
  <si>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</si>
  <si>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</si>
  <si>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</si>
  <si>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</si>
  <si>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</si>
  <si>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</si>
  <si>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</si>
  <si>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</si>
  <si>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</si>
  <si>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</si>
  <si>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</si>
  <si>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</si>
  <si>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</si>
  <si>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</si>
  <si>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</si>
  <si>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</si>
  <si>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</si>
  <si>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</si>
  <si>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</si>
  <si>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</si>
  <si>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</si>
  <si>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</si>
  <si>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</si>
  <si>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</si>
  <si>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</si>
  <si>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</si>
  <si>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</si>
  <si>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</si>
  <si>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</si>
  <si>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</si>
  <si>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</si>
  <si>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</si>
  <si>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</si>
  <si>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</si>
  <si>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</si>
  <si>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</si>
  <si>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</si>
  <si>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</si>
  <si>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</si>
  <si>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</si>
  <si>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</si>
  <si>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</si>
  <si>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</si>
  <si>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</si>
  <si>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</si>
  <si>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</si>
  <si>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</si>
  <si>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</si>
  <si>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</si>
  <si>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</si>
  <si>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</si>
  <si>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</si>
  <si>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</si>
  <si>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</si>
  <si>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</si>
  <si>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</si>
  <si>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</si>
  <si>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</si>
  <si>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</si>
  <si>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</si>
  <si>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</si>
  <si>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</si>
  <si>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</si>
  <si>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</si>
  <si>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</si>
  <si>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</si>
  <si>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</si>
  <si>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</si>
  <si>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</si>
  <si>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</si>
  <si>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</si>
  <si>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</si>
  <si>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</si>
  <si>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</si>
  <si>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</si>
  <si>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</si>
  <si>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</si>
  <si>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</si>
  <si>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</si>
  <si>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</si>
  <si>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</si>
  <si>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</si>
  <si>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</si>
  <si>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</si>
  <si>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</si>
  <si>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</si>
  <si>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</si>
  <si>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</si>
  <si>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</si>
  <si>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</si>
  <si>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</si>
  <si>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</si>
  <si>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</si>
  <si>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</si>
  <si>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</si>
  <si>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</si>
  <si>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</si>
  <si>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</si>
  <si>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</si>
  <si>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</si>
  <si>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</si>
  <si>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</si>
  <si>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</si>
  <si>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</si>
  <si>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</si>
  <si>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</si>
  <si>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</si>
  <si>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</si>
  <si>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</si>
  <si>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</si>
  <si>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</si>
  <si>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</si>
  <si>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</si>
  <si>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</si>
  <si>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</si>
  <si>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</si>
  <si>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</si>
  <si>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</si>
  <si>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</si>
  <si>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</si>
  <si>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</si>
  <si>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</si>
  <si>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</si>
  <si>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</si>
  <si>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</si>
  <si>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</si>
  <si>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</si>
  <si>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</si>
  <si>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</si>
  <si>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</si>
  <si>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</si>
  <si>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</si>
  <si>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</si>
  <si>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</si>
  <si>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</si>
  <si>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</si>
  <si>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</si>
  <si>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</si>
  <si>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</si>
  <si>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</si>
  <si>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</si>
  <si>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</si>
  <si>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</si>
  <si>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</si>
  <si>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</si>
  <si>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</si>
  <si>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</si>
  <si>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</si>
  <si>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</si>
  <si>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</si>
  <si>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</si>
  <si>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</si>
  <si>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</si>
  <si>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</si>
  <si>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</si>
  <si>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</si>
  <si>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</si>
  <si>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</si>
  <si>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</si>
  <si>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</si>
  <si>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</si>
  <si>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</si>
  <si>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</si>
  <si>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</si>
  <si>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</si>
  <si>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</si>
  <si>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</si>
  <si>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</si>
  <si>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</si>
  <si>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</si>
  <si>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</si>
  <si>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</si>
  <si>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</si>
  <si>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</si>
  <si>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</si>
  <si>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</si>
  <si>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</si>
  <si>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</si>
  <si>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</si>
  <si>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</si>
  <si>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</si>
  <si>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</si>
  <si>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</si>
  <si>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</si>
  <si>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</si>
  <si>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</si>
  <si>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</si>
  <si>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</si>
  <si>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</si>
  <si>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</si>
  <si>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</si>
  <si>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</si>
  <si>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</si>
  <si>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</si>
  <si>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</si>
  <si>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</si>
  <si>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</si>
  <si>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</si>
  <si>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</si>
  <si>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</si>
  <si>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</si>
  <si>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</si>
  <si>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</si>
  <si>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</si>
  <si>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</si>
  <si>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</si>
  <si>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</si>
  <si>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</si>
  <si>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</si>
  <si>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</si>
  <si>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</si>
  <si>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</si>
  <si>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</si>
  <si>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</si>
  <si>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</si>
  <si>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</si>
  <si>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</si>
  <si>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</si>
  <si>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</si>
  <si>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</si>
  <si>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</si>
  <si>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</si>
  <si>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</si>
  <si>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</si>
  <si>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</si>
  <si>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</si>
  <si>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</si>
  <si>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</si>
  <si>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</si>
  <si>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</si>
  <si>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</si>
  <si>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</si>
  <si>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</si>
  <si>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</si>
  <si>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</si>
  <si>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</si>
  <si>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</si>
  <si>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</si>
  <si>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</si>
  <si>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</si>
  <si>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</si>
  <si>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</si>
  <si>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</si>
  <si>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</si>
  <si>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</si>
  <si>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</si>
  <si>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</si>
  <si>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</si>
  <si>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</si>
  <si>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</si>
  <si>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</si>
  <si>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</si>
  <si>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</si>
  <si>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</si>
  <si>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</si>
  <si>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</si>
  <si>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</si>
  <si>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</si>
  <si>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</si>
  <si>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</si>
  <si>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</si>
  <si>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</si>
  <si>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</si>
  <si>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</si>
  <si>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</si>
  <si>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</si>
  <si>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</si>
  <si>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</si>
  <si>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</si>
  <si>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</si>
  <si>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</si>
  <si>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</si>
  <si>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</si>
  <si>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</si>
  <si>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</si>
  <si>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</si>
  <si>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</si>
  <si>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</si>
  <si>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</si>
  <si>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</si>
  <si>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</si>
  <si>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</si>
  <si>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</si>
  <si>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</si>
  <si>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</si>
  <si>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</si>
  <si>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</si>
  <si>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</si>
  <si>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</si>
  <si>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</si>
  <si>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</si>
  <si>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</si>
  <si>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</si>
  <si>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</si>
  <si>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</si>
  <si>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</si>
  <si>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</si>
  <si>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</si>
  <si>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</si>
  <si>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</si>
  <si>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</si>
  <si>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</si>
  <si>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</si>
  <si>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</si>
  <si>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</si>
  <si>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</si>
  <si>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</si>
  <si>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</si>
  <si>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</si>
  <si>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</si>
  <si>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</si>
  <si>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</si>
  <si>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</si>
  <si>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</si>
  <si>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</si>
  <si>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</si>
  <si>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</si>
  <si>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</si>
  <si>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</si>
  <si>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</si>
  <si>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</si>
  <si>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</si>
  <si>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</si>
  <si>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</si>
  <si>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</si>
  <si>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</si>
  <si>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</si>
  <si>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</si>
  <si>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</si>
  <si>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</si>
  <si>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</si>
  <si>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</si>
  <si>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</si>
  <si>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</si>
  <si>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</si>
  <si>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</si>
  <si>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</si>
  <si>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</si>
  <si>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</si>
  <si>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</si>
  <si>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</si>
  <si>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</si>
  <si>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</si>
  <si>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</si>
  <si>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</si>
  <si>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</si>
  <si>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</si>
  <si>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</si>
  <si>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</si>
  <si>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</si>
  <si>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</si>
  <si>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</si>
  <si>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</si>
  <si>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</si>
  <si>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</si>
  <si>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</si>
  <si>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</si>
  <si>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</si>
  <si>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</si>
  <si>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</si>
  <si>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</si>
  <si>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</si>
  <si>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</si>
  <si>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</si>
  <si>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</si>
  <si>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</si>
  <si>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</si>
  <si>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</si>
  <si>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</si>
  <si>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</si>
  <si>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</si>
  <si>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</si>
  <si>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</si>
  <si>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</si>
  <si>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</si>
  <si>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</si>
  <si>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</si>
  <si>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</si>
  <si>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</si>
  <si>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</si>
  <si>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</si>
  <si>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</si>
  <si>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</si>
  <si>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</si>
  <si>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</si>
  <si>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</si>
  <si>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</si>
  <si>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</si>
  <si>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</si>
  <si>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</si>
  <si>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</si>
  <si>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</si>
  <si>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</si>
  <si>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</si>
  <si>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</si>
  <si>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</si>
  <si>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</si>
  <si>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</si>
  <si>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</si>
  <si>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</si>
  <si>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</si>
  <si>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</si>
  <si>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</si>
  <si>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</si>
  <si>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</si>
  <si>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</si>
  <si>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</si>
  <si>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</si>
  <si>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</si>
  <si>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</si>
  <si>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</si>
  <si>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</si>
  <si>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</si>
  <si>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</si>
  <si>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</si>
  <si>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</si>
  <si>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</si>
  <si>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</si>
  <si>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</si>
  <si>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</si>
  <si>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</si>
  <si>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</si>
  <si>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</si>
  <si>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</si>
  <si>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</si>
  <si>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</si>
  <si>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</si>
  <si>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</si>
  <si>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</si>
  <si>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</si>
  <si>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</si>
  <si>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</si>
  <si>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</si>
  <si>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</si>
  <si>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</si>
  <si>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</si>
  <si>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</si>
  <si>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</si>
  <si>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</si>
  <si>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</si>
  <si>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</si>
  <si>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</si>
  <si>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</si>
  <si>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</si>
  <si>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</si>
  <si>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</si>
  <si>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</si>
  <si>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</si>
  <si>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</si>
  <si>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</si>
  <si>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</si>
  <si>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</si>
  <si>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</si>
  <si>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</si>
  <si>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</si>
  <si>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</si>
  <si>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</si>
  <si>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</si>
  <si>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</si>
  <si>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</si>
  <si>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</si>
  <si>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</si>
  <si>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</si>
  <si>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</si>
  <si>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</si>
  <si>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</si>
  <si>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</si>
  <si>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</si>
  <si>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</si>
  <si>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</si>
  <si>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</si>
  <si>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</si>
  <si>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</si>
  <si>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</si>
  <si>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</si>
  <si>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</si>
  <si>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</si>
  <si>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</si>
  <si>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</si>
  <si>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</si>
  <si>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</si>
  <si>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</si>
  <si>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</si>
  <si>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</si>
  <si>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</si>
  <si>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</si>
  <si>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</si>
  <si>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</si>
  <si>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</si>
  <si>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</si>
  <si>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</si>
  <si>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</si>
  <si>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</si>
  <si>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</si>
  <si>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</si>
  <si>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</si>
  <si>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</si>
  <si>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</si>
  <si>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</si>
  <si>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</si>
  <si>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</si>
  <si>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</si>
  <si>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</si>
  <si>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</si>
  <si>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</si>
  <si>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</si>
  <si>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</si>
  <si>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</si>
  <si>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</si>
  <si>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</si>
  <si>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</si>
  <si>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</si>
  <si>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</si>
  <si>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</si>
  <si>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</si>
  <si>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</si>
  <si>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</si>
  <si>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</si>
  <si>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</si>
  <si>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</si>
  <si>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</si>
  <si>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</si>
  <si>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</si>
  <si>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</si>
  <si>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</si>
  <si>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</si>
  <si>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</si>
  <si>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</si>
  <si>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</si>
  <si>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</si>
  <si>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</si>
  <si>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</si>
  <si>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</si>
  <si>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</si>
  <si>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</si>
  <si>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</si>
  <si>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</si>
  <si>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</si>
  <si>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</si>
  <si>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</si>
  <si>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</si>
  <si>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</si>
  <si>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</si>
  <si>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</si>
  <si>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</si>
  <si>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</si>
  <si>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</si>
  <si>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</si>
  <si>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</si>
  <si>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</si>
  <si>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</si>
  <si>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</si>
  <si>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</si>
  <si>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</si>
  <si>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</si>
  <si>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</si>
  <si>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</si>
  <si>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</si>
  <si>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</si>
  <si>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</si>
  <si>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</si>
  <si>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</si>
  <si>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</si>
  <si>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</si>
  <si>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</si>
  <si>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</si>
  <si>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</si>
  <si>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</si>
  <si>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</si>
  <si>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</si>
  <si>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</si>
  <si>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</si>
  <si>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</si>
  <si>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</si>
  <si>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</si>
  <si>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</si>
  <si>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</si>
  <si>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</si>
  <si>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</si>
  <si>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</si>
  <si>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</si>
  <si>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</si>
  <si>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</si>
  <si>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</si>
  <si>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</si>
  <si>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</si>
  <si>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</si>
  <si>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</si>
  <si>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</si>
  <si>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</si>
  <si>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</si>
  <si>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</si>
  <si>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</si>
  <si>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</si>
  <si>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</si>
  <si>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</si>
  <si>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</si>
  <si>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</si>
  <si>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</si>
  <si>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</si>
  <si>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</si>
  <si>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</si>
  <si>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</si>
  <si>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</si>
  <si>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</si>
  <si>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</si>
  <si>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</si>
  <si>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</si>
  <si>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</si>
  <si>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</si>
  <si>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</si>
  <si>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</si>
  <si>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</si>
  <si>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</si>
  <si>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</si>
  <si>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</si>
  <si>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</si>
  <si>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</si>
  <si>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</si>
  <si>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</si>
  <si>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</si>
  <si>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</si>
  <si>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</si>
  <si>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</si>
  <si>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</si>
  <si>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</si>
  <si>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</si>
  <si>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</si>
  <si>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</si>
  <si>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</si>
  <si>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</si>
  <si>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</si>
  <si>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</si>
  <si>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</si>
  <si>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</si>
  <si>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</si>
  <si>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</si>
  <si>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</si>
  <si>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</si>
  <si>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</si>
  <si>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</si>
  <si>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</si>
  <si>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</si>
  <si>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</si>
  <si>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</si>
  <si>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</si>
  <si>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</si>
  <si>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</si>
  <si>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</si>
  <si>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</si>
  <si>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</si>
  <si>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</si>
  <si>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</si>
  <si>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</si>
  <si>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</si>
  <si>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</si>
  <si>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</si>
  <si>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</si>
  <si>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</si>
  <si>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</si>
  <si>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</si>
  <si>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</si>
  <si>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</si>
  <si>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</si>
  <si>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</si>
  <si>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</si>
  <si>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</si>
  <si>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</si>
  <si>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</si>
  <si>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</si>
  <si>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</si>
  <si>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</si>
  <si>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</si>
  <si>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</si>
  <si>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</si>
  <si>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</si>
  <si>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</si>
  <si>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</si>
  <si>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</si>
  <si>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</si>
  <si>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</si>
  <si>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</si>
  <si>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</si>
  <si>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</si>
  <si>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</si>
  <si>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</si>
  <si>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</si>
  <si>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</si>
  <si>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</si>
  <si>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</si>
  <si>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</si>
  <si>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</si>
  <si>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</si>
  <si>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</si>
  <si>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</si>
  <si>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</si>
  <si>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</si>
  <si>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</si>
  <si>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</si>
  <si>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</si>
  <si>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</si>
  <si>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</si>
  <si>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</si>
  <si>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</si>
  <si>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</si>
  <si>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</si>
  <si>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</si>
  <si>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</si>
  <si>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</si>
  <si>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</si>
  <si>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</si>
  <si>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</si>
  <si>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</si>
  <si>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</si>
  <si>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</si>
  <si>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</si>
  <si>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</si>
  <si>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</si>
  <si>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</si>
  <si>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</si>
  <si>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</si>
  <si>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</si>
  <si>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</si>
  <si>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</si>
  <si>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</si>
  <si>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</si>
  <si>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</si>
  <si>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</si>
  <si>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</si>
  <si>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</si>
  <si>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</si>
  <si>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</si>
  <si>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</si>
  <si>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</si>
  <si>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</si>
  <si>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</si>
  <si>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</si>
  <si>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</si>
  <si>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</si>
  <si>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</si>
  <si>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</si>
  <si>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</si>
  <si>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</si>
  <si>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</si>
  <si>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</si>
  <si>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</si>
  <si>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</si>
  <si>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</si>
  <si>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</si>
  <si>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</si>
  <si>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</si>
  <si>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</si>
  <si>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</si>
  <si>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</si>
  <si>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</si>
  <si>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</si>
  <si>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</si>
  <si>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</si>
  <si>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</si>
  <si>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</si>
  <si>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</si>
  <si>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</si>
  <si>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</si>
  <si>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</si>
  <si>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</si>
  <si>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</si>
  <si>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</si>
  <si>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</si>
  <si>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</si>
  <si>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</si>
  <si>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</si>
  <si>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</si>
  <si>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</si>
  <si>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</si>
  <si>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</si>
  <si>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</si>
  <si>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</si>
  <si>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</si>
  <si>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</si>
  <si>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</si>
  <si>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</si>
  <si>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</si>
  <si>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</si>
  <si>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</si>
  <si>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</si>
  <si>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</si>
  <si>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</si>
  <si>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</si>
  <si>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</si>
  <si>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</si>
  <si>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</si>
  <si>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</si>
  <si>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</si>
  <si>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</si>
  <si>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</si>
  <si>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</si>
  <si>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</si>
  <si>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</si>
  <si>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</si>
  <si>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</si>
  <si>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</si>
  <si>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</si>
  <si>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</si>
  <si>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</si>
  <si>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</si>
  <si>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</si>
  <si>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</si>
  <si>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</si>
  <si>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</si>
  <si>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</si>
  <si>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</si>
  <si>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</si>
  <si>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</si>
  <si>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</si>
  <si>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</si>
  <si>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</si>
  <si>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</si>
  <si>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</si>
  <si>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</si>
  <si>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</si>
  <si>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</si>
  <si>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</si>
  <si>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</si>
  <si>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</si>
  <si>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</si>
  <si>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</si>
  <si>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</si>
  <si>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</si>
  <si>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</si>
  <si>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</si>
  <si>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</si>
  <si>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</si>
  <si>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</si>
  <si>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</si>
  <si>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</si>
  <si>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</si>
  <si>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</si>
  <si>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</si>
  <si>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</si>
  <si>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</si>
  <si>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</si>
  <si>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</si>
  <si>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</si>
  <si>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</si>
  <si>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</si>
  <si>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</si>
  <si>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</si>
  <si>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</si>
  <si>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</si>
  <si>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</si>
  <si>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</si>
  <si>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</si>
  <si>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</si>
  <si>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</si>
  <si>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</si>
  <si>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</si>
  <si>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</si>
  <si>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</si>
  <si>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</si>
  <si>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</si>
  <si>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</si>
  <si>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</si>
  <si>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</si>
  <si>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</si>
  <si>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</si>
  <si>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</si>
  <si>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</si>
  <si>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</si>
  <si>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</si>
  <si>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</si>
  <si>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</si>
  <si>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</si>
  <si>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</si>
  <si>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</si>
  <si>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</si>
  <si>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</si>
  <si>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</si>
  <si>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</si>
  <si>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</si>
  <si>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</si>
  <si>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</si>
  <si>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</si>
  <si>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</si>
  <si>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</si>
  <si>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</si>
  <si>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</si>
  <si>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</si>
  <si>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</si>
  <si>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</si>
  <si>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</si>
  <si>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</si>
  <si>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</si>
  <si>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</si>
  <si>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</si>
  <si>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</si>
  <si>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</si>
  <si>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</si>
  <si>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</si>
  <si>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</si>
  <si>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</si>
  <si>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</si>
  <si>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</si>
  <si>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</si>
  <si>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</si>
  <si>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</si>
  <si>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</si>
  <si>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</si>
  <si>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</si>
  <si>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</si>
  <si>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</si>
  <si>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</si>
  <si>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</si>
  <si>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</si>
  <si>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</si>
  <si>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</si>
  <si>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</si>
  <si>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</si>
  <si>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</si>
  <si>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</si>
  <si>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</si>
  <si>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</si>
  <si>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</si>
  <si>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</si>
  <si>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</si>
  <si>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</si>
  <si>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</si>
  <si>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</si>
  <si>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</si>
  <si>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</si>
  <si>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</si>
  <si>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</si>
  <si>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</si>
  <si>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</si>
  <si>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</si>
  <si>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</si>
  <si>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</si>
  <si>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</si>
  <si>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</si>
  <si>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</si>
  <si>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</si>
  <si>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</si>
  <si>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</si>
  <si>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</si>
  <si>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</si>
  <si>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</si>
  <si>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</si>
  <si>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</si>
  <si>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</si>
  <si>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</si>
  <si>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</si>
  <si>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</si>
  <si>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</si>
  <si>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</si>
  <si>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</si>
  <si>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</si>
  <si>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</si>
  <si>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</si>
  <si>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</si>
  <si>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</si>
  <si>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</si>
  <si>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</si>
  <si>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</si>
  <si>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</si>
  <si>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</si>
  <si>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</si>
  <si>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</si>
  <si>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</si>
  <si>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</si>
  <si>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</si>
  <si>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</si>
  <si>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</si>
  <si>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</si>
  <si>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</si>
  <si>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</si>
  <si>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</si>
  <si>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</si>
  <si>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</si>
  <si>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</si>
  <si>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</si>
  <si>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</si>
  <si>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</si>
  <si>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</si>
  <si>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</si>
  <si>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</si>
  <si>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</si>
  <si>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</si>
  <si>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</si>
  <si>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</si>
  <si>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</si>
  <si>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</si>
  <si>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</si>
  <si>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</si>
  <si>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</si>
  <si>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</si>
  <si>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</si>
  <si>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</si>
  <si>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</si>
  <si>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</si>
  <si>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</si>
  <si>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</si>
  <si>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</si>
  <si>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</si>
  <si>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</si>
  <si>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</si>
  <si>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</si>
  <si>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</si>
  <si>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</si>
  <si>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</si>
  <si>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</si>
  <si>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</si>
  <si>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</si>
  <si>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</si>
  <si>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</si>
  <si>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</si>
  <si>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</si>
  <si>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</si>
  <si>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</si>
  <si>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</si>
  <si>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</si>
  <si>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</si>
  <si>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</si>
  <si>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</si>
  <si>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</si>
  <si>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</si>
  <si>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</si>
  <si>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</si>
  <si>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</si>
  <si>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</si>
  <si>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</si>
  <si>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</si>
  <si>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</si>
  <si>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</si>
  <si>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</si>
  <si>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</si>
  <si>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</si>
  <si>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</si>
  <si>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</si>
  <si>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</si>
  <si>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</si>
  <si>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</si>
  <si>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</si>
  <si>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</si>
  <si>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</si>
  <si>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</si>
  <si>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</si>
  <si>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</si>
  <si>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</si>
  <si>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</si>
  <si>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</si>
  <si>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</si>
  <si>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</si>
  <si>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</si>
  <si>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</si>
  <si>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</si>
  <si>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</si>
  <si>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</si>
  <si>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</si>
  <si>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</si>
  <si>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</si>
  <si>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</si>
  <si>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</si>
  <si>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</si>
  <si>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</si>
  <si>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</si>
  <si>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</si>
  <si>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</si>
  <si>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</si>
  <si>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</si>
  <si>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</si>
  <si>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</si>
  <si>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</si>
  <si>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</si>
  <si>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</si>
  <si>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</si>
  <si>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</si>
  <si>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</si>
  <si>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</si>
  <si>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</si>
  <si>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</si>
  <si>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</si>
  <si>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</si>
  <si>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</si>
  <si>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</si>
  <si>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</si>
  <si>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</si>
  <si>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</si>
  <si>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</si>
  <si>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</si>
  <si>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</si>
  <si>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</si>
  <si>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</si>
  <si>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</si>
  <si>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</si>
  <si>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</si>
  <si>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</si>
  <si>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</si>
  <si>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</si>
  <si>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</si>
  <si>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</si>
  <si>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</si>
  <si>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</si>
  <si>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</si>
  <si>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</si>
  <si>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</si>
  <si>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</si>
  <si>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</si>
  <si>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</si>
  <si>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</si>
  <si>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</si>
  <si>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</si>
  <si>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</si>
  <si>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</si>
  <si>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</si>
  <si>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</si>
  <si>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</si>
  <si>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</si>
  <si>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</si>
  <si>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</si>
  <si>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</si>
  <si>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</si>
  <si>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</si>
  <si>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</si>
  <si>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</si>
  <si>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</si>
  <si>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</si>
  <si>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</si>
  <si>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</si>
  <si>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</si>
  <si>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</si>
  <si>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</si>
  <si>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</si>
  <si>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</si>
  <si>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</si>
  <si>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</si>
  <si>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</si>
  <si>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</si>
  <si>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</si>
  <si>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</si>
  <si>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</si>
  <si>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</si>
  <si>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</si>
  <si>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</si>
  <si>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</si>
  <si>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</si>
  <si>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</si>
  <si>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</si>
  <si>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</si>
  <si>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</si>
  <si>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</si>
  <si>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</si>
  <si>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</si>
  <si>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</si>
  <si>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</si>
  <si>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</si>
  <si>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</si>
  <si>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</si>
  <si>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</si>
  <si>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</si>
  <si>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</si>
  <si>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</si>
  <si>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</si>
  <si>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</si>
  <si>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</si>
  <si>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</si>
  <si>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</si>
  <si>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</si>
  <si>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</si>
  <si>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</si>
  <si>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</si>
  <si>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</si>
  <si>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</si>
  <si>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</si>
  <si>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</si>
  <si>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</si>
  <si>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</si>
  <si>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</si>
  <si>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</si>
  <si>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</si>
  <si>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</si>
  <si>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</si>
  <si>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</si>
  <si>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</si>
  <si>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</si>
  <si>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</si>
  <si>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</si>
  <si>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</si>
  <si>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</si>
  <si>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</si>
  <si>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</si>
  <si>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</si>
  <si>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</si>
  <si>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</si>
  <si>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</si>
  <si>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</si>
  <si>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</si>
  <si>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</si>
  <si>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</si>
  <si>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</si>
  <si>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</si>
  <si>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</si>
  <si>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</si>
  <si>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</si>
  <si>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</si>
  <si>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</si>
  <si>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</si>
  <si>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</si>
  <si>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</si>
  <si>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</si>
  <si>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</si>
  <si>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</si>
  <si>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</si>
  <si>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</si>
  <si>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</si>
  <si>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</si>
  <si>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</si>
  <si>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</si>
  <si>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</si>
  <si>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</si>
  <si>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</si>
  <si>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</si>
  <si>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</si>
  <si>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</si>
  <si>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</si>
  <si>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</si>
  <si>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</si>
  <si>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</si>
  <si>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</si>
  <si>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</si>
  <si>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</si>
  <si>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</si>
  <si>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</si>
  <si>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</si>
  <si>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</si>
  <si>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</si>
  <si>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</si>
  <si>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</si>
  <si>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</si>
  <si>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</si>
  <si>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</si>
  <si>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</si>
  <si>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</si>
  <si>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</si>
  <si>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</si>
  <si>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</si>
  <si>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</si>
  <si>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</si>
  <si>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</si>
  <si>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</si>
  <si>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</si>
  <si>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</si>
  <si>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</si>
  <si>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</si>
  <si>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</si>
  <si>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</si>
  <si>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</si>
  <si>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</si>
  <si>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</si>
  <si>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</si>
  <si>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</si>
  <si>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</si>
  <si>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</si>
  <si>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</si>
  <si>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</si>
  <si>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</si>
  <si>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</si>
  <si>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</si>
  <si>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</si>
  <si>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</si>
  <si>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</si>
  <si>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</si>
  <si>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</si>
  <si>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</si>
  <si>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</si>
  <si>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</si>
  <si>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</si>
  <si>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</si>
  <si>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</si>
  <si>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</si>
  <si>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</si>
  <si>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</si>
  <si>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</si>
  <si>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</si>
  <si>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</si>
  <si>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</si>
  <si>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</si>
  <si>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</si>
  <si>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</si>
  <si>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</si>
  <si>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</si>
  <si>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</si>
  <si>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</si>
  <si>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Franklin School District</t>
  </si>
  <si>
    <t>8/99</t>
  </si>
  <si>
    <t>08/19</t>
  </si>
  <si>
    <t>05/06</t>
  </si>
  <si>
    <t>05/26</t>
  </si>
  <si>
    <t>08/39</t>
  </si>
  <si>
    <t>Partnership for Success Grant, PFS2 CFDA #93.243 FAIN #SP020796 Funded through DHHS  $99955.04</t>
  </si>
  <si>
    <t>System of Care Grant CFDA 93.104 Project 94651  $25602.29</t>
  </si>
  <si>
    <t>System of Care Grant CFDA 93.104 Project 02565  $74994.61</t>
  </si>
  <si>
    <t>Project Aware Grant CFDA 93.243 Project 94655 $172313.62</t>
  </si>
  <si>
    <t>Insurance Premium Holidays, Project Aware Local Support, Asset Sale, Jury Duty, Royalty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</si>
</sst>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185</v>
      </c>
      <c r="C2" s="21">
        <v>185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100+150+200+1483487.08</f>
        <v>1483937.08</v>
      </c>
      <c r="G9" s="18">
        <f>60169.23+317</f>
        <v>60486.23</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4064.19-728088.74</f>
        <v>-724024.55</v>
      </c>
      <c r="G13" s="18">
        <v>49815.54</v>
      </c>
      <c r="H13" s="18">
        <v>957972.64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58685.26</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33930.11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1974.08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820571.87</v>
      </c>
      <c r="G19" s="41">
        <f>SUM(G9:G18)</f>
        <v>144231.88</v>
      </c>
      <c r="H19" s="41">
        <f>SUM(H9:H18)</f>
        <v>957972.64</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-359865.01</v>
      </c>
      <c r="G22" s="18">
        <v>117210.17</v>
      </c>
      <c r="H22" s="18">
        <f>-3000-18047.48+704698.49-286.07-72878.64-398.07-3823.41-25000-15750.97-31.47-1310.51</f>
        <v>564171.87000000011</v>
      </c>
      <c r="I22" s="18"/>
      <c r="J22" s="67">
        <f>SUM(I449)</f>
        <v>-321398</v>
      </c>
      <c r="K22" s="24" t="s">
        <v>288</v>
      </c>
      <c r="L22" s="24" t="s">
        <v>288</v>
      </c>
      <c r="M22" s="8"/>
      <c r="N22" s="266"/>
    </row>
    <row r="23" spans="1:14" s="3" customFormat="1" ht="12.2" customHeight="1" x14ac:dyDescent="0.15">
      <c r="A23" s="1" t="s">
        <v>607</v>
      </c>
      <c r="B23" s="2" t="s">
        <v>289</v>
      </c>
      <c r="C23" s="6">
        <v>13</v>
      </c>
      <c r="D23" s="2" t="s">
        <v>429</v>
      </c>
      <c r="E23" s="6">
        <v>410</v>
      </c>
      <c r="F23" s="18">
        <v>318684.05</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-22.87</v>
      </c>
      <c r="G24" s="18">
        <f>17387.53+5078.23</f>
        <v>22465.759999999998</v>
      </c>
      <c r="H24" s="18">
        <f>129596.24+646.07</f>
        <v>130242.31000000001</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228469.99</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v>23833.18</v>
      </c>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10.65-97.1</f>
        <v>-86.449999999999989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29573.16</v>
      </c>
      <c r="G30" s="18">
        <v>4555.95</v>
      </c>
      <c r="H30" s="18">
        <f>5250+7427.7+173.65+110180.49</f>
        <v>123031.84000000001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240586.04999999996</v>
      </c>
      <c r="G32" s="41">
        <f>SUM(G22:G31)</f>
        <v>144231.88</v>
      </c>
      <c r="H32" s="41">
        <f>SUM(H22:H31)</f>
        <v>817446.02000000014</v>
      </c>
      <c r="I32" s="41">
        <f>SUM(I22:I31)</f>
        <v>0</v>
      </c>
      <c r="J32" s="41">
        <f>SUM(J22:J31)</f>
        <v>-321398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286000+116418.25</f>
        <v>402418.25</v>
      </c>
      <c r="G48" s="18"/>
      <c r="H48" s="18">
        <f>3000+31238.95-13191.47+286.07+72878.64+398.07+3823.41+25000+15750.97+31.47+1310.51</f>
        <v>140526.62000000002</v>
      </c>
      <c r="I48" s="18"/>
      <c r="J48" s="13">
        <f>SUM(I460)</f>
        <v>321398</v>
      </c>
      <c r="K48" s="24" t="s">
        <v>288</v>
      </c>
      <c r="L48" s="24" t="s">
        <v>288</v>
      </c>
      <c r="M48" s="8"/>
      <c r="N48" s="266"/>
    </row>
    <row r="49" spans="1:14" s="3" customFormat="1" ht="12.2" customHeight="1" x14ac:dyDescent="0.15">
      <c r="A49" s="1" t="s">
        <v>859</v>
      </c>
      <c r="B49" s="2" t="s">
        <v>289</v>
      </c>
      <c r="C49" s="6">
        <v>34</v>
      </c>
      <c r="D49" s="2"/>
      <c r="E49" s="6">
        <v>753</v>
      </c>
      <c r="F49" s="18">
        <v>177567.57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579985.82000000007</v>
      </c>
      <c r="G51" s="41">
        <f>SUM(G35:G50)</f>
        <v>0</v>
      </c>
      <c r="H51" s="41">
        <f>SUM(H35:H50)</f>
        <v>140526.62000000002</v>
      </c>
      <c r="I51" s="41">
        <f>SUM(I35:I50)</f>
        <v>0</v>
      </c>
      <c r="J51" s="41">
        <f>SUM(J35:J50)</f>
        <v>321398</v>
      </c>
      <c r="K51" s="45" t="s">
        <v>288</v>
      </c>
      <c r="L51" s="45" t="s">
        <v>288</v>
      </c>
      <c r="N51" s="264"/>
    </row>
    <row r="52" spans="1:14" s="3" customFormat="1" ht="12.2" customHeight="1" thickTop="1" x14ac:dyDescent="0.15">
      <c r="A52" s="38" t="s">
        <v>455</v>
      </c>
      <c r="B52" s="39" t="s">
        <v>289</v>
      </c>
      <c r="C52" s="6">
        <v>37</v>
      </c>
      <c r="D52" s="39" t="s">
        <v>653</v>
      </c>
      <c r="E52" s="39"/>
      <c r="F52" s="41">
        <f>F51+F32</f>
        <v>820571.87</v>
      </c>
      <c r="G52" s="41">
        <f>G51+G32</f>
        <v>144231.88</v>
      </c>
      <c r="H52" s="41">
        <f>H51+H32</f>
        <v>957972.64000000013</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4359548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4359548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250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17063.650000000001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17063.650000000001</v>
      </c>
      <c r="G79" s="45" t="s">
        <v>288</v>
      </c>
      <c r="H79" s="41">
        <f>SUM(H63:H78)</f>
        <v>250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12150.39</v>
      </c>
      <c r="G96" s="18">
        <v>158.79</v>
      </c>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56340.7+5730.75+8212.65+2073.4+19849.1+2582.7</f>
        <v>94789.299999999974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3164</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5562.78+24819.51+2000+7511.82+800+7400</f>
        <v>48094.11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175.05</v>
      </c>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1070.23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78865.9+100251.39</f>
        <v>179117.28999999998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196676.95999999996</v>
      </c>
      <c r="G111" s="41">
        <f>SUM(G96:G110)</f>
        <v>94948.089999999967</v>
      </c>
      <c r="H111" s="41">
        <f>SUM(H96:H110)</f>
        <v>48094.11</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4573288.6100000003</v>
      </c>
      <c r="G112" s="41">
        <f>G60+G111</f>
        <v>94948.089999999967</v>
      </c>
      <c r="H112" s="41">
        <f>H60+H79+H94+H111</f>
        <v>48344.11</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7687743.5899999999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1158237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34061.589999999997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8880042.1799999997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181944.16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121277.55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7598.8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7370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f>24634.3+11009.42+225.48</f>
        <v>35869.200000000004</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6437.62+2191.95</f>
        <v>8629.57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77870+399047.38+599.93</f>
        <v>477517.31</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310820.51</v>
      </c>
      <c r="G136" s="41">
        <f>SUM(G123:G135)</f>
        <v>8629.57</v>
      </c>
      <c r="H136" s="41">
        <f>SUM(H123:H135)</f>
        <v>520756.51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9190862.6899999995</v>
      </c>
      <c r="G140" s="41">
        <f>G121+SUM(G136:G137)</f>
        <v>8629.57</v>
      </c>
      <c r="H140" s="41">
        <f>H121+SUM(H136:H139)</f>
        <v>520756.51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739452.68+48254.68</f>
        <v>787707.3600000001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281276.13+7675+439.8+17747.65+1034+64605.05+11121.39+40377.1+85314.3</f>
        <v>509590.42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286217.37+118682.28+29326.63</f>
        <v>434226.28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293764.88+907.78+107153.29</f>
        <v>401825.95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36746.559999999998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36511.199999999997</v>
      </c>
      <c r="G161" s="18"/>
      <c r="H161" s="18">
        <f>99955.04+74994.61+25608.29+172313.62</f>
        <v>372871.56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73257.759999999995</v>
      </c>
      <c r="G163" s="41">
        <f>SUM(G150:G162)</f>
        <v>434226.28</v>
      </c>
      <c r="H163" s="41">
        <f>SUM(H150:H162)</f>
        <v>2071995.29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73257.759999999995</v>
      </c>
      <c r="G170" s="41">
        <f>G147+G163+SUM(G164:G169)</f>
        <v>434226.28</v>
      </c>
      <c r="H170" s="41">
        <f>H147+H163+SUM(H164:H169)</f>
        <v>2071995.29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53402.02</v>
      </c>
      <c r="H180" s="18">
        <v>99761.84</v>
      </c>
      <c r="I180" s="18"/>
      <c r="J180" s="18">
        <v>321398</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65371.92</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65371.92</v>
      </c>
      <c r="G184" s="41">
        <f>SUM(G180:G183)</f>
        <v>53402.02</v>
      </c>
      <c r="H184" s="41">
        <f>SUM(H180:H183)</f>
        <v>99761.84</v>
      </c>
      <c r="I184" s="41">
        <f>SUM(I180:I183)</f>
        <v>0</v>
      </c>
      <c r="J184" s="41">
        <f>SUM(J180:J183)</f>
        <v>321398</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65371.92</v>
      </c>
      <c r="G193" s="41">
        <f>G184+SUM(G189:G192)</f>
        <v>53402.02</v>
      </c>
      <c r="H193" s="41">
        <f>+H184+SUM(H189:H192)</f>
        <v>99761.84</v>
      </c>
      <c r="I193" s="41">
        <f>I178+I184+SUM(I189:I192)</f>
        <v>0</v>
      </c>
      <c r="J193" s="41">
        <f>J184</f>
        <v>321398</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13902780.98</v>
      </c>
      <c r="G194" s="47">
        <f>G112+G140+G170+G193</f>
        <v>591205.96</v>
      </c>
      <c r="H194" s="47">
        <f>H112+H140+H170+H193</f>
        <v>2740857.75</v>
      </c>
      <c r="I194" s="47">
        <f>I112+I140+I170+I193</f>
        <v>0</v>
      </c>
      <c r="J194" s="47">
        <f>J112+J140+J193</f>
        <v>321398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889288.52+1043769.65</f>
        <v>1933058.17</v>
      </c>
      <c r="G198" s="18">
        <f>444734.01+569437.92</f>
        <v>1014171.93</v>
      </c>
      <c r="H198" s="18">
        <f>33516.04+28859.73</f>
        <v>62375.770000000004</v>
      </c>
      <c r="I198" s="18">
        <f>90130.33+14775.16</f>
        <v>104905.49</v>
      </c>
      <c r="J198" s="18">
        <f>1755.98</f>
        <v>1755.98</v>
      </c>
      <c r="K198" s="18"/>
      <c r="L198" s="19">
        <f>SUM(F198:K198)</f>
        <v>3116267.3400000003</v>
      </c>
      <c r="M198" s="8"/>
      <c r="N198" s="266"/>
    </row>
    <row r="199" spans="1:14" s="3" customFormat="1" ht="12.2" customHeight="1" x14ac:dyDescent="0.15">
      <c r="A199" s="1" t="s">
        <v>439</v>
      </c>
      <c r="B199" s="2" t="s">
        <v>341</v>
      </c>
      <c r="C199" s="2" t="s">
        <v>291</v>
      </c>
      <c r="D199" s="2" t="s">
        <v>431</v>
      </c>
      <c r="E199" s="6">
        <v>1200</v>
      </c>
      <c r="F199" s="18">
        <f>498565.61+16868.75+253087.7+3957.5+108478.83+4714.98</f>
        <v>885673.37</v>
      </c>
      <c r="G199" s="18">
        <f>295762.45+2193.76+102507.34+682.37+55353.21+393.84</f>
        <v>456892.97000000009</v>
      </c>
      <c r="H199" s="18">
        <f>576446.98+70733.14+2206.68</f>
        <v>649386.80000000005</v>
      </c>
      <c r="I199" s="18">
        <f>966.83+85.11+2948.91+1210.68</f>
        <v>5211.53</v>
      </c>
      <c r="J199" s="18"/>
      <c r="K199" s="18">
        <f>359.87</f>
        <v>359.87</v>
      </c>
      <c r="L199" s="19">
        <f>SUM(F199:K199)</f>
        <v>1997524.5400000003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500+2500+31672.3</f>
        <v>34672.300000000003</v>
      </c>
      <c r="G201" s="18">
        <f>129.39+646.95+15717.83</f>
        <v>16494.169999999998</v>
      </c>
      <c r="H201" s="18">
        <f>5771</f>
        <v>5771</v>
      </c>
      <c r="I201" s="18">
        <f>3647.6</f>
        <v>3647.6</v>
      </c>
      <c r="J201" s="18">
        <f>3093</f>
        <v>3093</v>
      </c>
      <c r="K201" s="18">
        <f>850</f>
        <v>850</v>
      </c>
      <c r="L201" s="19">
        <f>SUM(F201:K201)</f>
        <v>64528.07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36216+42035+49396.53+16559.4+68654.52+87654.19+44725+48689.13+35643.48+16559.41+29168.54+34776.34+679</f>
        <v>510756.53999999992</v>
      </c>
      <c r="G203" s="18">
        <f>14903.38+25561.36+23621.32+7480.35+39535.98+33888.27+31780.84+22892.73+20067.88+7480.35+16941.59+12006.21+175.71+298.75</f>
        <v>256634.72</v>
      </c>
      <c r="H203" s="18">
        <f>80+17275+140751.14+101351.25+80+17275+78627.56+33156.24+141.91+67884.38</f>
        <v>456622.48</v>
      </c>
      <c r="I203" s="18">
        <f>615.39+439.74+442.57+81+1328.46+100+1081.17</f>
        <v>4088.33</v>
      </c>
      <c r="J203" s="18"/>
      <c r="K203" s="18"/>
      <c r="L203" s="19">
        <f t="shared" ref="L203:L209" si="0">SUM(F203:K203)</f>
        <v>1228102.0699999998</v>
      </c>
      <c r="M203" s="8"/>
      <c r="N203" s="266"/>
    </row>
    <row r="204" spans="1:14" s="3" customFormat="1" ht="12.2" customHeight="1" x14ac:dyDescent="0.15">
      <c r="A204" s="1" t="s">
        <v>443</v>
      </c>
      <c r="B204" s="2" t="s">
        <v>341</v>
      </c>
      <c r="C204" s="2" t="s">
        <v>295</v>
      </c>
      <c r="D204" s="2" t="s">
        <v>431</v>
      </c>
      <c r="E204" s="6">
        <v>2200</v>
      </c>
      <c r="F204" s="18">
        <f>13138.71+13493.4+6790</f>
        <v>33422.11</v>
      </c>
      <c r="G204" s="18">
        <f>1403.44+1929.38+1182.74+21789.1</f>
        <v>26304.66</v>
      </c>
      <c r="H204" s="18">
        <f>33055.68+787.5+1176.5+33039.69</f>
        <v>68059.37</v>
      </c>
      <c r="I204" s="18">
        <f>773.18+1501.33+1626.79</f>
        <v>3901.2999999999997</v>
      </c>
      <c r="J204" s="18">
        <f>6242.35+6061.11</f>
        <v>12303.46</v>
      </c>
      <c r="K204" s="18"/>
      <c r="L204" s="19">
        <f t="shared" si="0"/>
        <v>143990.9</v>
      </c>
      <c r="M204" s="8"/>
      <c r="N204" s="266"/>
    </row>
    <row r="205" spans="1:14" s="3" customFormat="1" ht="12.2" customHeight="1" x14ac:dyDescent="0.15">
      <c r="A205" s="1" t="s">
        <v>444</v>
      </c>
      <c r="B205" s="2" t="s">
        <v>341</v>
      </c>
      <c r="C205" s="2" t="s">
        <v>296</v>
      </c>
      <c r="D205" s="2" t="s">
        <v>431</v>
      </c>
      <c r="E205" s="6">
        <v>2300</v>
      </c>
      <c r="F205" s="18">
        <f>3395+140953.44</f>
        <v>144348.44</v>
      </c>
      <c r="G205" s="18">
        <f>268.52+43896.21</f>
        <v>44164.729999999996</v>
      </c>
      <c r="H205" s="18">
        <f>3928.23+16975+6535.88+16276.7</f>
        <v>43715.81</v>
      </c>
      <c r="I205" s="18">
        <f>95+273.94+3130.75</f>
        <v>3499.69</v>
      </c>
      <c r="J205" s="18">
        <f>1895.08+1327.39</f>
        <v>3222.4700000000003</v>
      </c>
      <c r="K205" s="18">
        <f>3242.23+2360.54</f>
        <v>5602.77</v>
      </c>
      <c r="L205" s="19">
        <f t="shared" si="0"/>
        <v>244553.90999999997</v>
      </c>
      <c r="M205" s="8"/>
      <c r="N205" s="266"/>
    </row>
    <row r="206" spans="1:14" s="3" customFormat="1" ht="12.2" customHeight="1" x14ac:dyDescent="0.15">
      <c r="A206" s="1" t="s">
        <v>445</v>
      </c>
      <c r="B206" s="2" t="s">
        <v>341</v>
      </c>
      <c r="C206" s="2" t="s">
        <v>297</v>
      </c>
      <c r="D206" s="2" t="s">
        <v>431</v>
      </c>
      <c r="E206" s="6">
        <v>2400</v>
      </c>
      <c r="F206" s="18">
        <f>120997.84+219366.32</f>
        <v>340364.16000000003</v>
      </c>
      <c r="G206" s="18">
        <f>50919.45+126765.35</f>
        <v>177684.8</v>
      </c>
      <c r="H206" s="18">
        <f>8113.05+7760.87</f>
        <v>15873.92</v>
      </c>
      <c r="I206" s="18">
        <f>788.5+41.14</f>
        <v>829.64</v>
      </c>
      <c r="J206" s="18"/>
      <c r="K206" s="18">
        <f>799+1550+2418.85</f>
        <v>4767.8500000000004</v>
      </c>
      <c r="L206" s="19">
        <f t="shared" si="0"/>
        <v>539520.37</v>
      </c>
      <c r="M206" s="8"/>
      <c r="N206" s="266"/>
    </row>
    <row r="207" spans="1:14" s="3" customFormat="1" ht="12.2" customHeight="1" x14ac:dyDescent="0.15">
      <c r="A207" s="1" t="s">
        <v>446</v>
      </c>
      <c r="B207" s="2" t="s">
        <v>341</v>
      </c>
      <c r="C207" s="2" t="s">
        <v>298</v>
      </c>
      <c r="D207" s="2" t="s">
        <v>431</v>
      </c>
      <c r="E207" s="6">
        <v>2500</v>
      </c>
      <c r="F207" s="18">
        <v>129744.19</v>
      </c>
      <c r="G207" s="18">
        <f>57467.21</f>
        <v>57467.21</v>
      </c>
      <c r="H207" s="18"/>
      <c r="I207" s="18"/>
      <c r="J207" s="18"/>
      <c r="K207" s="18"/>
      <c r="L207" s="19">
        <f t="shared" si="0"/>
        <v>187211.4</v>
      </c>
      <c r="M207" s="8"/>
      <c r="N207" s="266"/>
    </row>
    <row r="208" spans="1:14" s="3" customFormat="1" ht="12.2" customHeight="1" x14ac:dyDescent="0.15">
      <c r="A208" s="1" t="s">
        <v>447</v>
      </c>
      <c r="B208" s="2" t="s">
        <v>341</v>
      </c>
      <c r="C208" s="2" t="s">
        <v>299</v>
      </c>
      <c r="D208" s="2" t="s">
        <v>431</v>
      </c>
      <c r="E208" s="6">
        <v>2600</v>
      </c>
      <c r="F208" s="18">
        <f>87512.67+125761.48+40740+1920.41+21537.07</f>
        <v>277471.63</v>
      </c>
      <c r="G208" s="18">
        <f>53918.23+75442.42+15589.2+490.7+7577.12</f>
        <v>153017.67000000001</v>
      </c>
      <c r="H208" s="18">
        <f>67406.87+1396.64+16896.6+31412.45+33561.36+28621.69+29002.97+2428.8</f>
        <v>210727.37999999998</v>
      </c>
      <c r="I208" s="18">
        <f>70353.9+84336.93+2277.93</f>
        <v>156968.75999999998</v>
      </c>
      <c r="J208" s="18">
        <f>20486.11+733.44+7925.4+4377.58</f>
        <v>33522.53</v>
      </c>
      <c r="K208" s="18"/>
      <c r="L208" s="19">
        <f t="shared" si="0"/>
        <v>831707.97000000009</v>
      </c>
      <c r="M208" s="8"/>
      <c r="N208" s="266"/>
    </row>
    <row r="209" spans="1:14" s="3" customFormat="1" ht="12.2" customHeight="1" x14ac:dyDescent="0.15">
      <c r="A209" s="1" t="s">
        <v>448</v>
      </c>
      <c r="B209" s="2" t="s">
        <v>341</v>
      </c>
      <c r="C209" s="2" t="s">
        <v>300</v>
      </c>
      <c r="D209" s="2" t="s">
        <v>431</v>
      </c>
      <c r="E209" s="6">
        <v>2700</v>
      </c>
      <c r="F209" s="18"/>
      <c r="G209" s="18"/>
      <c r="H209" s="18">
        <f>62301.66+8410+4529.06+166133.65+99494.73+14464.37</f>
        <v>355333.47</v>
      </c>
      <c r="I209" s="18">
        <f>10818.55</f>
        <v>10818.55</v>
      </c>
      <c r="J209" s="18"/>
      <c r="K209" s="18"/>
      <c r="L209" s="19">
        <f t="shared" si="0"/>
        <v>366152.01999999996</v>
      </c>
      <c r="M209" s="8"/>
      <c r="N209" s="266"/>
    </row>
    <row r="210" spans="1:14" s="3" customFormat="1" ht="12.2" customHeight="1" x14ac:dyDescent="0.15">
      <c r="A210" s="1" t="s">
        <v>449</v>
      </c>
      <c r="B210" s="2" t="s">
        <v>341</v>
      </c>
      <c r="C210" s="2" t="s">
        <v>343</v>
      </c>
      <c r="D210" s="2" t="s">
        <v>431</v>
      </c>
      <c r="E210" s="6">
        <v>2800</v>
      </c>
      <c r="F210" s="18">
        <v>90436.160000000003</v>
      </c>
      <c r="G210" s="18">
        <f>43372.78</f>
        <v>43372.78</v>
      </c>
      <c r="H210" s="18"/>
      <c r="I210" s="18"/>
      <c r="J210" s="18"/>
      <c r="K210" s="18"/>
      <c r="L210" s="19">
        <f>SUM(F210:K210)</f>
        <v>133808.94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4379947.07</v>
      </c>
      <c r="G212" s="41">
        <f t="shared" si="1"/>
        <v>2246205.6399999997</v>
      </c>
      <c r="H212" s="41">
        <f t="shared" si="1"/>
        <v>1867865.9999999998</v>
      </c>
      <c r="I212" s="41">
        <f t="shared" si="1"/>
        <v>293870.88999999996</v>
      </c>
      <c r="J212" s="41">
        <f t="shared" si="1"/>
        <v>53897.440000000002</v>
      </c>
      <c r="K212" s="41">
        <f t="shared" si="1"/>
        <v>11580.490000000002</v>
      </c>
      <c r="L212" s="41">
        <f t="shared" si="1"/>
        <v>8853367.5300000012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961654.86</v>
      </c>
      <c r="G234" s="18">
        <v>465388.07</v>
      </c>
      <c r="H234" s="18">
        <v>74732.899999999994</v>
      </c>
      <c r="I234" s="18">
        <f>32041.3</f>
        <v>32041.3</v>
      </c>
      <c r="J234" s="18">
        <f>4697.85</f>
        <v>4697.8500000000004</v>
      </c>
      <c r="K234" s="18">
        <f>4009</f>
        <v>4009</v>
      </c>
      <c r="L234" s="19">
        <f>SUM(F234:K234)</f>
        <v>1542523.98</v>
      </c>
      <c r="M234" s="8"/>
      <c r="N234" s="266"/>
    </row>
    <row r="235" spans="1:14" s="3" customFormat="1" ht="12.2" customHeight="1" x14ac:dyDescent="0.15">
      <c r="A235" s="1" t="s">
        <v>439</v>
      </c>
      <c r="B235" s="2" t="s">
        <v>350</v>
      </c>
      <c r="C235" s="2" t="s">
        <v>291</v>
      </c>
      <c r="D235" s="2" t="s">
        <v>431</v>
      </c>
      <c r="E235" s="6">
        <v>1200</v>
      </c>
      <c r="F235" s="18">
        <f>51283.8+2229.02+327893.93+4703.75</f>
        <v>386110.5</v>
      </c>
      <c r="G235" s="18">
        <f>26168.46+186.19+172199.08+816.64</f>
        <v>199370.37</v>
      </c>
      <c r="H235" s="18">
        <f>1043.21+350286.22+9323.2</f>
        <v>360652.63</v>
      </c>
      <c r="I235" s="18">
        <f>457.08+40.24+2098.51</f>
        <v>2595.8300000000004</v>
      </c>
      <c r="J235" s="18"/>
      <c r="K235" s="18">
        <f>170.13</f>
        <v>170.13</v>
      </c>
      <c r="L235" s="19">
        <f>SUM(F235:K235)</f>
        <v>948899.46</v>
      </c>
      <c r="M235" s="8"/>
      <c r="N235" s="266"/>
    </row>
    <row r="236" spans="1:14" s="3" customFormat="1" ht="12.2" customHeight="1" x14ac:dyDescent="0.15">
      <c r="A236" s="1" t="s">
        <v>440</v>
      </c>
      <c r="B236" s="2" t="s">
        <v>350</v>
      </c>
      <c r="C236" s="2" t="s">
        <v>292</v>
      </c>
      <c r="D236" s="2" t="s">
        <v>431</v>
      </c>
      <c r="E236" s="6">
        <v>1300</v>
      </c>
      <c r="F236" s="18"/>
      <c r="G236" s="18"/>
      <c r="H236" s="18">
        <f>56472.78</f>
        <v>56472.78</v>
      </c>
      <c r="I236" s="18"/>
      <c r="J236" s="18"/>
      <c r="K236" s="18"/>
      <c r="L236" s="19">
        <f>SUM(F236:K236)</f>
        <v>56472.78</v>
      </c>
      <c r="M236" s="8"/>
      <c r="N236" s="266"/>
    </row>
    <row r="237" spans="1:14" s="3" customFormat="1" ht="12.2" customHeight="1" x14ac:dyDescent="0.15">
      <c r="A237" s="1" t="s">
        <v>441</v>
      </c>
      <c r="B237" s="2" t="s">
        <v>350</v>
      </c>
      <c r="C237" s="2" t="s">
        <v>293</v>
      </c>
      <c r="D237" s="2" t="s">
        <v>431</v>
      </c>
      <c r="E237" s="6">
        <v>1400</v>
      </c>
      <c r="F237" s="18">
        <f>8950+61029</f>
        <v>69979</v>
      </c>
      <c r="G237" s="18">
        <f>2025.63+27589.15</f>
        <v>29614.780000000002</v>
      </c>
      <c r="H237" s="18">
        <v>24111.93</v>
      </c>
      <c r="I237" s="18">
        <f>13931.38</f>
        <v>13931.38</v>
      </c>
      <c r="J237" s="18">
        <f>5901.87</f>
        <v>5901.87</v>
      </c>
      <c r="K237" s="18">
        <f>9164.5</f>
        <v>9164.5</v>
      </c>
      <c r="L237" s="19">
        <f>SUM(F237:K237)</f>
        <v>152703.46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16440.66+321+52963+118240.29+49404.45+16559.19+6890.57</f>
        <v>260819.16000000003</v>
      </c>
      <c r="G239" s="18">
        <f>5675.98+83.07+141.23+29682.79+68019+23585.17+7480.85+4665.93</f>
        <v>139334.01999999999</v>
      </c>
      <c r="H239" s="18">
        <f>67.09+32092.61+1670.53+80+17275+27767.15+9355.5</f>
        <v>88307.88</v>
      </c>
      <c r="I239" s="18">
        <f>290.93+207.89+209.23+378.23+1418.12</f>
        <v>2504.3999999999996</v>
      </c>
      <c r="J239" s="18"/>
      <c r="K239" s="18">
        <f>369+45</f>
        <v>414</v>
      </c>
      <c r="L239" s="19">
        <f t="shared" ref="L239:L245" si="4">SUM(F239:K239)</f>
        <v>491379.46000000008</v>
      </c>
      <c r="M239" s="8"/>
      <c r="N239" s="266"/>
    </row>
    <row r="240" spans="1:14" s="3" customFormat="1" ht="12.2" customHeight="1" x14ac:dyDescent="0.15">
      <c r="A240" s="1" t="s">
        <v>443</v>
      </c>
      <c r="B240" s="2" t="s">
        <v>350</v>
      </c>
      <c r="C240" s="2" t="s">
        <v>295</v>
      </c>
      <c r="D240" s="2" t="s">
        <v>431</v>
      </c>
      <c r="E240" s="6">
        <v>2200</v>
      </c>
      <c r="F240" s="18">
        <f>3210+61741</f>
        <v>64951</v>
      </c>
      <c r="G240" s="18">
        <f>10300.88+33507.64</f>
        <v>43808.52</v>
      </c>
      <c r="H240" s="18">
        <f>967.5+33493.39</f>
        <v>34460.89</v>
      </c>
      <c r="I240" s="18">
        <f>7808.29+1914.94</f>
        <v>9723.23</v>
      </c>
      <c r="J240" s="18">
        <f>7156.25</f>
        <v>7156.25</v>
      </c>
      <c r="K240" s="18"/>
      <c r="L240" s="19">
        <f t="shared" si="4"/>
        <v>160099.88999999998</v>
      </c>
      <c r="M240" s="8"/>
      <c r="N240" s="266"/>
    </row>
    <row r="241" spans="1:14" s="3" customFormat="1" ht="12.2" customHeight="1" x14ac:dyDescent="0.15">
      <c r="A241" s="1" t="s">
        <v>444</v>
      </c>
      <c r="B241" s="2" t="s">
        <v>350</v>
      </c>
      <c r="C241" s="2" t="s">
        <v>296</v>
      </c>
      <c r="D241" s="2" t="s">
        <v>431</v>
      </c>
      <c r="E241" s="6">
        <v>2300</v>
      </c>
      <c r="F241" s="18">
        <f>1605+66636.31</f>
        <v>68241.31</v>
      </c>
      <c r="G241" s="18">
        <f>126.95+20752.11</f>
        <v>20879.060000000001</v>
      </c>
      <c r="H241" s="18">
        <f>1857.09+8025+3089.87+7694.88</f>
        <v>20666.84</v>
      </c>
      <c r="I241" s="18">
        <f>44.91+129.5+1480.07</f>
        <v>1654.48</v>
      </c>
      <c r="J241" s="18">
        <f>895.9+627.53</f>
        <v>1523.4299999999998</v>
      </c>
      <c r="K241" s="18">
        <f>1532.77+1115.96</f>
        <v>2648.73</v>
      </c>
      <c r="L241" s="19">
        <f t="shared" si="4"/>
        <v>115613.84999999998</v>
      </c>
      <c r="M241" s="8"/>
      <c r="N241" s="266"/>
    </row>
    <row r="242" spans="1:14" s="3" customFormat="1" ht="12.2" customHeight="1" x14ac:dyDescent="0.15">
      <c r="A242" s="1" t="s">
        <v>445</v>
      </c>
      <c r="B242" s="2" t="s">
        <v>350</v>
      </c>
      <c r="C242" s="2" t="s">
        <v>297</v>
      </c>
      <c r="D242" s="2" t="s">
        <v>431</v>
      </c>
      <c r="E242" s="6">
        <v>2400</v>
      </c>
      <c r="F242" s="18">
        <v>198357.04</v>
      </c>
      <c r="G242" s="18">
        <f>92043.7</f>
        <v>92043.7</v>
      </c>
      <c r="H242" s="18">
        <v>7848.37</v>
      </c>
      <c r="I242" s="18">
        <f>224.47</f>
        <v>224.47</v>
      </c>
      <c r="J242" s="18"/>
      <c r="K242" s="18">
        <f>1920+7651.6</f>
        <v>9571.6</v>
      </c>
      <c r="L242" s="19">
        <f t="shared" si="4"/>
        <v>308045.17999999993</v>
      </c>
      <c r="M242" s="8"/>
      <c r="N242" s="266"/>
    </row>
    <row r="243" spans="1:14" s="3" customFormat="1" ht="12.2" customHeight="1" x14ac:dyDescent="0.15">
      <c r="A243" s="1" t="s">
        <v>446</v>
      </c>
      <c r="B243" s="2" t="s">
        <v>350</v>
      </c>
      <c r="C243" s="2" t="s">
        <v>298</v>
      </c>
      <c r="D243" s="2" t="s">
        <v>431</v>
      </c>
      <c r="E243" s="6">
        <v>2500</v>
      </c>
      <c r="F243" s="18">
        <f>61337.09</f>
        <v>61337.09</v>
      </c>
      <c r="G243" s="18">
        <f>27167.85</f>
        <v>27167.85</v>
      </c>
      <c r="H243" s="18"/>
      <c r="I243" s="18"/>
      <c r="J243" s="18"/>
      <c r="K243" s="18"/>
      <c r="L243" s="19">
        <f t="shared" si="4"/>
        <v>88504.94</v>
      </c>
      <c r="M243" s="8"/>
      <c r="N243" s="266"/>
    </row>
    <row r="244" spans="1:14" s="3" customFormat="1" ht="12.2" customHeight="1" x14ac:dyDescent="0.15">
      <c r="A244" s="1" t="s">
        <v>447</v>
      </c>
      <c r="B244" s="2" t="s">
        <v>350</v>
      </c>
      <c r="C244" s="2" t="s">
        <v>299</v>
      </c>
      <c r="D244" s="2" t="s">
        <v>431</v>
      </c>
      <c r="E244" s="6">
        <v>2600</v>
      </c>
      <c r="F244" s="18">
        <f>19260+908.12+10181.74+141439.94</f>
        <v>171789.8</v>
      </c>
      <c r="G244" s="18">
        <f>7369.86+231.58+3582.12+66177.32</f>
        <v>77360.88</v>
      </c>
      <c r="H244" s="18">
        <f>13711.27+1148.22+45287.58+1796.25+35270.14</f>
        <v>97213.459999999992</v>
      </c>
      <c r="I244" s="18">
        <f>1076.9+115759.64+1266.73+1014.17</f>
        <v>119117.43999999999</v>
      </c>
      <c r="J244" s="18">
        <f>9684.89+23728.98+12070.29</f>
        <v>45484.159999999996</v>
      </c>
      <c r="K244" s="18"/>
      <c r="L244" s="19">
        <f t="shared" si="4"/>
        <v>510965.74</v>
      </c>
      <c r="M244" s="8"/>
      <c r="N244" s="266"/>
    </row>
    <row r="245" spans="1:14" s="3" customFormat="1" ht="12.2" customHeight="1" x14ac:dyDescent="0.15">
      <c r="A245" s="1" t="s">
        <v>448</v>
      </c>
      <c r="B245" s="2" t="s">
        <v>350</v>
      </c>
      <c r="C245" s="2" t="s">
        <v>300</v>
      </c>
      <c r="D245" s="2" t="s">
        <v>431</v>
      </c>
      <c r="E245" s="6">
        <v>2700</v>
      </c>
      <c r="F245" s="18"/>
      <c r="G245" s="18"/>
      <c r="H245" s="18">
        <f>78540.35+47036.53+6838.09+30245.84+47537.23+20282.47+292.64</f>
        <v>230773.15000000002</v>
      </c>
      <c r="I245" s="18">
        <v>5114.5200000000004</v>
      </c>
      <c r="J245" s="18"/>
      <c r="K245" s="18"/>
      <c r="L245" s="19">
        <f t="shared" si="4"/>
        <v>235887.67</v>
      </c>
      <c r="M245" s="8"/>
      <c r="N245" s="266"/>
    </row>
    <row r="246" spans="1:14" s="3" customFormat="1" ht="12.2" customHeight="1" x14ac:dyDescent="0.15">
      <c r="A246" s="1" t="s">
        <v>449</v>
      </c>
      <c r="B246" s="2" t="s">
        <v>350</v>
      </c>
      <c r="C246" s="2" t="s">
        <v>343</v>
      </c>
      <c r="D246" s="2" t="s">
        <v>431</v>
      </c>
      <c r="E246" s="6">
        <v>2800</v>
      </c>
      <c r="F246" s="18">
        <v>42754.06</v>
      </c>
      <c r="G246" s="18">
        <f>20504.66</f>
        <v>20504.66</v>
      </c>
      <c r="H246" s="18"/>
      <c r="I246" s="18"/>
      <c r="J246" s="18"/>
      <c r="K246" s="18"/>
      <c r="L246" s="19">
        <f>SUM(F246:K246)</f>
        <v>63258.720000000001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2285993.8200000003</v>
      </c>
      <c r="G248" s="41">
        <f t="shared" si="5"/>
        <v>1115471.9099999999</v>
      </c>
      <c r="H248" s="41">
        <f t="shared" si="5"/>
        <v>995240.83000000007</v>
      </c>
      <c r="I248" s="41">
        <f t="shared" si="5"/>
        <v>186907.05</v>
      </c>
      <c r="J248" s="41">
        <f t="shared" si="5"/>
        <v>64763.56</v>
      </c>
      <c r="K248" s="41">
        <f t="shared" si="5"/>
        <v>25977.96</v>
      </c>
      <c r="L248" s="41">
        <f t="shared" si="5"/>
        <v>4674355.129999999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10915.88</v>
      </c>
      <c r="G252" s="18">
        <v>2822.1</v>
      </c>
      <c r="H252" s="18"/>
      <c r="I252" s="18"/>
      <c r="J252" s="18"/>
      <c r="K252" s="18"/>
      <c r="L252" s="19">
        <f t="shared" si="6"/>
        <v>13737.98</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10915.88</v>
      </c>
      <c r="G257" s="41">
        <f t="shared" si="7"/>
        <v>2822.1</v>
      </c>
      <c r="H257" s="41">
        <f t="shared" si="7"/>
        <v>0</v>
      </c>
      <c r="I257" s="41">
        <f t="shared" si="7"/>
        <v>0</v>
      </c>
      <c r="J257" s="41">
        <f t="shared" si="7"/>
        <v>0</v>
      </c>
      <c r="K257" s="41">
        <f t="shared" si="7"/>
        <v>0</v>
      </c>
      <c r="L257" s="41">
        <f>SUM(F257:K257)</f>
        <v>13737.98</v>
      </c>
      <c r="M257" s="8"/>
      <c r="N257" s="266"/>
    </row>
    <row r="258" spans="1:14" s="3" customFormat="1" ht="12.2" customHeight="1" thickTop="1" x14ac:dyDescent="0.15">
      <c r="A258" s="38" t="s">
        <v>462</v>
      </c>
      <c r="B258" s="40">
        <v>10</v>
      </c>
      <c r="C258" s="40">
        <v>8</v>
      </c>
      <c r="D258" s="39" t="s">
        <v>431</v>
      </c>
      <c r="E258" s="40"/>
      <c r="F258" s="41">
        <f t="shared" ref="F258:L258" si="8">F212+F230+F248+F257</f>
        <v>6676856.7700000005</v>
      </c>
      <c r="G258" s="41">
        <f t="shared" si="8"/>
        <v>3364499.65</v>
      </c>
      <c r="H258" s="41">
        <f t="shared" si="8"/>
        <v>2863106.83</v>
      </c>
      <c r="I258" s="41">
        <f t="shared" si="8"/>
        <v>480777.93999999994</v>
      </c>
      <c r="J258" s="41">
        <f t="shared" si="8"/>
        <v>118661</v>
      </c>
      <c r="K258" s="41">
        <f t="shared" si="8"/>
        <v>37558.449999999997</v>
      </c>
      <c r="L258" s="41">
        <f t="shared" si="8"/>
        <v>13541460.640000001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463198.26</v>
      </c>
      <c r="L261" s="19">
        <f>SUM(F261:K261)</f>
        <v>463198.26</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118184.84</v>
      </c>
      <c r="L262" s="19">
        <f>SUM(F262:K262)</f>
        <v>118184.84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53402.02</v>
      </c>
      <c r="L264" s="19">
        <f>SUM(F264:K264)</f>
        <v>53402.02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99761.84</v>
      </c>
      <c r="L265" s="19">
        <f t="shared" ref="L265:L271" si="9">SUM(F265:K265)</f>
        <v>99761.84</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180000+141398</f>
        <v>321398</v>
      </c>
      <c r="L267" s="19">
        <f t="shared" si="9"/>
        <v>321398</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1055944.96</v>
      </c>
      <c r="L271" s="41">
        <f t="shared" si="9"/>
        <v>1055944.96</v>
      </c>
      <c r="M271" s="8"/>
      <c r="N271" s="266"/>
    </row>
    <row r="272" spans="1:14" s="34" customFormat="1" ht="12.2" customHeight="1" thickTop="1" x14ac:dyDescent="0.2">
      <c r="A272" s="43" t="s">
        <v>464</v>
      </c>
      <c r="B272" s="40">
        <v>10</v>
      </c>
      <c r="C272" s="40">
        <v>18</v>
      </c>
      <c r="D272" s="39" t="s">
        <v>431</v>
      </c>
      <c r="E272" s="40"/>
      <c r="F272" s="42">
        <f t="shared" ref="F272:L272" si="11">F258+F271</f>
        <v>6676856.7700000005</v>
      </c>
      <c r="G272" s="42">
        <f t="shared" si="11"/>
        <v>3364499.65</v>
      </c>
      <c r="H272" s="42">
        <f t="shared" si="11"/>
        <v>2863106.83</v>
      </c>
      <c r="I272" s="42">
        <f t="shared" si="11"/>
        <v>480777.93999999994</v>
      </c>
      <c r="J272" s="42">
        <f t="shared" si="11"/>
        <v>118661</v>
      </c>
      <c r="K272" s="42">
        <f t="shared" si="11"/>
        <v>1093503.4099999999</v>
      </c>
      <c r="L272" s="42">
        <f t="shared" si="11"/>
        <v>14597405.600000001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452454.33+1018.5</f>
        <v>453472.83</v>
      </c>
      <c r="G277" s="18">
        <f>219963.07+642.25</f>
        <v>220605.32</v>
      </c>
      <c r="H277" s="18">
        <f>592.43</f>
        <v>592.42999999999995</v>
      </c>
      <c r="I277" s="18">
        <f>257.99+358.79+52502.57</f>
        <v>53119.35</v>
      </c>
      <c r="J277" s="18">
        <f>1942.65</f>
        <v>1942.65</v>
      </c>
      <c r="K277" s="18"/>
      <c r="L277" s="19">
        <f>SUM(F277:K277)</f>
        <v>729732.58000000007</v>
      </c>
      <c r="M277" s="8"/>
      <c r="N277" s="266"/>
    </row>
    <row r="278" spans="1:14" s="3" customFormat="1" ht="12.2" customHeight="1" x14ac:dyDescent="0.15">
      <c r="A278" s="1" t="s">
        <v>439</v>
      </c>
      <c r="B278" s="2" t="s">
        <v>357</v>
      </c>
      <c r="C278" s="2" t="s">
        <v>291</v>
      </c>
      <c r="D278" s="2" t="s">
        <v>431</v>
      </c>
      <c r="E278" s="6">
        <v>1200</v>
      </c>
      <c r="F278" s="18">
        <f>157806.52</f>
        <v>157806.51999999999</v>
      </c>
      <c r="G278" s="18">
        <f>78942.5</f>
        <v>78942.5</v>
      </c>
      <c r="H278" s="18">
        <f>22008.91</f>
        <v>22008.91</v>
      </c>
      <c r="I278" s="18">
        <f>5555.48+28.29</f>
        <v>5583.7699999999995</v>
      </c>
      <c r="J278" s="18"/>
      <c r="K278" s="18"/>
      <c r="L278" s="19">
        <f>SUM(F278:K278)</f>
        <v>264341.7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29003.75+1018.5</f>
        <v>30022.25</v>
      </c>
      <c r="G280" s="18">
        <v>7221.3</v>
      </c>
      <c r="H280" s="18">
        <f>1406.6</f>
        <v>1406.6</v>
      </c>
      <c r="I280" s="18">
        <f>492.83+3306.73</f>
        <v>3799.56</v>
      </c>
      <c r="J280" s="18"/>
      <c r="K280" s="18"/>
      <c r="L280" s="19">
        <f>SUM(F280:K280)</f>
        <v>42449.71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3395+99544.67</f>
        <v>102939.67</v>
      </c>
      <c r="G282" s="18">
        <f>864.03+20820.74</f>
        <v>21684.77</v>
      </c>
      <c r="H282" s="18">
        <f>65167.57</f>
        <v>65167.57</v>
      </c>
      <c r="I282" s="18">
        <f>302.11+24177.1</f>
        <v>24479.21</v>
      </c>
      <c r="J282" s="18">
        <f>9667.79</f>
        <v>9667.7900000000009</v>
      </c>
      <c r="K282" s="18">
        <f>1049.73</f>
        <v>1049.73</v>
      </c>
      <c r="L282" s="19">
        <f t="shared" ref="L282:L288" si="12">SUM(F282:K282)</f>
        <v>224988.74000000002</v>
      </c>
      <c r="M282" s="8"/>
      <c r="N282" s="266"/>
    </row>
    <row r="283" spans="1:14" s="3" customFormat="1" ht="12.2" customHeight="1" x14ac:dyDescent="0.15">
      <c r="A283" s="1" t="s">
        <v>443</v>
      </c>
      <c r="B283" s="2" t="s">
        <v>357</v>
      </c>
      <c r="C283" s="2" t="s">
        <v>295</v>
      </c>
      <c r="D283" s="2" t="s">
        <v>431</v>
      </c>
      <c r="E283" s="6">
        <v>2200</v>
      </c>
      <c r="F283" s="18">
        <f>11162.5+47764.26+4289.58</f>
        <v>63216.340000000004</v>
      </c>
      <c r="G283" s="18">
        <f>2568.85+12316.3+981.16</f>
        <v>15866.31</v>
      </c>
      <c r="H283" s="18">
        <f>1348.55+20586.27+13548.8</f>
        <v>35483.619999999995</v>
      </c>
      <c r="I283" s="18">
        <f>1007.99+284.95</f>
        <v>1292.94</v>
      </c>
      <c r="J283" s="18"/>
      <c r="K283" s="18"/>
      <c r="L283" s="19">
        <f t="shared" si="12"/>
        <v>115859.21</v>
      </c>
      <c r="M283" s="8"/>
      <c r="N283" s="266"/>
    </row>
    <row r="284" spans="1:14" s="3" customFormat="1" ht="12.2" customHeight="1" x14ac:dyDescent="0.15">
      <c r="A284" s="1" t="s">
        <v>444</v>
      </c>
      <c r="B284" s="2" t="s">
        <v>357</v>
      </c>
      <c r="C284" s="2" t="s">
        <v>296</v>
      </c>
      <c r="D284" s="2" t="s">
        <v>431</v>
      </c>
      <c r="E284" s="6">
        <v>2300</v>
      </c>
      <c r="F284" s="18">
        <f>32785.24+78950.73</f>
        <v>111735.97</v>
      </c>
      <c r="G284" s="18">
        <f>12186.85+33755.27</f>
        <v>45942.119999999995</v>
      </c>
      <c r="H284" s="18">
        <f>46811.46+69724.24</f>
        <v>116535.70000000001</v>
      </c>
      <c r="I284" s="18">
        <f>59912.04+2616.53</f>
        <v>62528.57</v>
      </c>
      <c r="J284" s="18"/>
      <c r="K284" s="18">
        <f>37.39</f>
        <v>37.39</v>
      </c>
      <c r="L284" s="19">
        <f t="shared" si="12"/>
        <v>336779.75000000006</v>
      </c>
      <c r="M284" s="8"/>
      <c r="N284" s="266"/>
    </row>
    <row r="285" spans="1:14" s="3" customFormat="1" ht="12.2" customHeight="1" x14ac:dyDescent="0.15">
      <c r="A285" s="1" t="s">
        <v>445</v>
      </c>
      <c r="B285" s="2" t="s">
        <v>357</v>
      </c>
      <c r="C285" s="2" t="s">
        <v>297</v>
      </c>
      <c r="D285" s="2" t="s">
        <v>431</v>
      </c>
      <c r="E285" s="6">
        <v>2400</v>
      </c>
      <c r="F285" s="18">
        <f>4549.3</f>
        <v>4549.3</v>
      </c>
      <c r="G285" s="18">
        <f>1181.46</f>
        <v>1181.46</v>
      </c>
      <c r="H285" s="18">
        <f>1324.05</f>
        <v>1324.05</v>
      </c>
      <c r="I285" s="18"/>
      <c r="J285" s="18"/>
      <c r="K285" s="18"/>
      <c r="L285" s="19">
        <f t="shared" si="12"/>
        <v>7054.81</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f>1353.76</f>
        <v>1353.76</v>
      </c>
      <c r="I287" s="18"/>
      <c r="J287" s="18">
        <f>12402.99+420.24+307810.66</f>
        <v>320633.88999999996</v>
      </c>
      <c r="K287" s="18"/>
      <c r="L287" s="19">
        <f t="shared" si="12"/>
        <v>321987.64999999997</v>
      </c>
      <c r="M287" s="8"/>
      <c r="N287" s="266"/>
    </row>
    <row r="288" spans="1:14" s="3" customFormat="1" ht="12.2" customHeight="1" x14ac:dyDescent="0.15">
      <c r="A288" s="1" t="s">
        <v>448</v>
      </c>
      <c r="B288" s="2" t="s">
        <v>357</v>
      </c>
      <c r="C288" s="2" t="s">
        <v>300</v>
      </c>
      <c r="D288" s="2" t="s">
        <v>431</v>
      </c>
      <c r="E288" s="6">
        <v>2700</v>
      </c>
      <c r="F288" s="18"/>
      <c r="G288" s="18"/>
      <c r="H288" s="18">
        <f>12241.06</f>
        <v>12241.06</v>
      </c>
      <c r="I288" s="18"/>
      <c r="J288" s="18"/>
      <c r="K288" s="18"/>
      <c r="L288" s="19">
        <f t="shared" si="12"/>
        <v>12241.06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923742.88</v>
      </c>
      <c r="G291" s="42">
        <f t="shared" si="13"/>
        <v>391443.78</v>
      </c>
      <c r="H291" s="42">
        <f t="shared" si="13"/>
        <v>256113.7</v>
      </c>
      <c r="I291" s="42">
        <f t="shared" si="13"/>
        <v>150803.4</v>
      </c>
      <c r="J291" s="42">
        <f t="shared" si="13"/>
        <v>332244.32999999996</v>
      </c>
      <c r="K291" s="42">
        <f t="shared" si="13"/>
        <v>1087.1200000000001</v>
      </c>
      <c r="L291" s="41">
        <f t="shared" si="13"/>
        <v>2055435.21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481.5</f>
        <v>481.5</v>
      </c>
      <c r="G315" s="18">
        <f>303.62</f>
        <v>303.62</v>
      </c>
      <c r="H315" s="18">
        <f>280.07+1920.71</f>
        <v>2200.7800000000002</v>
      </c>
      <c r="I315" s="18">
        <f>121.96+24820.8</f>
        <v>24942.76</v>
      </c>
      <c r="J315" s="18"/>
      <c r="K315" s="18"/>
      <c r="L315" s="19">
        <f>SUM(F315:K315)</f>
        <v>27928.66</v>
      </c>
      <c r="M315" s="8"/>
      <c r="N315" s="266"/>
    </row>
    <row r="316" spans="1:14" s="3" customFormat="1" ht="12.2" customHeight="1" x14ac:dyDescent="0.15">
      <c r="A316" s="1" t="s">
        <v>439</v>
      </c>
      <c r="B316" s="2" t="s">
        <v>359</v>
      </c>
      <c r="C316" s="2" t="s">
        <v>291</v>
      </c>
      <c r="D316" s="2" t="s">
        <v>431</v>
      </c>
      <c r="E316" s="6">
        <v>1200</v>
      </c>
      <c r="F316" s="18">
        <f>74603.67</f>
        <v>74603.67</v>
      </c>
      <c r="G316" s="18">
        <v>37320.300000000003</v>
      </c>
      <c r="H316" s="18">
        <f>10404.8</f>
        <v>10404.799999999999</v>
      </c>
      <c r="I316" s="18">
        <f>2626.37+13.37</f>
        <v>2639.74</v>
      </c>
      <c r="J316" s="18"/>
      <c r="K316" s="18"/>
      <c r="L316" s="19">
        <f>SUM(F316:K316)</f>
        <v>124968.51000000001</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f>481.5</f>
        <v>481.5</v>
      </c>
      <c r="G318" s="18"/>
      <c r="H318" s="18"/>
      <c r="I318" s="18">
        <f>1563.27</f>
        <v>1563.27</v>
      </c>
      <c r="J318" s="18"/>
      <c r="K318" s="18"/>
      <c r="L318" s="19">
        <f>SUM(F318:K318)</f>
        <v>2044.77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1605+47060.14</f>
        <v>48665.14</v>
      </c>
      <c r="G320" s="18">
        <f>408.47+9843.09</f>
        <v>10251.56</v>
      </c>
      <c r="H320" s="18">
        <f>30808.24</f>
        <v>30808.240000000002</v>
      </c>
      <c r="I320" s="18">
        <f>142.83+11429.8</f>
        <v>11572.63</v>
      </c>
      <c r="J320" s="18">
        <f>4570.49</f>
        <v>4570.49</v>
      </c>
      <c r="K320" s="18">
        <f>496.27</f>
        <v>496.27</v>
      </c>
      <c r="L320" s="19">
        <f t="shared" ref="L320:L326" si="16">SUM(F320:K320)</f>
        <v>106364.33000000002</v>
      </c>
      <c r="M320" s="8"/>
      <c r="N320" s="266"/>
    </row>
    <row r="321" spans="1:14" s="3" customFormat="1" ht="12.2" customHeight="1" x14ac:dyDescent="0.15">
      <c r="A321" s="1" t="s">
        <v>443</v>
      </c>
      <c r="B321" s="2" t="s">
        <v>359</v>
      </c>
      <c r="C321" s="2" t="s">
        <v>295</v>
      </c>
      <c r="D321" s="2" t="s">
        <v>431</v>
      </c>
      <c r="E321" s="6">
        <v>2200</v>
      </c>
      <c r="F321" s="18">
        <f>22580.75+2027.92</f>
        <v>24608.67</v>
      </c>
      <c r="G321" s="18">
        <f>5822.58+463.85</f>
        <v>6286.43</v>
      </c>
      <c r="H321" s="18">
        <f>9732.24+6405.25</f>
        <v>16137.49</v>
      </c>
      <c r="I321" s="18">
        <f>134.71</f>
        <v>134.71</v>
      </c>
      <c r="J321" s="18"/>
      <c r="K321" s="18"/>
      <c r="L321" s="19">
        <f t="shared" si="16"/>
        <v>47167.299999999996</v>
      </c>
      <c r="M321" s="8"/>
      <c r="N321" s="266"/>
    </row>
    <row r="322" spans="1:14" s="3" customFormat="1" ht="12.2" customHeight="1" x14ac:dyDescent="0.15">
      <c r="A322" s="1" t="s">
        <v>444</v>
      </c>
      <c r="B322" s="2" t="s">
        <v>359</v>
      </c>
      <c r="C322" s="2" t="s">
        <v>296</v>
      </c>
      <c r="D322" s="2" t="s">
        <v>431</v>
      </c>
      <c r="E322" s="6">
        <v>2300</v>
      </c>
      <c r="F322" s="18">
        <f>37324.28</f>
        <v>37324.28</v>
      </c>
      <c r="G322" s="18">
        <f>15957.94</f>
        <v>15957.94</v>
      </c>
      <c r="H322" s="18">
        <f>32962.41</f>
        <v>32962.410000000003</v>
      </c>
      <c r="I322" s="18">
        <f>1236.98</f>
        <v>1236.98</v>
      </c>
      <c r="J322" s="18"/>
      <c r="K322" s="18">
        <v>17.68</v>
      </c>
      <c r="L322" s="19">
        <f t="shared" si="16"/>
        <v>87499.29</v>
      </c>
      <c r="M322" s="8"/>
      <c r="N322" s="266"/>
    </row>
    <row r="323" spans="1:14" s="3" customFormat="1" ht="12.2" customHeight="1" x14ac:dyDescent="0.15">
      <c r="A323" s="1" t="s">
        <v>445</v>
      </c>
      <c r="B323" s="2" t="s">
        <v>359</v>
      </c>
      <c r="C323" s="2" t="s">
        <v>297</v>
      </c>
      <c r="D323" s="2" t="s">
        <v>431</v>
      </c>
      <c r="E323" s="6">
        <v>2400</v>
      </c>
      <c r="F323" s="18">
        <v>2150.6999999999998</v>
      </c>
      <c r="G323" s="18">
        <f>558.54</f>
        <v>558.54</v>
      </c>
      <c r="H323" s="18">
        <f>625.95</f>
        <v>625.95000000000005</v>
      </c>
      <c r="I323" s="18"/>
      <c r="J323" s="18"/>
      <c r="K323" s="18"/>
      <c r="L323" s="19">
        <f t="shared" si="16"/>
        <v>3335.1899999999996</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f>639.99+12637.74</f>
        <v>13277.73</v>
      </c>
      <c r="I325" s="18"/>
      <c r="J325" s="18">
        <f>145518.74</f>
        <v>145518.74</v>
      </c>
      <c r="K325" s="18"/>
      <c r="L325" s="19">
        <f t="shared" si="16"/>
        <v>158796.47</v>
      </c>
      <c r="M325" s="8"/>
      <c r="N325" s="266"/>
    </row>
    <row r="326" spans="1:14" s="3" customFormat="1" ht="12.2" customHeight="1" x14ac:dyDescent="0.15">
      <c r="A326" s="1" t="s">
        <v>448</v>
      </c>
      <c r="B326" s="2" t="s">
        <v>359</v>
      </c>
      <c r="C326" s="2" t="s">
        <v>300</v>
      </c>
      <c r="D326" s="2" t="s">
        <v>431</v>
      </c>
      <c r="E326" s="6">
        <v>2700</v>
      </c>
      <c r="F326" s="18"/>
      <c r="G326" s="18"/>
      <c r="H326" s="18">
        <f>5787.01</f>
        <v>5787.01</v>
      </c>
      <c r="I326" s="18"/>
      <c r="J326" s="18"/>
      <c r="K326" s="18"/>
      <c r="L326" s="19">
        <f t="shared" si="16"/>
        <v>5787.01</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188315.46</v>
      </c>
      <c r="G329" s="42">
        <f t="shared" si="17"/>
        <v>70678.39</v>
      </c>
      <c r="H329" s="42">
        <f t="shared" si="17"/>
        <v>112204.40999999999</v>
      </c>
      <c r="I329" s="42">
        <f t="shared" si="17"/>
        <v>42090.090000000004</v>
      </c>
      <c r="J329" s="42">
        <f t="shared" si="17"/>
        <v>150089.22999999998</v>
      </c>
      <c r="K329" s="42">
        <f t="shared" si="17"/>
        <v>513.94999999999993</v>
      </c>
      <c r="L329" s="41">
        <f t="shared" si="17"/>
        <v>563891.53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f>20914.17+12402</f>
        <v>33316.17</v>
      </c>
      <c r="G334" s="18">
        <f>4247.64+948.81+31.5</f>
        <v>5227.9500000000007</v>
      </c>
      <c r="H334" s="18">
        <f>59.16</f>
        <v>59.16</v>
      </c>
      <c r="I334" s="18">
        <v>389.78</v>
      </c>
      <c r="J334" s="18">
        <v>699.75</v>
      </c>
      <c r="K334" s="18"/>
      <c r="L334" s="19">
        <f t="shared" si="18"/>
        <v>39692.81</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v>18025.099999999999</v>
      </c>
      <c r="K337" s="18"/>
      <c r="L337" s="19">
        <f t="shared" si="18"/>
        <v>18025.099999999999</v>
      </c>
      <c r="M337" s="8"/>
      <c r="N337" s="266"/>
    </row>
    <row r="338" spans="1:43" s="3" customFormat="1" ht="12.2" customHeight="1" thickTop="1" thickBot="1" x14ac:dyDescent="0.2">
      <c r="A338" s="50" t="s">
        <v>467</v>
      </c>
      <c r="B338" s="40">
        <v>14</v>
      </c>
      <c r="C338" s="51">
        <v>6</v>
      </c>
      <c r="D338" s="48" t="s">
        <v>431</v>
      </c>
      <c r="E338" s="51"/>
      <c r="F338" s="41">
        <f t="shared" ref="F338:K338" si="19">SUM(F333:F337)</f>
        <v>33316.17</v>
      </c>
      <c r="G338" s="41">
        <f t="shared" si="19"/>
        <v>5227.9500000000007</v>
      </c>
      <c r="H338" s="41">
        <f t="shared" si="19"/>
        <v>59.16</v>
      </c>
      <c r="I338" s="41">
        <f t="shared" si="19"/>
        <v>389.78</v>
      </c>
      <c r="J338" s="41">
        <f t="shared" si="19"/>
        <v>18724.849999999999</v>
      </c>
      <c r="K338" s="41">
        <f t="shared" si="19"/>
        <v>0</v>
      </c>
      <c r="L338" s="41">
        <f t="shared" si="18"/>
        <v>57717.909999999996</v>
      </c>
      <c r="M338" s="8"/>
      <c r="N338" s="266"/>
    </row>
    <row r="339" spans="1:43" s="3" customFormat="1" ht="12.2" customHeight="1" thickTop="1" x14ac:dyDescent="0.15">
      <c r="A339" s="38" t="s">
        <v>468</v>
      </c>
      <c r="B339" s="40">
        <v>14</v>
      </c>
      <c r="C339" s="40">
        <v>7</v>
      </c>
      <c r="D339" s="39" t="s">
        <v>431</v>
      </c>
      <c r="E339" s="40"/>
      <c r="F339" s="41">
        <f t="shared" ref="F339:L339" si="20">F291+F310+F329+F338</f>
        <v>1145374.51</v>
      </c>
      <c r="G339" s="41">
        <f t="shared" si="20"/>
        <v>467350.12000000005</v>
      </c>
      <c r="H339" s="41">
        <f t="shared" si="20"/>
        <v>368377.26999999996</v>
      </c>
      <c r="I339" s="41">
        <f t="shared" si="20"/>
        <v>193283.27</v>
      </c>
      <c r="J339" s="41">
        <f t="shared" si="20"/>
        <v>501058.40999999992</v>
      </c>
      <c r="K339" s="41">
        <f t="shared" si="20"/>
        <v>1601.0700000000002</v>
      </c>
      <c r="L339" s="41">
        <f t="shared" si="20"/>
        <v>2677044.6500000004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62932.79</f>
        <v>62932.79</v>
      </c>
      <c r="L345" s="19">
        <f t="shared" ref="L345:L351" si="21">SUM(F345:K345)</f>
        <v>62932.79</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62932.79</v>
      </c>
      <c r="L352" s="41">
        <f>SUM(L342:L351)</f>
        <v>62932.79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1145374.51</v>
      </c>
      <c r="G353" s="41">
        <f>G339</f>
        <v>467350.12000000005</v>
      </c>
      <c r="H353" s="41">
        <f>H339</f>
        <v>368377.26999999996</v>
      </c>
      <c r="I353" s="41">
        <f>I339</f>
        <v>193283.27</v>
      </c>
      <c r="J353" s="41">
        <f>J339</f>
        <v>501058.40999999992</v>
      </c>
      <c r="K353" s="47">
        <f>K339+K352</f>
        <v>64533.86</v>
      </c>
      <c r="L353" s="41">
        <f>L339+L352</f>
        <v>2739977.4400000004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53632.98+60188.2+46470.73</f>
        <v>160291.91</v>
      </c>
      <c r="G359" s="18">
        <f>29205.85+700+15505.41+580.41+27.49+4156.43+4604.38+41.16+4163.08+1404.02+1596.04</f>
        <v>61984.27</v>
      </c>
      <c r="H359" s="18">
        <f>5641.06</f>
        <v>5641.06</v>
      </c>
      <c r="I359" s="18">
        <f>144454.13+950+1727.76+3548+8536.3+13988.52</f>
        <v>173204.71</v>
      </c>
      <c r="J359" s="18"/>
      <c r="K359" s="18">
        <f>700*0.679</f>
        <v>475.3</v>
      </c>
      <c r="L359" s="13">
        <f>SUM(F359:K359)</f>
        <v>401597.24999999994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f>21969.23+62316.59</f>
        <v>84285.819999999992</v>
      </c>
      <c r="G361" s="18">
        <f>13807.18+10337.04+387+18.96+4763.58+3072.26+1754.06</f>
        <v>34140.080000000002</v>
      </c>
      <c r="H361" s="18">
        <v>2666.83</v>
      </c>
      <c r="I361" s="18">
        <f>68291.28</f>
        <v>68291.28</v>
      </c>
      <c r="J361" s="18"/>
      <c r="K361" s="18">
        <f>700-K359</f>
        <v>224.7</v>
      </c>
      <c r="L361" s="19">
        <f>SUM(F361:K361)</f>
        <v>189608.71000000002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244577.72999999998</v>
      </c>
      <c r="G363" s="47">
        <f t="shared" si="22"/>
        <v>96124.35</v>
      </c>
      <c r="H363" s="47">
        <f t="shared" si="22"/>
        <v>8307.89</v>
      </c>
      <c r="I363" s="47">
        <f t="shared" si="22"/>
        <v>241495.99</v>
      </c>
      <c r="J363" s="47">
        <f t="shared" si="22"/>
        <v>0</v>
      </c>
      <c r="K363" s="47">
        <f t="shared" si="22"/>
        <v>700</v>
      </c>
      <c r="L363" s="47">
        <f t="shared" si="22"/>
        <v>591205.96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3548+8536.3+13988.52+130993.43</f>
        <v>157066.25</v>
      </c>
      <c r="G368" s="18"/>
      <c r="H368" s="18">
        <v>61927.67</v>
      </c>
      <c r="I368" s="56">
        <f>SUM(F368:H368)</f>
        <v>218993.91999999998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1727.76+950+13460.71</f>
        <v>16138.47</v>
      </c>
      <c r="G369" s="63"/>
      <c r="H369" s="63">
        <v>6363.6</v>
      </c>
      <c r="I369" s="56">
        <f>SUM(F369:H369)</f>
        <v>22502.07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173204.72</v>
      </c>
      <c r="G370" s="47">
        <f>SUM(G368:G369)</f>
        <v>0</v>
      </c>
      <c r="H370" s="47">
        <f>SUM(H368:H369)</f>
        <v>68291.27</v>
      </c>
      <c r="I370" s="47">
        <f>SUM(I368:I369)</f>
        <v>241495.99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5769</v>
      </c>
      <c r="I380" s="18"/>
      <c r="J380" s="18">
        <f>152332.1</f>
        <v>152332.1</v>
      </c>
      <c r="K380" s="18"/>
      <c r="L380" s="13">
        <f t="shared" si="23"/>
        <v>158101.1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5769</v>
      </c>
      <c r="I383" s="41">
        <f t="shared" si="24"/>
        <v>0</v>
      </c>
      <c r="J383" s="47">
        <f t="shared" si="24"/>
        <v>152332.1</v>
      </c>
      <c r="K383" s="47">
        <f t="shared" si="24"/>
        <v>0</v>
      </c>
      <c r="L383" s="47">
        <f t="shared" si="24"/>
        <v>158101.1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141398</v>
      </c>
      <c r="H397" s="18"/>
      <c r="I397" s="18"/>
      <c r="J397" s="24" t="s">
        <v>288</v>
      </c>
      <c r="K397" s="24" t="s">
        <v>288</v>
      </c>
      <c r="L397" s="56">
        <f t="shared" si="26"/>
        <v>141398</v>
      </c>
      <c r="M397" s="8"/>
      <c r="N397" s="266"/>
    </row>
    <row r="398" spans="1:14" s="3" customFormat="1" ht="12.2" customHeight="1" x14ac:dyDescent="0.15">
      <c r="A398" s="79" t="s">
        <v>515</v>
      </c>
      <c r="B398" s="2" t="s">
        <v>381</v>
      </c>
      <c r="C398" s="6">
        <v>10</v>
      </c>
      <c r="D398" s="2" t="s">
        <v>432</v>
      </c>
      <c r="E398" s="6"/>
      <c r="F398" s="18"/>
      <c r="G398" s="18">
        <v>180000</v>
      </c>
      <c r="H398" s="18"/>
      <c r="I398" s="18"/>
      <c r="J398" s="24" t="s">
        <v>288</v>
      </c>
      <c r="K398" s="24" t="s">
        <v>288</v>
      </c>
      <c r="L398" s="56">
        <f t="shared" si="26"/>
        <v>180000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321398</v>
      </c>
      <c r="H402" s="47">
        <f>SUM(H396:H401)</f>
        <v>0</v>
      </c>
      <c r="I402" s="47">
        <f>SUM(I396:I401)</f>
        <v>0</v>
      </c>
      <c r="J402" s="45" t="s">
        <v>288</v>
      </c>
      <c r="K402" s="45" t="s">
        <v>288</v>
      </c>
      <c r="L402" s="47">
        <f>SUM(L396:L401)</f>
        <v>321398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321398</v>
      </c>
      <c r="H409" s="47">
        <f>H394+H402+H408</f>
        <v>0</v>
      </c>
      <c r="I409" s="47">
        <f>I394+I402+I408</f>
        <v>0</v>
      </c>
      <c r="J409" s="24" t="s">
        <v>288</v>
      </c>
      <c r="K409" s="24" t="s">
        <v>288</v>
      </c>
      <c r="L409" s="47">
        <f>L394+L402+L408</f>
        <v>321398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-321398</v>
      </c>
      <c r="G449" s="18"/>
      <c r="H449" s="18"/>
      <c r="I449" s="56">
        <f>SUM(F449:H449)</f>
        <v>-321398</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-321398</v>
      </c>
      <c r="G453" s="72">
        <f>SUM(G449:G452)</f>
        <v>0</v>
      </c>
      <c r="H453" s="72">
        <f>SUM(H449:H452)</f>
        <v>0</v>
      </c>
      <c r="I453" s="72">
        <f>SUM(I449:I452)</f>
        <v>-321398</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321398</v>
      </c>
      <c r="G460" s="18"/>
      <c r="H460" s="18"/>
      <c r="I460" s="56">
        <f t="shared" si="34"/>
        <v>321398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321398</v>
      </c>
      <c r="G461" s="83">
        <f>SUM(G455:G460)</f>
        <v>0</v>
      </c>
      <c r="H461" s="83">
        <f>SUM(H455:H460)</f>
        <v>0</v>
      </c>
      <c r="I461" s="83">
        <f>SUM(I455:I460)</f>
        <v>321398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1274610.4400000032</v>
      </c>
      <c r="G466" s="18">
        <v>0</v>
      </c>
      <c r="H466" s="18">
        <v>139646.30999999959</v>
      </c>
      <c r="I466" s="18">
        <v>158101.10000000009</v>
      </c>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13902780.98</v>
      </c>
      <c r="G469" s="18">
        <v>591205.96</v>
      </c>
      <c r="H469" s="18">
        <v>2740857.75</v>
      </c>
      <c r="I469" s="18"/>
      <c r="J469" s="18">
        <f>180000+141398</f>
        <v>321398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13902780.98</v>
      </c>
      <c r="G471" s="53">
        <f>SUM(G469:G470)</f>
        <v>591205.96</v>
      </c>
      <c r="H471" s="53">
        <f>SUM(H469:H470)</f>
        <v>2740857.75</v>
      </c>
      <c r="I471" s="53">
        <f>SUM(I469:I470)</f>
        <v>0</v>
      </c>
      <c r="J471" s="53">
        <f>SUM(J469:J470)</f>
        <v>321398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14597405.600000001</v>
      </c>
      <c r="G473" s="18">
        <v>591205.96</v>
      </c>
      <c r="H473" s="18">
        <v>2739977.4400000004</v>
      </c>
      <c r="I473" s="18">
        <v>158101.1</v>
      </c>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14597405.600000001</v>
      </c>
      <c r="G475" s="53">
        <f>SUM(G473:G474)</f>
        <v>591205.96</v>
      </c>
      <c r="H475" s="53">
        <f>SUM(H473:H474)</f>
        <v>2739977.4400000004</v>
      </c>
      <c r="I475" s="53">
        <f>SUM(I473:I474)</f>
        <v>158101.1</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579985.82000000216</v>
      </c>
      <c r="G477" s="53">
        <f>(G466+G471)- G475</f>
        <v>0</v>
      </c>
      <c r="H477" s="53">
        <f>(H466+H471)- H475</f>
        <v>140526.61999999918</v>
      </c>
      <c r="I477" s="53">
        <f>(I466+I471)- I475</f>
        <v>0</v>
      </c>
      <c r="J477" s="53">
        <f>(J466+J471)- J475</f>
        <v>321398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v>20</v>
      </c>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1645</v>
      </c>
      <c r="H492" s="154" t="s">
        <v>1644</v>
      </c>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1646</v>
      </c>
      <c r="H493" s="154" t="s">
        <v>1647</v>
      </c>
      <c r="I493" s="154"/>
      <c r="J493" s="154"/>
      <c r="K493" s="24" t="s">
        <v>288</v>
      </c>
      <c r="L493" s="24" t="s">
        <v>288</v>
      </c>
      <c r="N493" s="265"/>
    </row>
    <row r="494" spans="1:14" s="52" customFormat="1" ht="12.2" customHeight="1" x14ac:dyDescent="0.2">
      <c r="A494" s="22" t="s">
        <v>617</v>
      </c>
      <c r="B494" s="75">
        <v>20</v>
      </c>
      <c r="C494" s="115">
        <v>4</v>
      </c>
      <c r="D494" s="2" t="s">
        <v>432</v>
      </c>
      <c r="E494" s="115"/>
      <c r="F494" s="18">
        <v>5010376.2</v>
      </c>
      <c r="G494" s="18">
        <v>2700000</v>
      </c>
      <c r="H494" s="18">
        <v>2000000</v>
      </c>
      <c r="I494" s="18"/>
      <c r="J494" s="18"/>
      <c r="K494" s="24" t="s">
        <v>288</v>
      </c>
      <c r="L494" s="24" t="s">
        <v>288</v>
      </c>
      <c r="N494" s="265"/>
    </row>
    <row r="495" spans="1:14" s="52" customFormat="1" ht="12.2" customHeight="1" x14ac:dyDescent="0.2">
      <c r="A495" s="22" t="s">
        <v>618</v>
      </c>
      <c r="B495" s="75">
        <v>20</v>
      </c>
      <c r="C495" s="115">
        <v>5</v>
      </c>
      <c r="D495" s="2" t="s">
        <v>432</v>
      </c>
      <c r="E495" s="115"/>
      <c r="F495" s="18">
        <v>5.2</v>
      </c>
      <c r="G495" s="18">
        <v>4.26</v>
      </c>
      <c r="H495" s="18">
        <v>3.55</v>
      </c>
      <c r="I495" s="18"/>
      <c r="J495" s="18"/>
      <c r="K495" s="24" t="s">
        <v>288</v>
      </c>
      <c r="L495" s="24" t="s">
        <v>288</v>
      </c>
      <c r="N495" s="265"/>
    </row>
    <row r="496" spans="1:14" s="52" customFormat="1" ht="12.2" customHeight="1" x14ac:dyDescent="0.2">
      <c r="A496" s="22" t="s">
        <v>619</v>
      </c>
      <c r="B496" s="75">
        <v>20</v>
      </c>
      <c r="C496" s="115">
        <v>6</v>
      </c>
      <c r="D496" s="2" t="s">
        <v>432</v>
      </c>
      <c r="E496" s="115"/>
      <c r="F496" s="18">
        <v>250000</v>
      </c>
      <c r="G496" s="18">
        <v>1154551.93</v>
      </c>
      <c r="H496" s="18">
        <v>2000000</v>
      </c>
      <c r="I496" s="18"/>
      <c r="J496" s="18"/>
      <c r="K496" s="53">
        <f>SUM(F496:J496)</f>
        <v>3404551.9299999997</v>
      </c>
      <c r="L496" s="24" t="s">
        <v>288</v>
      </c>
      <c r="N496" s="265"/>
    </row>
    <row r="497" spans="1:14" s="52" customFormat="1" ht="12.2" customHeight="1" x14ac:dyDescent="0.2">
      <c r="A497" s="22" t="s">
        <v>620</v>
      </c>
      <c r="B497" s="75">
        <v>20</v>
      </c>
      <c r="C497" s="115">
        <v>7</v>
      </c>
      <c r="D497" s="2" t="s">
        <v>432</v>
      </c>
      <c r="E497" s="115"/>
      <c r="F497" s="18">
        <v>0</v>
      </c>
      <c r="G497" s="18"/>
      <c r="H497" s="18">
        <v>0</v>
      </c>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250000</v>
      </c>
      <c r="G498" s="18">
        <v>142105.26</v>
      </c>
      <c r="H498" s="18">
        <v>71093</v>
      </c>
      <c r="I498" s="18"/>
      <c r="J498" s="18"/>
      <c r="K498" s="53">
        <f t="shared" si="35"/>
        <v>463198.26</v>
      </c>
      <c r="L498" s="24" t="s">
        <v>288</v>
      </c>
      <c r="N498" s="265"/>
    </row>
    <row r="499" spans="1:14" s="52" customFormat="1" ht="12.2" customHeight="1" x14ac:dyDescent="0.2">
      <c r="A499" s="200" t="s">
        <v>622</v>
      </c>
      <c r="B499" s="201">
        <v>20</v>
      </c>
      <c r="C499" s="202">
        <v>9</v>
      </c>
      <c r="D499" s="203" t="s">
        <v>432</v>
      </c>
      <c r="E499" s="202"/>
      <c r="F499" s="204">
        <v>0</v>
      </c>
      <c r="G499" s="204">
        <v>1012446.67</v>
      </c>
      <c r="H499" s="204">
        <v>1928907</v>
      </c>
      <c r="I499" s="204"/>
      <c r="J499" s="204"/>
      <c r="K499" s="205">
        <f t="shared" si="35"/>
        <v>2941353.67</v>
      </c>
      <c r="L499" s="206" t="s">
        <v>288</v>
      </c>
      <c r="N499" s="265"/>
    </row>
    <row r="500" spans="1:14" s="52" customFormat="1" ht="12.2" customHeight="1" thickBot="1" x14ac:dyDescent="0.25">
      <c r="A500" s="22" t="s">
        <v>623</v>
      </c>
      <c r="B500" s="75">
        <v>20</v>
      </c>
      <c r="C500" s="115">
        <v>10</v>
      </c>
      <c r="D500" s="2" t="s">
        <v>432</v>
      </c>
      <c r="E500" s="115"/>
      <c r="F500" s="18">
        <v>0</v>
      </c>
      <c r="G500" s="18">
        <v>119384.66</v>
      </c>
      <c r="H500" s="18">
        <v>766076.56</v>
      </c>
      <c r="I500" s="18"/>
      <c r="J500" s="18"/>
      <c r="K500" s="53">
        <f t="shared" si="35"/>
        <v>885461.22000000009</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1131831.33</v>
      </c>
      <c r="H501" s="42">
        <f>SUM(H499:H500)</f>
        <v>2694983.56</v>
      </c>
      <c r="I501" s="42">
        <f>SUM(I499:I500)</f>
        <v>0</v>
      </c>
      <c r="J501" s="42">
        <f>SUM(J499:J500)</f>
        <v>0</v>
      </c>
      <c r="K501" s="42">
        <f t="shared" si="35"/>
        <v>3826814.89</v>
      </c>
      <c r="L501" s="45" t="s">
        <v>288</v>
      </c>
      <c r="N501" s="265"/>
    </row>
    <row r="502" spans="1:14" s="52" customFormat="1" ht="12.2" customHeight="1" x14ac:dyDescent="0.2">
      <c r="A502" s="200" t="s">
        <v>651</v>
      </c>
      <c r="B502" s="201">
        <v>20</v>
      </c>
      <c r="C502" s="202">
        <v>12</v>
      </c>
      <c r="D502" s="203" t="s">
        <v>432</v>
      </c>
      <c r="E502" s="202"/>
      <c r="F502" s="204">
        <v>0</v>
      </c>
      <c r="G502" s="204">
        <v>142105.26</v>
      </c>
      <c r="H502" s="204">
        <v>72436.25</v>
      </c>
      <c r="I502" s="204"/>
      <c r="J502" s="204"/>
      <c r="K502" s="205">
        <f t="shared" si="35"/>
        <v>214541.51</v>
      </c>
      <c r="L502" s="206" t="s">
        <v>288</v>
      </c>
      <c r="N502" s="265"/>
    </row>
    <row r="503" spans="1:14" s="52" customFormat="1" ht="12.2" customHeight="1" thickBot="1" x14ac:dyDescent="0.25">
      <c r="A503" s="22" t="s">
        <v>625</v>
      </c>
      <c r="B503" s="75">
        <v>20</v>
      </c>
      <c r="C503" s="115">
        <v>13</v>
      </c>
      <c r="D503" s="2" t="s">
        <v>432</v>
      </c>
      <c r="E503" s="115"/>
      <c r="F503" s="18">
        <v>0</v>
      </c>
      <c r="G503" s="18">
        <v>35054</v>
      </c>
      <c r="H503" s="18">
        <v>69456.75</v>
      </c>
      <c r="I503" s="18"/>
      <c r="J503" s="18"/>
      <c r="K503" s="53">
        <f t="shared" si="35"/>
        <v>104510.75</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177159.26</v>
      </c>
      <c r="H504" s="42">
        <f>SUM(H502:H503)</f>
        <v>141893</v>
      </c>
      <c r="I504" s="42">
        <f>SUM(I502:I503)</f>
        <v>0</v>
      </c>
      <c r="J504" s="42">
        <f>SUM(J502:J503)</f>
        <v>0</v>
      </c>
      <c r="K504" s="42">
        <f t="shared" si="35"/>
        <v>319052.26</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935001.06423000002</v>
      </c>
      <c r="G522" s="18">
        <v>480482.25607000006</v>
      </c>
      <c r="H522" s="18">
        <v>669189.03469000012</v>
      </c>
      <c r="I522" s="18">
        <v>9743.3524599999982</v>
      </c>
      <c r="J522" s="18">
        <v>0</v>
      </c>
      <c r="K522" s="18">
        <v>0</v>
      </c>
      <c r="L522" s="88">
        <f>SUM(F522:K522)</f>
        <v>2094415.7074500001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409430.36576999997</v>
      </c>
      <c r="G524" s="18">
        <v>210522.21393000003</v>
      </c>
      <c r="H524" s="18">
        <v>370014.21531</v>
      </c>
      <c r="I524" s="18">
        <v>4738.2575400000005</v>
      </c>
      <c r="J524" s="18">
        <v>0</v>
      </c>
      <c r="K524" s="18">
        <v>0</v>
      </c>
      <c r="L524" s="88">
        <f>SUM(F524:K524)</f>
        <v>994705.05255000002</v>
      </c>
      <c r="N524" s="265"/>
    </row>
    <row r="525" spans="1:14" s="52" customFormat="1" ht="12.2" customHeight="1" thickTop="1" x14ac:dyDescent="0.2">
      <c r="A525" s="139" t="s">
        <v>63</v>
      </c>
      <c r="B525" s="107">
        <v>21</v>
      </c>
      <c r="C525" s="195">
        <v>4</v>
      </c>
      <c r="D525" s="196" t="s">
        <v>432</v>
      </c>
      <c r="E525" s="195"/>
      <c r="F525" s="108">
        <f>SUM(F522:F524)</f>
        <v>1344431.43</v>
      </c>
      <c r="G525" s="108">
        <f t="shared" ref="G525:L525" si="36">SUM(G522:G524)</f>
        <v>691004.47000000009</v>
      </c>
      <c r="H525" s="108">
        <f t="shared" si="36"/>
        <v>1039203.2500000001</v>
      </c>
      <c r="I525" s="108">
        <f t="shared" si="36"/>
        <v>14481.609999999999</v>
      </c>
      <c r="J525" s="108">
        <f t="shared" si="36"/>
        <v>0</v>
      </c>
      <c r="K525" s="108">
        <f t="shared" si="36"/>
        <v>0</v>
      </c>
      <c r="L525" s="89">
        <f t="shared" si="36"/>
        <v>3089120.7600000002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376526.1312</v>
      </c>
      <c r="G527" s="18">
        <v>174702.965872</v>
      </c>
      <c r="H527" s="18">
        <v>482593.50521000003</v>
      </c>
      <c r="I527" s="18">
        <v>12385.640250000002</v>
      </c>
      <c r="J527" s="18">
        <v>0</v>
      </c>
      <c r="K527" s="18">
        <v>547.49200000000008</v>
      </c>
      <c r="L527" s="88">
        <f>SUM(F527:K527)</f>
        <v>1046755.734532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137863.0748</v>
      </c>
      <c r="G529" s="18">
        <v>67206.242127999998</v>
      </c>
      <c r="H529" s="18">
        <v>99580.860790000006</v>
      </c>
      <c r="I529" s="18">
        <v>6055.6377500000008</v>
      </c>
      <c r="J529" s="18">
        <v>1828.1959999999999</v>
      </c>
      <c r="K529" s="18">
        <v>364.108</v>
      </c>
      <c r="L529" s="88">
        <f>SUM(F529:K529)</f>
        <v>312898.11946800002</v>
      </c>
      <c r="M529" s="8"/>
      <c r="N529" s="266"/>
    </row>
    <row r="530" spans="1:14" s="3" customFormat="1" ht="12.2" customHeight="1" thickTop="1" x14ac:dyDescent="0.15">
      <c r="A530" s="139" t="s">
        <v>65</v>
      </c>
      <c r="B530" s="107">
        <v>21</v>
      </c>
      <c r="C530" s="107">
        <v>8</v>
      </c>
      <c r="D530" s="158" t="s">
        <v>432</v>
      </c>
      <c r="E530" s="107"/>
      <c r="F530" s="89">
        <f>SUM(F527:F529)</f>
        <v>514389.20600000001</v>
      </c>
      <c r="G530" s="89">
        <f t="shared" ref="G530:L530" si="37">SUM(G527:G529)</f>
        <v>241909.20799999998</v>
      </c>
      <c r="H530" s="89">
        <f t="shared" si="37"/>
        <v>582174.36600000004</v>
      </c>
      <c r="I530" s="89">
        <f t="shared" si="37"/>
        <v>18441.278000000002</v>
      </c>
      <c r="J530" s="89">
        <f t="shared" si="37"/>
        <v>1828.1959999999999</v>
      </c>
      <c r="K530" s="89">
        <f t="shared" si="37"/>
        <v>911.60000000000014</v>
      </c>
      <c r="L530" s="89">
        <f t="shared" si="37"/>
        <v>1359653.8540000001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108478.82577000001</v>
      </c>
      <c r="G532" s="18">
        <v>55353.213930000005</v>
      </c>
      <c r="H532" s="18">
        <v>2206.6753100000001</v>
      </c>
      <c r="I532" s="18">
        <v>1051.9475400000001</v>
      </c>
      <c r="J532" s="18">
        <v>0</v>
      </c>
      <c r="K532" s="18">
        <v>359.87</v>
      </c>
      <c r="L532" s="88">
        <f>SUM(F532:K532)</f>
        <v>167450.53255</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51283.804229999994</v>
      </c>
      <c r="G534" s="18">
        <v>26168.456069999993</v>
      </c>
      <c r="H534" s="18">
        <v>1043.2146899999998</v>
      </c>
      <c r="I534" s="18">
        <v>497.31245999999987</v>
      </c>
      <c r="J534" s="18">
        <v>0</v>
      </c>
      <c r="K534" s="18">
        <v>170.13</v>
      </c>
      <c r="L534" s="88">
        <f>SUM(F534:K534)</f>
        <v>79162.917449999994</v>
      </c>
      <c r="M534" s="8"/>
      <c r="N534" s="266"/>
    </row>
    <row r="535" spans="1:14" s="3" customFormat="1" ht="12.2" customHeight="1" thickTop="1" x14ac:dyDescent="0.15">
      <c r="A535" s="139" t="s">
        <v>67</v>
      </c>
      <c r="B535" s="107">
        <v>21</v>
      </c>
      <c r="C535" s="107">
        <v>12</v>
      </c>
      <c r="D535" s="158" t="s">
        <v>432</v>
      </c>
      <c r="E535" s="107"/>
      <c r="F535" s="89">
        <f>SUM(F532:F534)</f>
        <v>159762.63</v>
      </c>
      <c r="G535" s="89">
        <f t="shared" ref="G535:L535" si="38">SUM(G532:G534)</f>
        <v>81521.67</v>
      </c>
      <c r="H535" s="89">
        <f t="shared" si="38"/>
        <v>3249.89</v>
      </c>
      <c r="I535" s="89">
        <f t="shared" si="38"/>
        <v>1549.26</v>
      </c>
      <c r="J535" s="89">
        <f t="shared" si="38"/>
        <v>0</v>
      </c>
      <c r="K535" s="89">
        <f t="shared" si="38"/>
        <v>530</v>
      </c>
      <c r="L535" s="89">
        <f t="shared" si="38"/>
        <v>246613.45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1006.28</v>
      </c>
      <c r="I537" s="18"/>
      <c r="J537" s="18"/>
      <c r="K537" s="18"/>
      <c r="L537" s="88">
        <f>SUM(F537:K537)</f>
        <v>1006.28</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475.72</v>
      </c>
      <c r="I539" s="18"/>
      <c r="J539" s="18"/>
      <c r="K539" s="18"/>
      <c r="L539" s="88">
        <f>SUM(F539:K539)</f>
        <v>475.72</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1482</v>
      </c>
      <c r="I540" s="89">
        <f t="shared" si="39"/>
        <v>0</v>
      </c>
      <c r="J540" s="89">
        <f t="shared" si="39"/>
        <v>0</v>
      </c>
      <c r="K540" s="89">
        <f t="shared" si="39"/>
        <v>0</v>
      </c>
      <c r="L540" s="89">
        <f t="shared" si="39"/>
        <v>1482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170206.38554000002</v>
      </c>
      <c r="I542" s="18"/>
      <c r="J542" s="18"/>
      <c r="K542" s="18"/>
      <c r="L542" s="88">
        <f>SUM(F542:K542)</f>
        <v>170206.38554000002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77282.37</v>
      </c>
      <c r="I544" s="18"/>
      <c r="J544" s="18"/>
      <c r="K544" s="18"/>
      <c r="L544" s="88">
        <f>SUM(F544:K544)</f>
        <v>77282.37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247488.75554000001</v>
      </c>
      <c r="I545" s="193">
        <f t="shared" si="40"/>
        <v>0</v>
      </c>
      <c r="J545" s="193">
        <f t="shared" si="40"/>
        <v>0</v>
      </c>
      <c r="K545" s="193">
        <f t="shared" si="40"/>
        <v>0</v>
      </c>
      <c r="L545" s="193">
        <f t="shared" si="40"/>
        <v>247488.75554000001</v>
      </c>
      <c r="M545" s="8"/>
      <c r="N545" s="266"/>
    </row>
    <row r="546" spans="1:14" s="3" customFormat="1" ht="12.2" customHeight="1" thickTop="1" x14ac:dyDescent="0.15">
      <c r="A546" s="98" t="s">
        <v>72</v>
      </c>
      <c r="B546" s="107">
        <v>21</v>
      </c>
      <c r="C546" s="107">
        <v>21</v>
      </c>
      <c r="D546" s="158" t="s">
        <v>432</v>
      </c>
      <c r="E546" s="107"/>
      <c r="F546" s="89">
        <f>F525+F530+F535+F540+F545</f>
        <v>2018583.2659999998</v>
      </c>
      <c r="G546" s="89">
        <f t="shared" ref="G546:L546" si="41">G525+G530+G535+G540+G545</f>
        <v>1014435.3480000001</v>
      </c>
      <c r="H546" s="89">
        <f t="shared" si="41"/>
        <v>1873598.2615400001</v>
      </c>
      <c r="I546" s="89">
        <f t="shared" si="41"/>
        <v>34472.148000000001</v>
      </c>
      <c r="J546" s="89">
        <f t="shared" si="41"/>
        <v>1828.1959999999999</v>
      </c>
      <c r="K546" s="89">
        <f t="shared" si="41"/>
        <v>1441.6000000000001</v>
      </c>
      <c r="L546" s="89">
        <f t="shared" si="41"/>
        <v>4944358.8195400005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2094415.7074500001</v>
      </c>
      <c r="G550" s="87">
        <f>L527</f>
        <v>1046755.734532</v>
      </c>
      <c r="H550" s="87">
        <f>L532</f>
        <v>167450.53255</v>
      </c>
      <c r="I550" s="87">
        <f>L537</f>
        <v>1006.28</v>
      </c>
      <c r="J550" s="87">
        <f>L542</f>
        <v>170206.38554000002</v>
      </c>
      <c r="K550" s="87">
        <f>SUM(F550:J550)</f>
        <v>3479834.6400720002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994705.05255000002</v>
      </c>
      <c r="G552" s="87">
        <f>L529</f>
        <v>312898.11946800002</v>
      </c>
      <c r="H552" s="87">
        <f>L534</f>
        <v>79162.917449999994</v>
      </c>
      <c r="I552" s="87">
        <f>L539</f>
        <v>475.72</v>
      </c>
      <c r="J552" s="87">
        <f>L544</f>
        <v>77282.37</v>
      </c>
      <c r="K552" s="87">
        <f>SUM(F552:J552)</f>
        <v>1464524.1794679998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3089120.7600000002</v>
      </c>
      <c r="G553" s="89">
        <f t="shared" si="42"/>
        <v>1359653.8540000001</v>
      </c>
      <c r="H553" s="89">
        <f t="shared" si="42"/>
        <v>246613.45</v>
      </c>
      <c r="I553" s="89">
        <f t="shared" si="42"/>
        <v>1482</v>
      </c>
      <c r="J553" s="89">
        <f t="shared" si="42"/>
        <v>247488.75554000001</v>
      </c>
      <c r="K553" s="89">
        <f t="shared" si="42"/>
        <v>4944358.8195399996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4714.9799999999996</v>
      </c>
      <c r="G563" s="18">
        <v>393.84</v>
      </c>
      <c r="H563" s="18"/>
      <c r="I563" s="18"/>
      <c r="J563" s="18"/>
      <c r="K563" s="18"/>
      <c r="L563" s="88">
        <f>SUM(F563:K563)</f>
        <v>5108.82</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v>2229.02</v>
      </c>
      <c r="G565" s="18">
        <v>186.19</v>
      </c>
      <c r="H565" s="18"/>
      <c r="I565" s="18"/>
      <c r="J565" s="18"/>
      <c r="K565" s="18"/>
      <c r="L565" s="88">
        <f>SUM(F565:K565)</f>
        <v>2415.21</v>
      </c>
      <c r="M565" s="8"/>
      <c r="N565" s="266"/>
    </row>
    <row r="566" spans="1:14" s="3" customFormat="1" ht="12.2" customHeight="1" thickTop="1" x14ac:dyDescent="0.15">
      <c r="A566" s="139" t="s">
        <v>65</v>
      </c>
      <c r="B566" s="107">
        <v>22</v>
      </c>
      <c r="C566" s="107">
        <v>8</v>
      </c>
      <c r="D566" s="196" t="s">
        <v>432</v>
      </c>
      <c r="E566" s="107"/>
      <c r="F566" s="89">
        <f t="shared" ref="F566:L566" si="44">SUM(F563:F565)</f>
        <v>6944</v>
      </c>
      <c r="G566" s="89">
        <f t="shared" si="44"/>
        <v>580.03</v>
      </c>
      <c r="H566" s="89">
        <f t="shared" si="44"/>
        <v>0</v>
      </c>
      <c r="I566" s="89">
        <f t="shared" si="44"/>
        <v>0</v>
      </c>
      <c r="J566" s="89">
        <f t="shared" si="44"/>
        <v>0</v>
      </c>
      <c r="K566" s="89">
        <f t="shared" si="44"/>
        <v>0</v>
      </c>
      <c r="L566" s="89">
        <f t="shared" si="44"/>
        <v>7524.03</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6944</v>
      </c>
      <c r="G572" s="89">
        <f t="shared" ref="G572:L572" si="46">G561+G566+G571</f>
        <v>580.03</v>
      </c>
      <c r="H572" s="89">
        <f t="shared" si="46"/>
        <v>0</v>
      </c>
      <c r="I572" s="89">
        <f t="shared" si="46"/>
        <v>0</v>
      </c>
      <c r="J572" s="89">
        <f t="shared" si="46"/>
        <v>0</v>
      </c>
      <c r="K572" s="89">
        <f t="shared" si="46"/>
        <v>0</v>
      </c>
      <c r="L572" s="89">
        <f t="shared" si="46"/>
        <v>7524.03</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14250</f>
        <v>14250</v>
      </c>
      <c r="I576" s="87">
        <f>SUM(F576:H576)</f>
        <v>14250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f>4747.5</f>
        <v>4747.5</v>
      </c>
      <c r="I579" s="87">
        <f t="shared" si="47"/>
        <v>4747.5</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183616.54</f>
        <v>183616.54</v>
      </c>
      <c r="G580" s="18"/>
      <c r="H580" s="18">
        <v>17612</v>
      </c>
      <c r="I580" s="87">
        <f t="shared" si="47"/>
        <v>201228.54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2165.62+291239.04+48683.25</f>
        <v>342087.91</v>
      </c>
      <c r="G583" s="18"/>
      <c r="H583" s="18">
        <v>216881.24</v>
      </c>
      <c r="I583" s="87">
        <f t="shared" si="47"/>
        <v>558969.14999999991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56472.78</v>
      </c>
      <c r="I585" s="87">
        <f t="shared" si="47"/>
        <v>56472.78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166133.65+10818.55</f>
        <v>176952.19999999998</v>
      </c>
      <c r="I592" s="18"/>
      <c r="J592" s="18">
        <f>78540.35+5114.52</f>
        <v>83654.87000000001</v>
      </c>
      <c r="K592" s="104">
        <f t="shared" ref="K592:K598" si="48">SUM(H592:J592)</f>
        <v>260607.07</v>
      </c>
      <c r="L592" s="24" t="s">
        <v>288</v>
      </c>
      <c r="M592" s="8"/>
      <c r="N592" s="266"/>
    </row>
    <row r="593" spans="1:14" s="3" customFormat="1" ht="12.2" customHeight="1" x14ac:dyDescent="0.15">
      <c r="A593" s="3" t="s">
        <v>638</v>
      </c>
      <c r="B593" s="75">
        <v>23</v>
      </c>
      <c r="C593" s="75">
        <v>2</v>
      </c>
      <c r="D593" s="2" t="s">
        <v>432</v>
      </c>
      <c r="E593" s="75"/>
      <c r="F593" s="102">
        <v>2722</v>
      </c>
      <c r="G593" s="103" t="s">
        <v>97</v>
      </c>
      <c r="H593" s="18">
        <f>99494.73+62301.66+8410</f>
        <v>170206.39</v>
      </c>
      <c r="I593" s="18"/>
      <c r="J593" s="18">
        <f>47036.53+30245.84</f>
        <v>77282.37</v>
      </c>
      <c r="K593" s="104">
        <f t="shared" si="48"/>
        <v>247488.76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47537.23</f>
        <v>47537.23</v>
      </c>
      <c r="K594" s="104">
        <f t="shared" si="48"/>
        <v>47537.23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f>4529.06</f>
        <v>4529.0600000000004</v>
      </c>
      <c r="I595" s="18"/>
      <c r="J595" s="18">
        <f>20282.47</f>
        <v>20282.47</v>
      </c>
      <c r="K595" s="104">
        <f t="shared" si="48"/>
        <v>24811.530000000002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f>292.64</f>
        <v>292.64</v>
      </c>
      <c r="K596" s="104">
        <f t="shared" si="48"/>
        <v>292.64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f>14464.37</f>
        <v>14464.37</v>
      </c>
      <c r="I598" s="18"/>
      <c r="J598" s="18">
        <f>6838.09</f>
        <v>6838.09</v>
      </c>
      <c r="K598" s="104">
        <f t="shared" si="48"/>
        <v>21302.46</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366152.01999999996</v>
      </c>
      <c r="I599" s="108">
        <f>SUM(I592:I598)</f>
        <v>0</v>
      </c>
      <c r="J599" s="108">
        <f>SUM(J592:J598)</f>
        <v>235887.67</v>
      </c>
      <c r="K599" s="108">
        <f>SUM(K592:K598)</f>
        <v>602039.69000000006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53897.44+332244.33</f>
        <v>386141.77</v>
      </c>
      <c r="I605" s="18"/>
      <c r="J605" s="18">
        <f>64763.56+150089.23+699.75</f>
        <v>215552.54</v>
      </c>
      <c r="K605" s="104">
        <f>SUM(H605:J605)</f>
        <v>601694.31000000006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386141.77</v>
      </c>
      <c r="I606" s="108">
        <f>SUM(I603:I605)</f>
        <v>0</v>
      </c>
      <c r="J606" s="108">
        <f>SUM(J603:J605)</f>
        <v>215552.54</v>
      </c>
      <c r="K606" s="108">
        <f>SUM(K603:K605)</f>
        <v>601694.31000000006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1620+19962.5+7421.25</f>
        <v>29003.75</v>
      </c>
      <c r="G612" s="18">
        <f>1527.17+691.66+3553.33+1449.14</f>
        <v>7221.3</v>
      </c>
      <c r="H612" s="18">
        <v>1406.6</v>
      </c>
      <c r="I612" s="18">
        <v>492.83</v>
      </c>
      <c r="J612" s="18"/>
      <c r="K612" s="18"/>
      <c r="L612" s="88">
        <f>SUM(F612:K612)</f>
        <v>38124.480000000003</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29003.75</v>
      </c>
      <c r="G615" s="108">
        <f t="shared" si="49"/>
        <v>7221.3</v>
      </c>
      <c r="H615" s="108">
        <f t="shared" si="49"/>
        <v>1406.6</v>
      </c>
      <c r="I615" s="108">
        <f t="shared" si="49"/>
        <v>492.83</v>
      </c>
      <c r="J615" s="108">
        <f t="shared" si="49"/>
        <v>0</v>
      </c>
      <c r="K615" s="108">
        <f t="shared" si="49"/>
        <v>0</v>
      </c>
      <c r="L615" s="89">
        <f t="shared" si="49"/>
        <v>38124.480000000003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820571.87</v>
      </c>
      <c r="H618" s="109">
        <f>SUM(F52)</f>
        <v>820571.87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144231.88</v>
      </c>
      <c r="H619" s="109">
        <f>SUM(G52)</f>
        <v>144231.88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957972.64</v>
      </c>
      <c r="H620" s="109">
        <f>SUM(H52)</f>
        <v>957972.64000000013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579985.82000000007</v>
      </c>
      <c r="H623" s="109">
        <f>F477</f>
        <v>579985.82000000216</v>
      </c>
      <c r="I623" s="121" t="s">
        <v>101</v>
      </c>
      <c r="J623" s="109">
        <f t="shared" ref="J623:J656" si="50">G623-H623</f>
        <v>-2.0954757928848267E-9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140526.62000000002</v>
      </c>
      <c r="H625" s="109">
        <f>H477</f>
        <v>140526.61999999918</v>
      </c>
      <c r="I625" s="121" t="s">
        <v>103</v>
      </c>
      <c r="J625" s="109">
        <f t="shared" si="50"/>
        <v>8.440110832452774E-10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321398</v>
      </c>
      <c r="H627" s="109">
        <f>J477</f>
        <v>321398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13902780.98</v>
      </c>
      <c r="H628" s="104">
        <f>SUM(F469)</f>
        <v>13902780.98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591205.96</v>
      </c>
      <c r="H629" s="104">
        <f>SUM(G469)</f>
        <v>591205.96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2740857.75</v>
      </c>
      <c r="H630" s="104">
        <f>SUM(H469)</f>
        <v>2740857.75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321398</v>
      </c>
      <c r="H632" s="104">
        <f>SUM(J469)</f>
        <v>321398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14597405.600000001</v>
      </c>
      <c r="H633" s="104">
        <f>SUM(F473)</f>
        <v>14597405.600000001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2739977.4400000004</v>
      </c>
      <c r="H634" s="104">
        <f>SUM(H473)</f>
        <v>2739977.4400000004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241495.99</v>
      </c>
      <c r="H635" s="104">
        <f>I370</f>
        <v>241495.99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591205.96</v>
      </c>
      <c r="H636" s="104">
        <f>SUM(G473)</f>
        <v>591205.96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158101.1</v>
      </c>
      <c r="H637" s="104">
        <f>SUM(I473)</f>
        <v>158101.1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321398</v>
      </c>
      <c r="H638" s="164">
        <f>SUM(J469)</f>
        <v>321398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321398</v>
      </c>
      <c r="H646" s="104">
        <f>G409</f>
        <v>321398</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321398</v>
      </c>
      <c r="H647" s="104">
        <f>L409</f>
        <v>321398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602039.69000000006</v>
      </c>
      <c r="H648" s="104">
        <f>L209+L227+L245</f>
        <v>602039.68999999994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601694.31000000006</v>
      </c>
      <c r="H649" s="104">
        <f>(J258+J339)-(J256+J337)</f>
        <v>601694.30999999994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366152.01999999996</v>
      </c>
      <c r="H650" s="104">
        <f>H599</f>
        <v>366152.01999999996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235887.67</v>
      </c>
      <c r="H652" s="104">
        <f>J599</f>
        <v>235887.67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53402.02</v>
      </c>
      <c r="H653" s="104">
        <f>K264+K346</f>
        <v>53402.02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99761.84</v>
      </c>
      <c r="H654" s="104">
        <f>K265</f>
        <v>99761.84</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321398</v>
      </c>
      <c r="H656" s="104">
        <f>K267+K348</f>
        <v>321398</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11310399.990000002</v>
      </c>
      <c r="G661" s="19">
        <f>(L230+L310+L360)</f>
        <v>0</v>
      </c>
      <c r="H661" s="19">
        <f>(L248+L329+L361)</f>
        <v>5427855.3699999992</v>
      </c>
      <c r="I661" s="19">
        <f>SUM(F661:H661)</f>
        <v>16738255.360000001</v>
      </c>
      <c r="J661" s="13"/>
      <c r="K661" s="13"/>
      <c r="L661" s="13"/>
      <c r="M661" s="9"/>
    </row>
    <row r="662" spans="1:13" s="3" customFormat="1" ht="12.2" customHeight="1" x14ac:dyDescent="0.2">
      <c r="A662" s="1" t="s">
        <v>127</v>
      </c>
      <c r="F662" s="19">
        <f>(L359/IF(SUM(L359:L361)=0,1,SUM(L359:L361))*(SUM(G97:G110)))</f>
        <v>64388.935134255058</v>
      </c>
      <c r="G662" s="19">
        <f>(L360/IF(SUM(L359:L361)=0,1,SUM(L359:L361))*(SUM(G97:G110)))</f>
        <v>0</v>
      </c>
      <c r="H662" s="19">
        <f>(L361/IF(SUM(L359:L361)=0,1,SUM(L359:L361))*(SUM(G97:G110)))</f>
        <v>30400.364865744923</v>
      </c>
      <c r="I662" s="19">
        <f>SUM(F662:H662)</f>
        <v>94789.299999999988</v>
      </c>
      <c r="J662"/>
      <c r="K662" s="13"/>
      <c r="L662" s="13"/>
      <c r="M662" s="8"/>
    </row>
    <row r="663" spans="1:13" s="3" customFormat="1" ht="12.2" customHeight="1" x14ac:dyDescent="0.2">
      <c r="A663" s="1" t="s">
        <v>128</v>
      </c>
      <c r="F663" s="19">
        <f>(L209+L288)-(J209+J288)</f>
        <v>378393.07999999996</v>
      </c>
      <c r="G663" s="19">
        <f>(L227+L307)-(J227+J307)</f>
        <v>0</v>
      </c>
      <c r="H663" s="19">
        <f>(L245+L326)-(J245+J326)</f>
        <v>241674.68000000002</v>
      </c>
      <c r="I663" s="19">
        <f>SUM(F663:H663)</f>
        <v>620067.76</v>
      </c>
      <c r="J663"/>
      <c r="K663" s="13"/>
      <c r="L663" s="13"/>
      <c r="M663" s="9"/>
    </row>
    <row r="664" spans="1:13" s="3" customFormat="1" ht="12.2" customHeight="1" x14ac:dyDescent="0.15">
      <c r="A664" s="198" t="s">
        <v>129</v>
      </c>
      <c r="B664" s="169"/>
      <c r="C664" s="169"/>
      <c r="D664" s="169"/>
      <c r="E664" s="169"/>
      <c r="F664" s="199">
        <f>SUM(F576:F588)+SUM(H603:H605)+SUM(L612)</f>
        <v>949970.7</v>
      </c>
      <c r="G664" s="199">
        <f>SUM(G576:G588)+SUM(I603:I605)+L613</f>
        <v>0</v>
      </c>
      <c r="H664" s="199">
        <f>SUM(H576:H588)+SUM(J603:J605)+L614</f>
        <v>525516.06000000006</v>
      </c>
      <c r="I664" s="19">
        <f>SUM(F664:H664)</f>
        <v>1475486.76</v>
      </c>
      <c r="J664" s="13"/>
      <c r="K664" s="13"/>
      <c r="L664" s="13"/>
      <c r="M664" s="9"/>
    </row>
    <row r="665" spans="1:13" s="3" customFormat="1" ht="12.2" customHeight="1" x14ac:dyDescent="0.15">
      <c r="A665" s="1" t="s">
        <v>130</v>
      </c>
      <c r="F665" s="19">
        <f>F661-SUM(F662:F664)</f>
        <v>9917647.2748657465</v>
      </c>
      <c r="G665" s="19">
        <f>G661-SUM(G662:G664)</f>
        <v>0</v>
      </c>
      <c r="H665" s="19">
        <f>H661-SUM(H662:H664)</f>
        <v>4630264.2651342545</v>
      </c>
      <c r="I665" s="19">
        <f>I661-SUM(I662:I664)</f>
        <v>14547911.540000001</v>
      </c>
      <c r="J665" s="13"/>
      <c r="K665" s="13"/>
      <c r="L665" s="13"/>
      <c r="M665" s="8"/>
    </row>
    <row r="666" spans="1:13" s="3" customFormat="1" ht="12.2" customHeight="1" x14ac:dyDescent="0.2">
      <c r="A666" s="1" t="s">
        <v>131</v>
      </c>
      <c r="F666" s="246">
        <f>9.85+78.25+583.18</f>
        <v>671.28</v>
      </c>
      <c r="G666" s="247"/>
      <c r="H666" s="247">
        <v>253.11</v>
      </c>
      <c r="I666" s="19">
        <f>SUM(F666:H666)</f>
        <v>924.39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14774.23</v>
      </c>
      <c r="G668" s="19" t="e">
        <f>ROUND(G665/G666,2)</f>
        <v>#DIV/0!</v>
      </c>
      <c r="H668" s="19">
        <f>ROUND(H665/H666,2)</f>
        <v>18293.490000000002</v>
      </c>
      <c r="I668" s="19">
        <f>ROUND(I665/I666,2)</f>
        <v>15737.85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-5.72</v>
      </c>
      <c r="I671" s="19">
        <f>SUM(F671:H671)</f>
        <v>-5.72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14774.23</v>
      </c>
      <c r="G673" s="19" t="e">
        <f>ROUND((G665+G670)/(G666+G671),2)</f>
        <v>#DIV/0!</v>
      </c>
      <c r="H673" s="19">
        <f>ROUND((H665+H670)/(H666+H671),2)</f>
        <v>18716.46</v>
      </c>
      <c r="I673" s="19">
        <f>ROUND((I665+I670)/(I666+I671),2)</f>
        <v>15835.84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Franklin School District</v>
      </c>
      <c r="C5" s="344"/>
      <c r="D5" s="344"/>
      <c r="E5" s="344"/>
      <c r="F5" s="344"/>
    </row>
    <row r="8" spans="1:9" ht="18" x14ac:dyDescent="0.25">
      <c r="A8" s="323" t="s">
        <v>1591</v>
      </c>
      <c r="F8" s="330" t="s">
        <v>1609</v>
      </c>
    </row>
    <row r="9" spans="1:9" ht="15" x14ac:dyDescent="0.2">
      <c r="A9" s="321" t="s">
        <v>1592</v>
      </c>
      <c r="B9" s="324">
        <f>'DOE25'!G97</f>
        <v>94789.299999999974</v>
      </c>
      <c r="F9" s="321" t="s">
        <v>1605</v>
      </c>
    </row>
    <row r="10" spans="1:9" ht="15" x14ac:dyDescent="0.2">
      <c r="A10" s="321" t="s">
        <v>1593</v>
      </c>
      <c r="B10" s="324">
        <f>'DOE25'!G112-'DOE25'!G97</f>
        <v>158.7899999999936</v>
      </c>
      <c r="F10" s="321" t="s">
        <v>1606</v>
      </c>
    </row>
    <row r="11" spans="1:9" ht="15" x14ac:dyDescent="0.2">
      <c r="A11" s="321" t="s">
        <v>1594</v>
      </c>
      <c r="B11" s="324">
        <f>'DOE25'!G140</f>
        <v>8629.57</v>
      </c>
      <c r="F11" s="321" t="s">
        <v>1607</v>
      </c>
    </row>
    <row r="12" spans="1:9" ht="15" x14ac:dyDescent="0.2">
      <c r="A12" s="321" t="s">
        <v>1595</v>
      </c>
      <c r="B12" s="324">
        <f>'DOE25'!G170</f>
        <v>434226.28</v>
      </c>
      <c r="F12" s="321" t="s">
        <v>1608</v>
      </c>
    </row>
    <row r="13" spans="1:9" ht="15" x14ac:dyDescent="0.2">
      <c r="A13" s="321" t="s">
        <v>1596</v>
      </c>
      <c r="B13" s="324">
        <f>'DOE25'!G193-'DOE25'!G180</f>
        <v>0</v>
      </c>
      <c r="F13" s="321" t="s">
        <v>1618</v>
      </c>
    </row>
    <row r="14" spans="1:9" ht="18" x14ac:dyDescent="0.25">
      <c r="A14" s="323" t="s">
        <v>732</v>
      </c>
      <c r="B14" s="325">
        <f>SUM(B9:B13)</f>
        <v>537803.93999999994</v>
      </c>
    </row>
    <row r="16" spans="1:9" ht="18" x14ac:dyDescent="0.25">
      <c r="A16" s="323" t="s">
        <v>786</v>
      </c>
      <c r="F16" s="330" t="s">
        <v>1610</v>
      </c>
    </row>
    <row r="17" spans="1:6" ht="15" x14ac:dyDescent="0.2">
      <c r="A17" s="321" t="s">
        <v>1597</v>
      </c>
      <c r="B17" s="324">
        <f>'DOE25'!L363-'DOE25'!L362</f>
        <v>591205.96</v>
      </c>
      <c r="F17" s="321" t="s">
        <v>1611</v>
      </c>
    </row>
    <row r="18" spans="1:6" ht="15" x14ac:dyDescent="0.2">
      <c r="A18" s="321" t="s">
        <v>1598</v>
      </c>
      <c r="B18" s="338"/>
      <c r="F18" s="330" t="s">
        <v>1637</v>
      </c>
    </row>
    <row r="19" spans="1:6" ht="18" x14ac:dyDescent="0.25">
      <c r="A19" s="323" t="s">
        <v>725</v>
      </c>
      <c r="B19" s="325">
        <f>SUM(B17:B18)</f>
        <v>591205.96</v>
      </c>
    </row>
    <row r="21" spans="1:6" ht="18.75" thickBot="1" x14ac:dyDescent="0.3">
      <c r="A21" s="323" t="s">
        <v>1599</v>
      </c>
    </row>
    <row r="22" spans="1:6" ht="18.75" thickTop="1" x14ac:dyDescent="0.25">
      <c r="A22" s="323" t="s">
        <v>1600</v>
      </c>
      <c r="B22" s="329">
        <f>B14-B19</f>
        <v>-53402.020000000019</v>
      </c>
      <c r="F22" s="321" t="s">
        <v>1612</v>
      </c>
    </row>
    <row r="26" spans="1:6" ht="18" x14ac:dyDescent="0.25">
      <c r="A26" s="323" t="s">
        <v>186</v>
      </c>
    </row>
    <row r="27" spans="1:6" ht="15" x14ac:dyDescent="0.2">
      <c r="A27" s="321" t="s">
        <v>1601</v>
      </c>
      <c r="B27" s="324">
        <f>'DOE25'!G180</f>
        <v>53402.02</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26246.1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Franklin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3348667.36</v>
      </c>
      <c r="C9" s="229">
        <f>'DOE25'!G198+'DOE25'!G216+'DOE25'!G234+'DOE25'!G277+'DOE25'!G296+'DOE25'!G315</f>
        <v>1700468.9400000002</v>
      </c>
    </row>
    <row r="10" spans="1:3" x14ac:dyDescent="0.2">
      <c r="A10" t="s">
        <v>775</v>
      </c>
      <c r="B10" s="240">
        <f>2758395.76+378030.94</f>
        <v>3136426.6999999997</v>
      </c>
      <c r="C10" s="240">
        <v>1652090.15</v>
      </c>
    </row>
    <row r="11" spans="1:3" x14ac:dyDescent="0.2">
      <c r="A11" t="s">
        <v>776</v>
      </c>
      <c r="B11" s="240">
        <f>75923.39+83750.55</f>
        <v>159673.94</v>
      </c>
      <c r="C11" s="240">
        <f>12215.06+798.37+31080.18</f>
        <v>44093.61</v>
      </c>
    </row>
    <row r="12" spans="1:3" x14ac:dyDescent="0.2">
      <c r="A12" t="s">
        <v>777</v>
      </c>
      <c r="B12" s="240">
        <v>52566.720000000001</v>
      </c>
      <c r="C12" s="240">
        <f>4021.35+263.83</f>
        <v>4285.18</v>
      </c>
    </row>
    <row r="13" spans="1:3" x14ac:dyDescent="0.2">
      <c r="A13" t="str">
        <f>IF(B9=B13,IF(C9=C13,"Check Total OK","Check Total Error"),"Check Total Error")</f>
        <v>Check Total OK</v>
      </c>
      <c r="B13" s="231">
        <f>SUM(B10:B12)</f>
        <v>3348667.36</v>
      </c>
      <c r="C13" s="231">
        <f>SUM(C10:C12)</f>
        <v>1700468.94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1504194.06</v>
      </c>
      <c r="C18" s="229">
        <f>'DOE25'!G199+'DOE25'!G217+'DOE25'!G235+'DOE25'!G278+'DOE25'!G297+'DOE25'!G316</f>
        <v>772526.14000000013</v>
      </c>
    </row>
    <row r="19" spans="1:3" x14ac:dyDescent="0.2">
      <c r="A19" t="s">
        <v>775</v>
      </c>
      <c r="B19" s="240">
        <f>499660.37+232410.19</f>
        <v>732070.56</v>
      </c>
      <c r="C19" s="240">
        <v>344325.87</v>
      </c>
    </row>
    <row r="20" spans="1:3" x14ac:dyDescent="0.2">
      <c r="A20" t="s">
        <v>776</v>
      </c>
      <c r="B20" s="240">
        <v>646764.93000000005</v>
      </c>
      <c r="C20" s="240">
        <f>279693+12384+15394+3396+51964+645+4024</f>
        <v>367500</v>
      </c>
    </row>
    <row r="21" spans="1:3" x14ac:dyDescent="0.2">
      <c r="A21" t="s">
        <v>777</v>
      </c>
      <c r="B21" s="240">
        <v>125358.57</v>
      </c>
      <c r="C21" s="240">
        <f>20674.2+10337.04+755.76+387+13788+4260.95+382.51+7.65+5852.43+117.05+83.54+112+190.73+2918.2+18.96+112+702.25</f>
        <v>60700.270000000004</v>
      </c>
    </row>
    <row r="22" spans="1:3" x14ac:dyDescent="0.2">
      <c r="A22" t="str">
        <f>IF(B18=B22,IF(C18=C22,"Check Total OK","Check Total Error"),"Check Total Error")</f>
        <v>Check Total OK</v>
      </c>
      <c r="B22" s="231">
        <f>SUM(B19:B21)</f>
        <v>1504194.0600000003</v>
      </c>
      <c r="C22" s="231">
        <f>SUM(C19:C21)</f>
        <v>772526.14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135155.04999999999</v>
      </c>
      <c r="C36" s="235">
        <f>'DOE25'!G201+'DOE25'!G219+'DOE25'!G237+'DOE25'!G280+'DOE25'!G299+'DOE25'!G318</f>
        <v>53330.25</v>
      </c>
    </row>
    <row r="37" spans="1:3" x14ac:dyDescent="0.2">
      <c r="A37" t="s">
        <v>775</v>
      </c>
      <c r="B37" s="240">
        <f>28883.75+104651.3</f>
        <v>133535.04999999999</v>
      </c>
      <c r="C37" s="240">
        <f>53330.25-123.93</f>
        <v>53206.32</v>
      </c>
    </row>
    <row r="38" spans="1:3" x14ac:dyDescent="0.2">
      <c r="A38" t="s">
        <v>776</v>
      </c>
      <c r="B38" s="240">
        <v>1620</v>
      </c>
      <c r="C38" s="240">
        <v>123.93</v>
      </c>
    </row>
    <row r="39" spans="1:3" x14ac:dyDescent="0.2">
      <c r="A39" t="s">
        <v>777</v>
      </c>
      <c r="B39" s="240"/>
      <c r="C39" s="240"/>
    </row>
    <row r="40" spans="1:3" x14ac:dyDescent="0.2">
      <c r="A40" t="str">
        <f>IF(B36=B40,IF(C36=C40,"Check Total OK","Check Total Error"),"Check Total Error")</f>
        <v>Check Total OK</v>
      </c>
      <c r="B40" s="231">
        <f>SUM(B37:B39)</f>
        <v>135155.04999999999</v>
      </c>
      <c r="C40" s="231">
        <f>SUM(C37:C39)</f>
        <v>53330.25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Franklin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7878919.6300000008</v>
      </c>
      <c r="D5" s="20">
        <f>SUM('DOE25'!L198:L201)+SUM('DOE25'!L216:L219)+SUM('DOE25'!L234:L237)-F5-G5-H5</f>
        <v>7789708.6800000006</v>
      </c>
      <c r="E5" s="243"/>
      <c r="F5" s="244">
        <f>11401.5+47807.25</f>
        <v>59208.75</v>
      </c>
      <c r="G5" s="53">
        <f>SUM('DOE25'!J198:J201)+SUM('DOE25'!J216:J219)+SUM('DOE25'!J234:J237)</f>
        <v>15448.7</v>
      </c>
      <c r="H5" s="53">
        <f>SUM('DOE25'!K198:K201)+SUM('DOE25'!K216:K219)+SUM('DOE25'!K234:K237)</f>
        <v>14553.5</v>
      </c>
      <c r="I5" s="256"/>
    </row>
    <row r="6" spans="1:9" x14ac:dyDescent="0.2">
      <c r="A6" s="32">
        <v>2100</v>
      </c>
      <c r="B6" t="s">
        <v>796</v>
      </c>
      <c r="C6" s="276">
        <f t="shared" si="0"/>
        <v>1719481.5299999998</v>
      </c>
      <c r="D6" s="20">
        <f>'DOE25'!L203+'DOE25'!L221+'DOE25'!L239-F6-G6-H6</f>
        <v>1308878.3699999996</v>
      </c>
      <c r="E6" s="243"/>
      <c r="F6" s="244">
        <f>17511.74+73154+26825+63422.57+229275.85</f>
        <v>410189.16000000003</v>
      </c>
      <c r="G6" s="53">
        <f>'DOE25'!J203+'DOE25'!J221+'DOE25'!J239</f>
        <v>0</v>
      </c>
      <c r="H6" s="53">
        <f>'DOE25'!K203+'DOE25'!K221+'DOE25'!K239</f>
        <v>414</v>
      </c>
      <c r="I6" s="256"/>
    </row>
    <row r="7" spans="1:9" x14ac:dyDescent="0.2">
      <c r="A7" s="32">
        <v>2200</v>
      </c>
      <c r="B7" t="s">
        <v>821</v>
      </c>
      <c r="C7" s="276">
        <f t="shared" si="0"/>
        <v>304090.78999999998</v>
      </c>
      <c r="D7" s="20">
        <f>'DOE25'!L204+'DOE25'!L222+'DOE25'!L240-F7-G7-H7</f>
        <v>284631.07999999996</v>
      </c>
      <c r="E7" s="243"/>
      <c r="F7" s="244"/>
      <c r="G7" s="53">
        <f>'DOE25'!J204+'DOE25'!J222+'DOE25'!J240</f>
        <v>19459.71</v>
      </c>
      <c r="H7" s="53">
        <f>'DOE25'!K204+'DOE25'!K222+'DOE25'!K240</f>
        <v>0</v>
      </c>
      <c r="I7" s="256"/>
    </row>
    <row r="8" spans="1:9" x14ac:dyDescent="0.2">
      <c r="A8" s="32">
        <v>2300</v>
      </c>
      <c r="B8" t="s">
        <v>797</v>
      </c>
      <c r="C8" s="276">
        <f t="shared" si="0"/>
        <v>34625.74999999992</v>
      </c>
      <c r="D8" s="243"/>
      <c r="E8" s="20">
        <f>'DOE25'!L205+'DOE25'!L223+'DOE25'!L241-F8-G8-H8-D9-D11</f>
        <v>21628.349999999919</v>
      </c>
      <c r="F8" s="244"/>
      <c r="G8" s="53">
        <f>'DOE25'!J205+'DOE25'!J223+'DOE25'!J241</f>
        <v>4745.8999999999996</v>
      </c>
      <c r="H8" s="53">
        <f>'DOE25'!K205+'DOE25'!K223+'DOE25'!K241</f>
        <v>8251.5</v>
      </c>
      <c r="I8" s="256"/>
    </row>
    <row r="9" spans="1:9" ht="14.25" x14ac:dyDescent="0.2">
      <c r="A9" s="32">
        <v>2310</v>
      </c>
      <c r="B9" s="185" t="s">
        <v>890</v>
      </c>
      <c r="C9" s="276">
        <f t="shared" si="0"/>
        <v>19290.12</v>
      </c>
      <c r="D9" s="244">
        <v>19290.12</v>
      </c>
      <c r="E9" s="243"/>
      <c r="F9" s="253"/>
      <c r="G9" s="253"/>
      <c r="H9" s="253"/>
      <c r="I9" s="256"/>
    </row>
    <row r="10" spans="1:9" ht="14.25" x14ac:dyDescent="0.2">
      <c r="A10" s="32">
        <v>2317</v>
      </c>
      <c r="B10" s="185" t="s">
        <v>891</v>
      </c>
      <c r="C10" s="276">
        <f t="shared" si="0"/>
        <v>25000</v>
      </c>
      <c r="D10" s="243"/>
      <c r="E10" s="244">
        <v>25000</v>
      </c>
      <c r="F10" s="253"/>
      <c r="G10" s="253"/>
      <c r="H10" s="253"/>
      <c r="I10" s="256"/>
    </row>
    <row r="11" spans="1:9" ht="14.25" x14ac:dyDescent="0.2">
      <c r="A11" s="32">
        <v>2321</v>
      </c>
      <c r="B11" s="185" t="s">
        <v>892</v>
      </c>
      <c r="C11" s="276">
        <f t="shared" si="0"/>
        <v>306251.89</v>
      </c>
      <c r="D11" s="244">
        <v>306251.89</v>
      </c>
      <c r="E11" s="243"/>
      <c r="F11" s="253"/>
      <c r="G11" s="253"/>
      <c r="H11" s="253"/>
      <c r="I11" s="256"/>
    </row>
    <row r="12" spans="1:9" x14ac:dyDescent="0.2">
      <c r="A12" s="32">
        <v>2400</v>
      </c>
      <c r="B12" t="s">
        <v>711</v>
      </c>
      <c r="C12" s="276">
        <f t="shared" si="0"/>
        <v>847565.54999999993</v>
      </c>
      <c r="D12" s="20">
        <f>'DOE25'!L206+'DOE25'!L224+'DOE25'!L242-F12-G12-H12</f>
        <v>833226.1</v>
      </c>
      <c r="E12" s="243"/>
      <c r="F12" s="244"/>
      <c r="G12" s="53">
        <f>'DOE25'!J206+'DOE25'!J224+'DOE25'!J242</f>
        <v>0</v>
      </c>
      <c r="H12" s="53">
        <f>'DOE25'!K206+'DOE25'!K224+'DOE25'!K242</f>
        <v>14339.45</v>
      </c>
      <c r="I12" s="256"/>
    </row>
    <row r="13" spans="1:9" x14ac:dyDescent="0.2">
      <c r="A13" s="32">
        <v>2500</v>
      </c>
      <c r="B13" t="s">
        <v>798</v>
      </c>
      <c r="C13" s="276">
        <f t="shared" si="0"/>
        <v>275716.33999999997</v>
      </c>
      <c r="D13" s="243"/>
      <c r="E13" s="20">
        <f>'DOE25'!L207+'DOE25'!L225+'DOE25'!L243-F13-G13-H13</f>
        <v>275716.33999999997</v>
      </c>
      <c r="F13" s="244"/>
      <c r="G13" s="53">
        <f>'DOE25'!J207+'DOE25'!J225+'DOE25'!J243</f>
        <v>0</v>
      </c>
      <c r="H13" s="53">
        <f>'DOE25'!K207+'DOE25'!K225+'DOE25'!K243</f>
        <v>0</v>
      </c>
      <c r="I13" s="256"/>
    </row>
    <row r="14" spans="1:9" x14ac:dyDescent="0.2">
      <c r="A14" s="32">
        <v>2600</v>
      </c>
      <c r="B14" t="s">
        <v>819</v>
      </c>
      <c r="C14" s="276">
        <f t="shared" si="0"/>
        <v>1342673.71</v>
      </c>
      <c r="D14" s="20">
        <f>'DOE25'!L208+'DOE25'!L226+'DOE25'!L244-F14-G14-H14</f>
        <v>1262127.02</v>
      </c>
      <c r="E14" s="243"/>
      <c r="F14" s="244">
        <v>1540</v>
      </c>
      <c r="G14" s="53">
        <f>'DOE25'!J208+'DOE25'!J226+'DOE25'!J244</f>
        <v>79006.69</v>
      </c>
      <c r="H14" s="53">
        <f>'DOE25'!K208+'DOE25'!K226+'DOE25'!K244</f>
        <v>0</v>
      </c>
      <c r="I14" s="256"/>
    </row>
    <row r="15" spans="1:9" x14ac:dyDescent="0.2">
      <c r="A15" s="32">
        <v>2700</v>
      </c>
      <c r="B15" t="s">
        <v>799</v>
      </c>
      <c r="C15" s="276">
        <f t="shared" si="0"/>
        <v>602039.68999999994</v>
      </c>
      <c r="D15" s="20">
        <f>'DOE25'!L209+'DOE25'!L227+'DOE25'!L245-F15-G15-H15</f>
        <v>217803.86</v>
      </c>
      <c r="E15" s="243"/>
      <c r="F15" s="244">
        <f>211799+123009.6+1890+47537.23</f>
        <v>384235.82999999996</v>
      </c>
      <c r="G15" s="53">
        <f>'DOE25'!J209+'DOE25'!J227+'DOE25'!J245</f>
        <v>0</v>
      </c>
      <c r="H15" s="53">
        <f>'DOE25'!K209+'DOE25'!K227+'DOE25'!K245</f>
        <v>0</v>
      </c>
      <c r="I15" s="256"/>
    </row>
    <row r="16" spans="1:9" x14ac:dyDescent="0.2">
      <c r="A16" s="32">
        <v>2800</v>
      </c>
      <c r="B16" t="s">
        <v>800</v>
      </c>
      <c r="C16" s="276">
        <f t="shared" si="0"/>
        <v>197067.66</v>
      </c>
      <c r="D16" s="243"/>
      <c r="E16" s="20">
        <f>'DOE25'!L210+'DOE25'!L228+'DOE25'!L246-F16-G16-H16</f>
        <v>197067.66</v>
      </c>
      <c r="F16" s="244"/>
      <c r="G16" s="53">
        <f>'DOE25'!J210+'DOE25'!J228+'DOE25'!J246</f>
        <v>0</v>
      </c>
      <c r="H16" s="53">
        <f>'DOE25'!K210+'DOE25'!K228+'DOE25'!K246</f>
        <v>0</v>
      </c>
      <c r="I16" s="256"/>
    </row>
    <row r="17" spans="1:9" x14ac:dyDescent="0.2">
      <c r="A17" s="32">
        <v>1600</v>
      </c>
      <c r="B17" t="s">
        <v>801</v>
      </c>
      <c r="C17" s="276">
        <f t="shared" si="0"/>
        <v>13737.98</v>
      </c>
      <c r="D17" s="20">
        <f>'DOE25'!L252-F17-G17-H17</f>
        <v>13737.98</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18025.099999999999</v>
      </c>
      <c r="D22" s="243"/>
      <c r="E22" s="243"/>
      <c r="F22" s="243"/>
      <c r="G22" s="53">
        <f>'DOE25'!L256+'DOE25'!L337</f>
        <v>18025.099999999999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581383.1</v>
      </c>
      <c r="D25" s="243"/>
      <c r="E25" s="243"/>
      <c r="F25" s="255"/>
      <c r="G25" s="253"/>
      <c r="H25" s="253"/>
      <c r="I25" s="254">
        <f>'DOE25'!L261+'DOE25'!L262+'DOE25'!L342+'DOE25'!L343</f>
        <v>581383.1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372212.04</v>
      </c>
      <c r="D29" s="284">
        <f>'DOE25'!L359+'DOE25'!L360+'DOE25'!L361-'DOE25'!I368-F29-G29-H29</f>
        <v>371512.04</v>
      </c>
      <c r="E29" s="243"/>
      <c r="F29" s="244"/>
      <c r="G29" s="53">
        <f>'DOE25'!J359+'DOE25'!J360+'DOE25'!J361</f>
        <v>0</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2659019.5500000003</v>
      </c>
      <c r="D31" s="20">
        <f>'DOE25'!L291+'DOE25'!L310+'DOE25'!L329+'DOE25'!L334+'DOE25'!L335+'DOE25'!L336-F31-G31-H31</f>
        <v>2121515.1700000004</v>
      </c>
      <c r="E31" s="243"/>
      <c r="F31" s="244">
        <v>52870</v>
      </c>
      <c r="G31" s="53">
        <f>'DOE25'!J291+'DOE25'!J310+'DOE25'!J329+'DOE25'!J334+'DOE25'!J335+'DOE25'!J336</f>
        <v>483033.30999999994</v>
      </c>
      <c r="H31" s="53">
        <f>'DOE25'!K291+'DOE25'!K310+'DOE25'!K329+'DOE25'!K334+'DOE25'!K335+'DOE25'!K336</f>
        <v>1601.0700000000002</v>
      </c>
      <c r="I31" s="256"/>
    </row>
    <row r="32" spans="1:9" ht="12" thickBot="1" x14ac:dyDescent="0.25">
      <c r="C32" s="277"/>
      <c r="G32" s="251"/>
      <c r="H32" s="251"/>
      <c r="I32" s="258"/>
    </row>
    <row r="33" spans="1:9" ht="12" thickTop="1" x14ac:dyDescent="0.2">
      <c r="B33" t="s">
        <v>809</v>
      </c>
      <c r="D33" s="245">
        <f t="shared" ref="D33:I33" si="1">SUM(D5:D31)</f>
        <v>14528682.309999999</v>
      </c>
      <c r="E33" s="245">
        <f t="shared" si="1"/>
        <v>519412.34999999986</v>
      </c>
      <c r="F33" s="245">
        <f t="shared" si="1"/>
        <v>908043.74</v>
      </c>
      <c r="G33" s="245">
        <f t="shared" si="1"/>
        <v>619719.40999999992</v>
      </c>
      <c r="H33" s="245">
        <f t="shared" si="1"/>
        <v>39859.519999999997</v>
      </c>
      <c r="I33" s="245">
        <f t="shared" si="1"/>
        <v>581383.1</v>
      </c>
    </row>
    <row r="35" spans="1:9" ht="12" thickBot="1" x14ac:dyDescent="0.25">
      <c r="B35" s="251" t="s">
        <v>831</v>
      </c>
      <c r="D35" s="252">
        <f>E33</f>
        <v>519412.34999999986</v>
      </c>
      <c r="E35" s="248"/>
    </row>
    <row r="36" spans="1:9" ht="12" thickTop="1" x14ac:dyDescent="0.2">
      <c r="B36" t="s">
        <v>810</v>
      </c>
      <c r="D36" s="20">
        <f>D33</f>
        <v>14528682.309999999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Franklin School District</v>
      </c>
      <c r="B2" s="126">
        <f>'DOE25'!B2</f>
        <v>185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10908802.739999998</v>
      </c>
      <c r="G4" s="303">
        <f>'DOE25'!L212+'DOE25'!L291</f>
        <v>10908802.740000002</v>
      </c>
      <c r="H4" s="337">
        <f>F4-G4</f>
        <v>0</v>
      </c>
      <c r="I4" s="309" t="str">
        <f>IF(H4=0,"","Does not match DOE25 page 7 and 11 Totals!!")</f>
        <v/>
      </c>
      <c r="N4"/>
    </row>
    <row r="5" spans="1:18" x14ac:dyDescent="0.2">
      <c r="A5" s="21" t="s">
        <v>1055</v>
      </c>
      <c r="B5" s="304">
        <f>IFERROR(VLOOKUP(A5,'School Tables'!$C$3:$D$365,2,FALSE),"")</f>
        <v>20650</v>
      </c>
      <c r="C5" s="297" t="str">
        <f>IFERROR(INDEX('School Tables'!$B$3:$B$365,MATCH('School Level Expenditures'!B5,'School Tables'!$D$3:$D$365,0)),"")</f>
        <v>Franklin</v>
      </c>
      <c r="D5" s="294">
        <f>4160283.3+630828.04</f>
        <v>4791111.34</v>
      </c>
      <c r="E5" s="294">
        <f>530163+551863.4+5978.56</f>
        <v>1088004.96</v>
      </c>
      <c r="F5" s="312">
        <f>D5+E5</f>
        <v>5879116.2999999998</v>
      </c>
      <c r="G5" s="297"/>
      <c r="H5" s="297"/>
      <c r="I5" s="126"/>
      <c r="N5"/>
    </row>
    <row r="6" spans="1:18" x14ac:dyDescent="0.2">
      <c r="A6" s="21" t="s">
        <v>1057</v>
      </c>
      <c r="B6" s="304">
        <f>IFERROR(VLOOKUP(A6,'School Tables'!$C$3:$D$365,2,FALSE),"")</f>
        <v>26755</v>
      </c>
      <c r="C6" s="297" t="str">
        <f>IFERROR(INDEX('School Tables'!$B$3:$B$365,MATCH('School Level Expenditures'!B6,'School Tables'!$D$3:$D$365,0)),"")</f>
        <v>Franklin</v>
      </c>
      <c r="D6" s="294">
        <f>3375949.92+686306.76</f>
        <v>4062256.6799999997</v>
      </c>
      <c r="E6" s="294">
        <f>360526.86+600397.51+6505.39</f>
        <v>967429.76</v>
      </c>
      <c r="F6" s="307">
        <f t="shared" ref="F6:F20" si="0">D6+E6</f>
        <v>5029686.4399999995</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5238246.66</v>
      </c>
      <c r="G36" s="303">
        <f>'DOE25'!L248+'DOE25'!L329</f>
        <v>5238246.6599999992</v>
      </c>
      <c r="H36" s="337">
        <f>F36-G36</f>
        <v>0</v>
      </c>
      <c r="I36" s="309" t="str">
        <f>IF(H36=0,"","Does not match DOE25 page 9 and 13 Totals!!")</f>
        <v/>
      </c>
      <c r="N36"/>
    </row>
    <row r="37" spans="1:14" x14ac:dyDescent="0.2">
      <c r="A37" s="21" t="s">
        <v>1056</v>
      </c>
      <c r="B37" s="304">
        <f>IFERROR(VLOOKUP(A37,'School Tables'!$O$3:$P$118,2,FALSE),"")</f>
        <v>20660</v>
      </c>
      <c r="C37" s="297" t="str">
        <f t="array" ref="C37">IFERROR(INDEX('School Tables'!$N$3:$N$118,MATCH('School Level Expenditures'!B37,'School Tables'!$P$3:$P$118,0)),"")</f>
        <v>Franklin</v>
      </c>
      <c r="D37" s="294">
        <f>4051673.83+622680.81</f>
        <v>4674354.6400000006</v>
      </c>
      <c r="E37" s="294">
        <f>563892.02</f>
        <v>563892.02</v>
      </c>
      <c r="F37" s="307">
        <f>D37+E37</f>
        <v>5238246.66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Franklin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1483937.08</v>
      </c>
      <c r="D8" s="95">
        <f>'DOE25'!G9</f>
        <v>60486.23</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-724024.55</v>
      </c>
      <c r="D12" s="95">
        <f>'DOE25'!G13</f>
        <v>49815.54</v>
      </c>
      <c r="E12" s="95">
        <f>'DOE25'!H13</f>
        <v>957972.64</v>
      </c>
      <c r="F12" s="95">
        <f>'DOE25'!I13</f>
        <v>0</v>
      </c>
      <c r="G12" s="95">
        <f>'DOE25'!J13</f>
        <v>0</v>
      </c>
      <c r="H12" s="124"/>
      <c r="I12" s="124"/>
    </row>
    <row r="13" spans="1:9" x14ac:dyDescent="0.2">
      <c r="A13" s="1" t="s">
        <v>144</v>
      </c>
      <c r="B13" s="6">
        <v>150</v>
      </c>
      <c r="C13" s="95">
        <f>'DOE25'!F14</f>
        <v>58685.26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33930.11</v>
      </c>
      <c r="E15" s="95">
        <f>'DOE25'!H16</f>
        <v>0</v>
      </c>
      <c r="F15" s="95">
        <f>'DOE25'!I16</f>
        <v>0</v>
      </c>
      <c r="G15" s="24" t="s">
        <v>288</v>
      </c>
      <c r="H15" s="124"/>
      <c r="I15" s="124"/>
    </row>
    <row r="16" spans="1:9" x14ac:dyDescent="0.2">
      <c r="A16" s="1" t="s">
        <v>147</v>
      </c>
      <c r="B16" s="6">
        <v>180</v>
      </c>
      <c r="C16" s="95">
        <f>'DOE25'!F17</f>
        <v>1974.08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820571.87</v>
      </c>
      <c r="D18" s="41">
        <f>SUM(D8:D17)</f>
        <v>144231.88</v>
      </c>
      <c r="E18" s="41">
        <f>SUM(E8:E17)</f>
        <v>957972.64</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-359865.01</v>
      </c>
      <c r="D21" s="95">
        <f>'DOE25'!G22</f>
        <v>117210.17</v>
      </c>
      <c r="E21" s="95">
        <f>'DOE25'!H22</f>
        <v>564171.87000000011</v>
      </c>
      <c r="F21" s="95">
        <f>'DOE25'!I22</f>
        <v>0</v>
      </c>
      <c r="G21" s="95">
        <f>'DOE25'!J22</f>
        <v>-321398</v>
      </c>
      <c r="H21" s="124"/>
      <c r="I21" s="124"/>
    </row>
    <row r="22" spans="1:9" x14ac:dyDescent="0.2">
      <c r="A22" s="1" t="s">
        <v>151</v>
      </c>
      <c r="B22" s="6">
        <v>410</v>
      </c>
      <c r="C22" s="95">
        <f>'DOE25'!F23</f>
        <v>318684.05</v>
      </c>
      <c r="D22" s="95">
        <f>'DOE25'!G23</f>
        <v>0</v>
      </c>
      <c r="E22" s="95">
        <f>'DOE25'!H23</f>
        <v>0</v>
      </c>
      <c r="F22" s="95">
        <f>'DOE25'!I23</f>
        <v>0</v>
      </c>
      <c r="G22" s="95">
        <f>'DOE25'!J23</f>
        <v>0</v>
      </c>
      <c r="H22" s="124"/>
      <c r="I22" s="124"/>
    </row>
    <row r="23" spans="1:9" x14ac:dyDescent="0.2">
      <c r="A23" s="1" t="s">
        <v>152</v>
      </c>
      <c r="B23" s="6">
        <v>420</v>
      </c>
      <c r="C23" s="95">
        <f>'DOE25'!F24</f>
        <v>-22.87</v>
      </c>
      <c r="D23" s="95">
        <f>'DOE25'!G24</f>
        <v>22465.759999999998</v>
      </c>
      <c r="E23" s="95">
        <f>'DOE25'!H24</f>
        <v>130242.31000000001</v>
      </c>
      <c r="F23" s="95">
        <f>'DOE25'!I24</f>
        <v>0</v>
      </c>
      <c r="G23" s="95">
        <f>'DOE25'!J24</f>
        <v>0</v>
      </c>
      <c r="H23" s="124"/>
      <c r="I23" s="124"/>
    </row>
    <row r="24" spans="1:9" x14ac:dyDescent="0.2">
      <c r="A24" s="1" t="s">
        <v>153</v>
      </c>
      <c r="B24" s="6">
        <v>430</v>
      </c>
      <c r="C24" s="95">
        <f>'DOE25'!F25</f>
        <v>228469.99</v>
      </c>
      <c r="D24" s="95">
        <f>'DOE25'!G25</f>
        <v>0</v>
      </c>
      <c r="E24" s="95">
        <f>'DOE25'!H25</f>
        <v>0</v>
      </c>
      <c r="F24" s="95">
        <f>'DOE25'!I25</f>
        <v>0</v>
      </c>
      <c r="G24" s="24" t="s">
        <v>288</v>
      </c>
      <c r="H24" s="124"/>
      <c r="I24" s="124"/>
    </row>
    <row r="25" spans="1:9" x14ac:dyDescent="0.2">
      <c r="A25" s="1" t="s">
        <v>154</v>
      </c>
      <c r="B25" s="6">
        <v>440</v>
      </c>
      <c r="C25" s="95">
        <f>'DOE25'!F26</f>
        <v>23833.18</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-86.449999999999989</v>
      </c>
      <c r="D28" s="95">
        <f>'DOE25'!G29</f>
        <v>0</v>
      </c>
      <c r="E28" s="95">
        <f>'DOE25'!H29</f>
        <v>0</v>
      </c>
      <c r="F28" s="95">
        <f>'DOE25'!I29</f>
        <v>0</v>
      </c>
      <c r="G28" s="24" t="s">
        <v>288</v>
      </c>
      <c r="H28" s="124"/>
      <c r="I28" s="124"/>
    </row>
    <row r="29" spans="1:9" x14ac:dyDescent="0.2">
      <c r="A29" s="1" t="s">
        <v>158</v>
      </c>
      <c r="B29" s="6">
        <v>480</v>
      </c>
      <c r="C29" s="95">
        <f>'DOE25'!F30</f>
        <v>29573.16</v>
      </c>
      <c r="D29" s="95">
        <f>'DOE25'!G30</f>
        <v>4555.95</v>
      </c>
      <c r="E29" s="95">
        <f>'DOE25'!H30</f>
        <v>123031.84000000001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240586.04999999996</v>
      </c>
      <c r="D31" s="41">
        <f>SUM(D21:D30)</f>
        <v>144231.88</v>
      </c>
      <c r="E31" s="41">
        <f>SUM(E21:E30)</f>
        <v>817446.02000000014</v>
      </c>
      <c r="F31" s="41">
        <f>SUM(F21:F30)</f>
        <v>0</v>
      </c>
      <c r="G31" s="41">
        <f>SUM(G21:G30)</f>
        <v>-321398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402418.25</v>
      </c>
      <c r="D47" s="95">
        <f>'DOE25'!G48</f>
        <v>0</v>
      </c>
      <c r="E47" s="95">
        <f>'DOE25'!H48</f>
        <v>140526.62000000002</v>
      </c>
      <c r="F47" s="95">
        <f>'DOE25'!I48</f>
        <v>0</v>
      </c>
      <c r="G47" s="95">
        <f>'DOE25'!J48</f>
        <v>321398</v>
      </c>
      <c r="H47" s="124"/>
      <c r="I47" s="124"/>
    </row>
    <row r="48" spans="1:9" x14ac:dyDescent="0.2">
      <c r="A48" s="1" t="s">
        <v>882</v>
      </c>
      <c r="B48" s="6">
        <v>753</v>
      </c>
      <c r="C48" s="95">
        <f>'DOE25'!F49</f>
        <v>177567.57</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579985.82000000007</v>
      </c>
      <c r="D50" s="41">
        <f>SUM(D34:D49)</f>
        <v>0</v>
      </c>
      <c r="E50" s="41">
        <f>SUM(E34:E49)</f>
        <v>140526.62000000002</v>
      </c>
      <c r="F50" s="41">
        <f>SUM(F34:F49)</f>
        <v>0</v>
      </c>
      <c r="G50" s="41">
        <f>SUM(G34:G49)</f>
        <v>321398</v>
      </c>
      <c r="H50" s="124"/>
      <c r="I50" s="124"/>
    </row>
    <row r="51" spans="1:9" ht="12" thickTop="1" x14ac:dyDescent="0.2">
      <c r="A51" s="38" t="s">
        <v>885</v>
      </c>
      <c r="B51" s="2"/>
      <c r="C51" s="41">
        <f>C50+C31</f>
        <v>820571.87</v>
      </c>
      <c r="D51" s="41">
        <f>D50+D31</f>
        <v>144231.88</v>
      </c>
      <c r="E51" s="41">
        <f>E50+E31</f>
        <v>957972.64000000013</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4359548</v>
      </c>
      <c r="D56" s="95">
        <f>'DOE25'!G60</f>
        <v>0</v>
      </c>
      <c r="E56" s="95">
        <f>'DOE25'!H60</f>
        <v>0</v>
      </c>
      <c r="F56" s="95">
        <f>'DOE25'!I60</f>
        <v>0</v>
      </c>
      <c r="G56" s="95">
        <f>'DOE25'!J60</f>
        <v>0</v>
      </c>
      <c r="H56"/>
      <c r="I56"/>
    </row>
    <row r="57" spans="1:9" x14ac:dyDescent="0.2">
      <c r="A57" s="1" t="s">
        <v>164</v>
      </c>
      <c r="B57" s="6" t="s">
        <v>165</v>
      </c>
      <c r="C57" s="95">
        <f>'DOE25'!F79</f>
        <v>17063.650000000001</v>
      </c>
      <c r="D57" s="24" t="s">
        <v>288</v>
      </c>
      <c r="E57" s="95">
        <f>'DOE25'!H79</f>
        <v>250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12150.39</v>
      </c>
      <c r="D59" s="95">
        <f>'DOE25'!G96</f>
        <v>158.79</v>
      </c>
      <c r="E59" s="95">
        <f>'DOE25'!H96</f>
        <v>0</v>
      </c>
      <c r="F59" s="95">
        <f>'DOE25'!I96</f>
        <v>0</v>
      </c>
      <c r="G59" s="95">
        <f>'DOE25'!J96</f>
        <v>0</v>
      </c>
      <c r="H59"/>
      <c r="I59"/>
    </row>
    <row r="60" spans="1:9" x14ac:dyDescent="0.2">
      <c r="A60" s="1" t="s">
        <v>170</v>
      </c>
      <c r="B60" s="118" t="s">
        <v>171</v>
      </c>
      <c r="C60" s="24" t="s">
        <v>288</v>
      </c>
      <c r="D60" s="95">
        <f>'DOE25'!G97</f>
        <v>94789.299999999974</v>
      </c>
      <c r="E60" s="24" t="s">
        <v>288</v>
      </c>
      <c r="F60" s="24" t="s">
        <v>288</v>
      </c>
      <c r="G60" s="24" t="s">
        <v>288</v>
      </c>
      <c r="H60"/>
      <c r="I60"/>
    </row>
    <row r="61" spans="1:9" ht="12" thickBot="1" x14ac:dyDescent="0.25">
      <c r="A61" s="1" t="s">
        <v>172</v>
      </c>
      <c r="B61" s="118" t="s">
        <v>173</v>
      </c>
      <c r="C61" s="95">
        <f>SUM('DOE25'!F98:F110)</f>
        <v>184526.56999999998</v>
      </c>
      <c r="D61" s="95">
        <f>SUM('DOE25'!G98:G110)</f>
        <v>0</v>
      </c>
      <c r="E61" s="95">
        <f>SUM('DOE25'!H98:H110)</f>
        <v>48094.11</v>
      </c>
      <c r="F61" s="95">
        <f>SUM('DOE25'!I98:I110)</f>
        <v>0</v>
      </c>
      <c r="G61" s="95">
        <f>SUM('DOE25'!J98:J110)</f>
        <v>0</v>
      </c>
      <c r="H61"/>
      <c r="I61"/>
    </row>
    <row r="62" spans="1:9" ht="12.75" thickTop="1" thickBot="1" x14ac:dyDescent="0.25">
      <c r="A62" s="29" t="s">
        <v>174</v>
      </c>
      <c r="B62" s="6"/>
      <c r="C62" s="130">
        <f>SUM(C57:C61)</f>
        <v>213740.61</v>
      </c>
      <c r="D62" s="130">
        <f>SUM(D57:D61)</f>
        <v>94948.089999999967</v>
      </c>
      <c r="E62" s="130">
        <f>SUM(E57:E61)</f>
        <v>48344.11</v>
      </c>
      <c r="F62" s="130">
        <f>SUM(F57:F61)</f>
        <v>0</v>
      </c>
      <c r="G62" s="130">
        <f>SUM(G57:G61)</f>
        <v>0</v>
      </c>
      <c r="H62"/>
      <c r="I62"/>
    </row>
    <row r="63" spans="1:9" ht="12" thickTop="1" x14ac:dyDescent="0.2">
      <c r="A63" s="29" t="s">
        <v>175</v>
      </c>
      <c r="B63" s="6"/>
      <c r="C63" s="22">
        <f>C56+C62</f>
        <v>4573288.6100000003</v>
      </c>
      <c r="D63" s="22">
        <f>D56+D62</f>
        <v>94948.089999999967</v>
      </c>
      <c r="E63" s="22">
        <f>E56+E62</f>
        <v>48344.11</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7687743.5899999999</v>
      </c>
      <c r="D66" s="24" t="s">
        <v>288</v>
      </c>
      <c r="E66" s="24" t="s">
        <v>288</v>
      </c>
      <c r="F66" s="24" t="s">
        <v>288</v>
      </c>
      <c r="G66" s="24" t="s">
        <v>288</v>
      </c>
      <c r="H66"/>
      <c r="I66"/>
    </row>
    <row r="67" spans="1:9" x14ac:dyDescent="0.2">
      <c r="A67" s="1" t="s">
        <v>770</v>
      </c>
      <c r="B67" s="6">
        <v>3112</v>
      </c>
      <c r="C67" s="95">
        <f>'DOE25'!F118</f>
        <v>1158237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34061.589999999997</v>
      </c>
      <c r="D69" s="95">
        <f>'DOE25'!G120</f>
        <v>0</v>
      </c>
      <c r="E69" s="95">
        <f>'DOE25'!H120</f>
        <v>0</v>
      </c>
      <c r="F69" s="95">
        <f>'DOE25'!I120</f>
        <v>0</v>
      </c>
      <c r="G69" s="95">
        <f>'DOE25'!J120</f>
        <v>0</v>
      </c>
      <c r="H69"/>
      <c r="I69"/>
    </row>
    <row r="70" spans="1:9" ht="12" thickTop="1" x14ac:dyDescent="0.2">
      <c r="A70" s="29" t="s">
        <v>252</v>
      </c>
      <c r="B70" s="2"/>
      <c r="C70" s="139">
        <f>SUM(C66:C69)</f>
        <v>8880042.1799999997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181944.16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121277.55</v>
      </c>
      <c r="D75" s="24" t="s">
        <v>288</v>
      </c>
      <c r="E75" s="24" t="s">
        <v>288</v>
      </c>
      <c r="F75" s="24" t="s">
        <v>288</v>
      </c>
      <c r="G75" s="24" t="s">
        <v>288</v>
      </c>
      <c r="H75"/>
      <c r="I75"/>
    </row>
    <row r="76" spans="1:9" x14ac:dyDescent="0.2">
      <c r="A76" s="1" t="s">
        <v>257</v>
      </c>
      <c r="B76" s="6" t="s">
        <v>179</v>
      </c>
      <c r="C76" s="95">
        <f>SUM('DOE25'!F127:F130)</f>
        <v>7598.8</v>
      </c>
      <c r="D76" s="24" t="s">
        <v>288</v>
      </c>
      <c r="E76" s="95">
        <f>SUM('DOE25'!H127:H130)</f>
        <v>7370</v>
      </c>
      <c r="F76" s="95">
        <f>SUM('DOE25'!I127:I130)</f>
        <v>0</v>
      </c>
      <c r="G76" s="24" t="s">
        <v>288</v>
      </c>
      <c r="H76"/>
      <c r="I76"/>
    </row>
    <row r="77" spans="1:9" ht="12" thickBot="1" x14ac:dyDescent="0.25">
      <c r="A77" s="1" t="s">
        <v>258</v>
      </c>
      <c r="B77" s="6" t="s">
        <v>180</v>
      </c>
      <c r="C77" s="95">
        <f>SUM('DOE25'!F131:F135)</f>
        <v>0</v>
      </c>
      <c r="D77" s="95">
        <f>SUM('DOE25'!G131:G135)</f>
        <v>8629.57</v>
      </c>
      <c r="E77" s="95">
        <f>SUM('DOE25'!H131:H135)</f>
        <v>513386.51</v>
      </c>
      <c r="F77" s="95">
        <f>SUM('DOE25'!I131:I135)</f>
        <v>0</v>
      </c>
      <c r="G77" s="95">
        <f>SUM('DOE25'!J131:J135)</f>
        <v>0</v>
      </c>
      <c r="H77"/>
      <c r="I77"/>
    </row>
    <row r="78" spans="1:9" ht="12.75" thickTop="1" thickBot="1" x14ac:dyDescent="0.25">
      <c r="A78" s="29" t="s">
        <v>259</v>
      </c>
      <c r="B78" s="6"/>
      <c r="C78" s="130">
        <f>SUM(C72:C77)</f>
        <v>310820.51</v>
      </c>
      <c r="D78" s="130">
        <f>SUM(D72:D77)</f>
        <v>8629.57</v>
      </c>
      <c r="E78" s="130">
        <f>SUM(E72:E77)</f>
        <v>520756.51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9190862.6899999995</v>
      </c>
      <c r="D81" s="130">
        <f>SUM(D79:D80)+D78+D70</f>
        <v>8629.57</v>
      </c>
      <c r="E81" s="130">
        <f>SUM(E79:E80)+E78+E70</f>
        <v>520756.51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73257.759999999995</v>
      </c>
      <c r="D88" s="341">
        <f>SUM('DOE25'!G153:G162)</f>
        <v>434226.28</v>
      </c>
      <c r="E88" s="341">
        <f>SUM('DOE25'!H153:H162)</f>
        <v>2071995.29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73257.759999999995</v>
      </c>
      <c r="D91" s="131">
        <f>SUM(D85:D90)</f>
        <v>434226.28</v>
      </c>
      <c r="E91" s="131">
        <f>SUM(E85:E90)</f>
        <v>2071995.29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53402.02</v>
      </c>
      <c r="E96" s="95">
        <f>'DOE25'!H180</f>
        <v>99761.84</v>
      </c>
      <c r="F96" s="95">
        <f>'DOE25'!I180</f>
        <v>0</v>
      </c>
      <c r="G96" s="95">
        <f>'DOE25'!J180</f>
        <v>321398</v>
      </c>
    </row>
    <row r="97" spans="1:7" x14ac:dyDescent="0.2">
      <c r="A97" t="s">
        <v>754</v>
      </c>
      <c r="B97" s="32" t="s">
        <v>188</v>
      </c>
      <c r="C97" s="95">
        <f>SUM('DOE25'!F181:F182)</f>
        <v>65371.92</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65371.92</v>
      </c>
      <c r="D103" s="86">
        <f>SUM(D93:D102)</f>
        <v>53402.02</v>
      </c>
      <c r="E103" s="86">
        <f>SUM(E93:E102)</f>
        <v>99761.84</v>
      </c>
      <c r="F103" s="86">
        <f>SUM(F93:F102)</f>
        <v>0</v>
      </c>
      <c r="G103" s="86">
        <f>SUM(G93:G102)</f>
        <v>321398</v>
      </c>
    </row>
    <row r="104" spans="1:7" ht="12.75" thickTop="1" thickBot="1" x14ac:dyDescent="0.25">
      <c r="A104" s="33" t="s">
        <v>761</v>
      </c>
      <c r="C104" s="86">
        <f>C63+C81+C91+C103</f>
        <v>13902780.98</v>
      </c>
      <c r="D104" s="86">
        <f>D63+D81+D91+D103</f>
        <v>591205.96</v>
      </c>
      <c r="E104" s="86">
        <f>E63+E81+E91+E103</f>
        <v>2740857.75</v>
      </c>
      <c r="F104" s="86">
        <f>F63+F81+F91+F103</f>
        <v>0</v>
      </c>
      <c r="G104" s="86">
        <f>G63+G81+G103</f>
        <v>321398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4658791.32</v>
      </c>
      <c r="D109" s="24" t="s">
        <v>288</v>
      </c>
      <c r="E109" s="95">
        <f>('DOE25'!L277)+('DOE25'!L296)+('DOE25'!L315)</f>
        <v>757661.24000000011</v>
      </c>
      <c r="F109" s="24" t="s">
        <v>288</v>
      </c>
      <c r="G109" s="24" t="s">
        <v>288</v>
      </c>
    </row>
    <row r="110" spans="1:7" x14ac:dyDescent="0.2">
      <c r="A110" t="s">
        <v>198</v>
      </c>
      <c r="B110" s="32" t="s">
        <v>199</v>
      </c>
      <c r="C110" s="95">
        <f>('DOE25'!L199)+('DOE25'!L217)+('DOE25'!L235)</f>
        <v>2946424</v>
      </c>
      <c r="D110" s="24" t="s">
        <v>288</v>
      </c>
      <c r="E110" s="95">
        <f>('DOE25'!L278)+('DOE25'!L297)+('DOE25'!L316)</f>
        <v>389310.21</v>
      </c>
      <c r="F110" s="24" t="s">
        <v>288</v>
      </c>
      <c r="G110" s="24" t="s">
        <v>288</v>
      </c>
    </row>
    <row r="111" spans="1:7" x14ac:dyDescent="0.2">
      <c r="A111" t="s">
        <v>200</v>
      </c>
      <c r="B111" s="32" t="s">
        <v>165</v>
      </c>
      <c r="C111" s="95">
        <f>('DOE25'!L200)+('DOE25'!L218)+('DOE25'!L236)</f>
        <v>56472.78</v>
      </c>
      <c r="D111" s="24" t="s">
        <v>288</v>
      </c>
      <c r="E111" s="95">
        <f>('DOE25'!L279)+('DOE25'!L298)+('DOE25'!L317)</f>
        <v>0</v>
      </c>
      <c r="F111" s="24" t="s">
        <v>288</v>
      </c>
      <c r="G111" s="24" t="s">
        <v>288</v>
      </c>
    </row>
    <row r="112" spans="1:7" x14ac:dyDescent="0.2">
      <c r="A112" t="s">
        <v>201</v>
      </c>
      <c r="B112" s="32" t="s">
        <v>167</v>
      </c>
      <c r="C112" s="95">
        <f>('DOE25'!L201)+('DOE25'!L219)+('DOE25'!L237)</f>
        <v>217231.53</v>
      </c>
      <c r="D112" s="24" t="s">
        <v>288</v>
      </c>
      <c r="E112" s="95">
        <f>+('DOE25'!L280)+('DOE25'!L299)+('DOE25'!L318)</f>
        <v>44494.479999999996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13737.98</v>
      </c>
      <c r="D114" s="24" t="s">
        <v>288</v>
      </c>
      <c r="E114" s="95">
        <f>+ SUM('DOE25'!L334:L336)</f>
        <v>39692.81</v>
      </c>
      <c r="F114" s="24" t="s">
        <v>288</v>
      </c>
      <c r="G114" s="24" t="s">
        <v>288</v>
      </c>
    </row>
    <row r="115" spans="1:7" ht="12.75" thickTop="1" thickBot="1" x14ac:dyDescent="0.25">
      <c r="A115" s="33" t="s">
        <v>205</v>
      </c>
      <c r="C115" s="86">
        <f>SUM(C109:C114)</f>
        <v>7892657.6100000013</v>
      </c>
      <c r="D115" s="86">
        <f>SUM(D109:D114)</f>
        <v>0</v>
      </c>
      <c r="E115" s="86">
        <f>SUM(E109:E114)</f>
        <v>1231158.7400000002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1719481.5299999998</v>
      </c>
      <c r="D118" s="24" t="s">
        <v>288</v>
      </c>
      <c r="E118" s="95">
        <f>+('DOE25'!L282)+('DOE25'!L301)+('DOE25'!L320)</f>
        <v>331353.07000000007</v>
      </c>
      <c r="F118" s="24" t="s">
        <v>288</v>
      </c>
      <c r="G118" s="24" t="s">
        <v>288</v>
      </c>
    </row>
    <row r="119" spans="1:7" x14ac:dyDescent="0.2">
      <c r="A119" t="s">
        <v>208</v>
      </c>
      <c r="B119" s="32" t="s">
        <v>209</v>
      </c>
      <c r="C119" s="95">
        <f>('DOE25'!L204)+('DOE25'!L222)+('DOE25'!L240)</f>
        <v>304090.78999999998</v>
      </c>
      <c r="D119" s="24" t="s">
        <v>288</v>
      </c>
      <c r="E119" s="95">
        <f>+('DOE25'!L283)+('DOE25'!L302)+('DOE25'!L321)</f>
        <v>163026.51</v>
      </c>
      <c r="F119" s="24" t="s">
        <v>288</v>
      </c>
      <c r="G119" s="24" t="s">
        <v>288</v>
      </c>
    </row>
    <row r="120" spans="1:7" x14ac:dyDescent="0.2">
      <c r="A120" t="s">
        <v>210</v>
      </c>
      <c r="B120" s="32" t="s">
        <v>211</v>
      </c>
      <c r="C120" s="95">
        <f>('DOE25'!L205)+('DOE25'!L223)+('DOE25'!L241)</f>
        <v>360167.75999999995</v>
      </c>
      <c r="D120" s="24" t="s">
        <v>288</v>
      </c>
      <c r="E120" s="95">
        <f>+('DOE25'!L284)+('DOE25'!L303)+('DOE25'!L322)</f>
        <v>424279.04000000004</v>
      </c>
      <c r="F120" s="24" t="s">
        <v>288</v>
      </c>
      <c r="G120" s="24" t="s">
        <v>288</v>
      </c>
    </row>
    <row r="121" spans="1:7" x14ac:dyDescent="0.2">
      <c r="A121" t="s">
        <v>212</v>
      </c>
      <c r="B121" s="32" t="s">
        <v>213</v>
      </c>
      <c r="C121" s="95">
        <f>('DOE25'!L206)+('DOE25'!L224)+('DOE25'!L242)</f>
        <v>847565.54999999993</v>
      </c>
      <c r="D121" s="24" t="s">
        <v>288</v>
      </c>
      <c r="E121" s="95">
        <f>+('DOE25'!L285)+('DOE25'!L304)+('DOE25'!L323)</f>
        <v>10390</v>
      </c>
      <c r="F121" s="24" t="s">
        <v>288</v>
      </c>
      <c r="G121" s="24" t="s">
        <v>288</v>
      </c>
    </row>
    <row r="122" spans="1:7" x14ac:dyDescent="0.2">
      <c r="A122" t="s">
        <v>214</v>
      </c>
      <c r="B122" s="32" t="s">
        <v>215</v>
      </c>
      <c r="C122" s="95">
        <f>('DOE25'!L207)+('DOE25'!L225)+('DOE25'!L243)</f>
        <v>275716.33999999997</v>
      </c>
      <c r="D122" s="24" t="s">
        <v>288</v>
      </c>
      <c r="E122" s="95">
        <f>+('DOE25'!L286)+('DOE25'!L305)+('DOE25'!L324)</f>
        <v>0</v>
      </c>
      <c r="F122" s="24" t="s">
        <v>288</v>
      </c>
      <c r="G122" s="24" t="s">
        <v>288</v>
      </c>
    </row>
    <row r="123" spans="1:7" x14ac:dyDescent="0.2">
      <c r="A123" t="s">
        <v>216</v>
      </c>
      <c r="B123" s="32" t="s">
        <v>217</v>
      </c>
      <c r="C123" s="95">
        <f>('DOE25'!L208)+('DOE25'!L226)+('DOE25'!L244)</f>
        <v>1342673.71</v>
      </c>
      <c r="D123" s="24" t="s">
        <v>288</v>
      </c>
      <c r="E123" s="95">
        <f>+('DOE25'!L287)+('DOE25'!L306)+('DOE25'!L325)</f>
        <v>480784.12</v>
      </c>
      <c r="F123" s="24" t="s">
        <v>288</v>
      </c>
      <c r="G123" s="24" t="s">
        <v>288</v>
      </c>
    </row>
    <row r="124" spans="1:7" x14ac:dyDescent="0.2">
      <c r="A124" t="s">
        <v>218</v>
      </c>
      <c r="B124" s="32" t="s">
        <v>219</v>
      </c>
      <c r="C124" s="95">
        <f>('DOE25'!L209)+('DOE25'!L227)+('DOE25'!L245+'DOE25'!L255)</f>
        <v>602039.68999999994</v>
      </c>
      <c r="D124" s="24" t="s">
        <v>288</v>
      </c>
      <c r="E124" s="95">
        <f>+('DOE25'!L288)+('DOE25'!L307)+('DOE25'!L326)</f>
        <v>18028.07</v>
      </c>
      <c r="F124" s="24" t="s">
        <v>288</v>
      </c>
      <c r="G124" s="24" t="s">
        <v>288</v>
      </c>
    </row>
    <row r="125" spans="1:7" x14ac:dyDescent="0.2">
      <c r="A125" t="s">
        <v>220</v>
      </c>
      <c r="B125" s="32" t="s">
        <v>221</v>
      </c>
      <c r="C125" s="95">
        <f>('DOE25'!L210)+('DOE25'!L228)+('DOE25'!L246)</f>
        <v>197067.66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591205.96</v>
      </c>
      <c r="E127" s="24" t="s">
        <v>288</v>
      </c>
      <c r="F127" s="24" t="s">
        <v>288</v>
      </c>
      <c r="G127" s="24" t="s">
        <v>288</v>
      </c>
    </row>
    <row r="128" spans="1:7" ht="12.75" thickTop="1" thickBot="1" x14ac:dyDescent="0.25">
      <c r="A128" s="33" t="s">
        <v>226</v>
      </c>
      <c r="C128" s="86">
        <f>SUM(C118:C127)</f>
        <v>5648803.0299999993</v>
      </c>
      <c r="D128" s="86">
        <f>SUM(D118:D127)</f>
        <v>591205.96</v>
      </c>
      <c r="E128" s="86">
        <f>SUM(E118:E127)</f>
        <v>1427860.8100000003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18025.099999999999</v>
      </c>
      <c r="F130" s="129">
        <f>SUM('DOE25'!L375:'DOE25'!L381)</f>
        <v>158101.1</v>
      </c>
      <c r="G130" s="24" t="s">
        <v>288</v>
      </c>
    </row>
    <row r="131" spans="1:7" x14ac:dyDescent="0.2">
      <c r="A131" t="s">
        <v>229</v>
      </c>
      <c r="B131" s="32">
        <v>5110</v>
      </c>
      <c r="C131" s="95">
        <f>'DOE25'!L261</f>
        <v>463198.26</v>
      </c>
      <c r="D131" s="24" t="s">
        <v>288</v>
      </c>
      <c r="E131" s="129">
        <f>'DOE25'!L342</f>
        <v>0</v>
      </c>
      <c r="F131" s="24" t="s">
        <v>288</v>
      </c>
      <c r="G131" s="24" t="s">
        <v>288</v>
      </c>
    </row>
    <row r="132" spans="1:7" x14ac:dyDescent="0.2">
      <c r="A132" t="s">
        <v>230</v>
      </c>
      <c r="B132" s="32">
        <v>5120</v>
      </c>
      <c r="C132" s="95">
        <f>'DOE25'!L262</f>
        <v>118184.84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62932.79</v>
      </c>
      <c r="F134" s="95">
        <f>'DOE25'!K382</f>
        <v>0</v>
      </c>
      <c r="G134" s="95">
        <f>'DOE25'!K435</f>
        <v>0</v>
      </c>
    </row>
    <row r="135" spans="1:7" x14ac:dyDescent="0.2">
      <c r="A135" t="s">
        <v>233</v>
      </c>
      <c r="B135" s="32" t="s">
        <v>234</v>
      </c>
      <c r="C135" s="95">
        <f>'DOE25'!L264</f>
        <v>53402.02</v>
      </c>
      <c r="D135" s="24" t="s">
        <v>288</v>
      </c>
      <c r="E135" s="129">
        <f>'DOE25'!L346</f>
        <v>0</v>
      </c>
      <c r="F135" s="24" t="s">
        <v>288</v>
      </c>
      <c r="G135" s="24" t="s">
        <v>288</v>
      </c>
    </row>
    <row r="136" spans="1:7" x14ac:dyDescent="0.2">
      <c r="A136" t="s">
        <v>235</v>
      </c>
      <c r="B136" s="32" t="s">
        <v>236</v>
      </c>
      <c r="C136" s="95">
        <f>'DOE25'!L265</f>
        <v>99761.84</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321398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1055944.96</v>
      </c>
      <c r="D144" s="141">
        <f>SUM(D130:D143)</f>
        <v>0</v>
      </c>
      <c r="E144" s="141">
        <f>SUM(E130:E143)</f>
        <v>80957.89</v>
      </c>
      <c r="F144" s="141">
        <f>SUM(F130:F143)</f>
        <v>158101.1</v>
      </c>
      <c r="G144" s="141">
        <f>SUM(G130:G143)</f>
        <v>0</v>
      </c>
    </row>
    <row r="145" spans="1:9" ht="12.75" thickTop="1" thickBot="1" x14ac:dyDescent="0.25">
      <c r="A145" s="33" t="s">
        <v>244</v>
      </c>
      <c r="C145" s="86">
        <f>(C115+C128+C144)</f>
        <v>14597405.600000001</v>
      </c>
      <c r="D145" s="86">
        <f>(D115+D128+D144)</f>
        <v>591205.96</v>
      </c>
      <c r="E145" s="86">
        <f>(E115+E128+E144)</f>
        <v>2739977.4400000009</v>
      </c>
      <c r="F145" s="86">
        <f>(F115+F128+F144)</f>
        <v>158101.1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0</v>
      </c>
      <c r="F151" s="153">
        <f>'DOE25'!J491</f>
        <v>0</v>
      </c>
      <c r="G151" s="24" t="s">
        <v>288</v>
      </c>
    </row>
    <row r="152" spans="1:9" x14ac:dyDescent="0.2">
      <c r="A152" s="136" t="s">
        <v>28</v>
      </c>
      <c r="B152" s="152" t="str">
        <f>'DOE25'!F492</f>
        <v>8/99</v>
      </c>
      <c r="C152" s="152" t="str">
        <f>'DOE25'!G492</f>
        <v>05/06</v>
      </c>
      <c r="D152" s="152" t="str">
        <f>'DOE25'!H492</f>
        <v>08/19</v>
      </c>
      <c r="E152" s="152">
        <f>'DOE25'!I492</f>
        <v>0</v>
      </c>
      <c r="F152" s="152">
        <f>'DOE25'!J492</f>
        <v>0</v>
      </c>
      <c r="G152" s="24" t="s">
        <v>288</v>
      </c>
    </row>
    <row r="153" spans="1:9" x14ac:dyDescent="0.2">
      <c r="A153" s="136" t="s">
        <v>29</v>
      </c>
      <c r="B153" s="152" t="str">
        <f>'DOE25'!F493</f>
        <v>08/19</v>
      </c>
      <c r="C153" s="152" t="str">
        <f>'DOE25'!G493</f>
        <v>05/26</v>
      </c>
      <c r="D153" s="152" t="str">
        <f>'DOE25'!H493</f>
        <v>08/39</v>
      </c>
      <c r="E153" s="152">
        <f>'DOE25'!I493</f>
        <v>0</v>
      </c>
      <c r="F153" s="152">
        <f>'DOE25'!J493</f>
        <v>0</v>
      </c>
      <c r="G153" s="24" t="s">
        <v>288</v>
      </c>
    </row>
    <row r="154" spans="1:9" x14ac:dyDescent="0.2">
      <c r="A154" s="136" t="s">
        <v>30</v>
      </c>
      <c r="B154" s="137">
        <f>'DOE25'!F494</f>
        <v>5010376.2</v>
      </c>
      <c r="C154" s="137">
        <f>'DOE25'!G494</f>
        <v>2700000</v>
      </c>
      <c r="D154" s="137">
        <f>'DOE25'!H494</f>
        <v>2000000</v>
      </c>
      <c r="E154" s="137">
        <f>'DOE25'!I494</f>
        <v>0</v>
      </c>
      <c r="F154" s="137">
        <f>'DOE25'!J494</f>
        <v>0</v>
      </c>
      <c r="G154" s="24" t="s">
        <v>288</v>
      </c>
    </row>
    <row r="155" spans="1:9" x14ac:dyDescent="0.2">
      <c r="A155" s="136" t="s">
        <v>31</v>
      </c>
      <c r="B155" s="137">
        <f>'DOE25'!F495</f>
        <v>5.2</v>
      </c>
      <c r="C155" s="137">
        <f>'DOE25'!G495</f>
        <v>4.26</v>
      </c>
      <c r="D155" s="137">
        <f>'DOE25'!H495</f>
        <v>3.55</v>
      </c>
      <c r="E155" s="137">
        <f>'DOE25'!I495</f>
        <v>0</v>
      </c>
      <c r="F155" s="137">
        <f>'DOE25'!J495</f>
        <v>0</v>
      </c>
      <c r="G155" s="24" t="s">
        <v>288</v>
      </c>
    </row>
    <row r="156" spans="1:9" x14ac:dyDescent="0.2">
      <c r="A156" s="22" t="s">
        <v>32</v>
      </c>
      <c r="B156" s="137">
        <f>'DOE25'!F496</f>
        <v>250000</v>
      </c>
      <c r="C156" s="137">
        <f>'DOE25'!G496</f>
        <v>1154551.93</v>
      </c>
      <c r="D156" s="137">
        <f>'DOE25'!H496</f>
        <v>2000000</v>
      </c>
      <c r="E156" s="137">
        <f>'DOE25'!I496</f>
        <v>0</v>
      </c>
      <c r="F156" s="137">
        <f>'DOE25'!J496</f>
        <v>0</v>
      </c>
      <c r="G156" s="138">
        <f>SUM(B156:F156)</f>
        <v>3404551.9299999997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250000</v>
      </c>
      <c r="C158" s="137">
        <f>'DOE25'!G498</f>
        <v>142105.26</v>
      </c>
      <c r="D158" s="137">
        <f>'DOE25'!H498</f>
        <v>71093</v>
      </c>
      <c r="E158" s="137">
        <f>'DOE25'!I498</f>
        <v>0</v>
      </c>
      <c r="F158" s="137">
        <f>'DOE25'!J498</f>
        <v>0</v>
      </c>
      <c r="G158" s="138">
        <f t="shared" si="0"/>
        <v>463198.26</v>
      </c>
    </row>
    <row r="159" spans="1:9" x14ac:dyDescent="0.2">
      <c r="A159" s="22" t="s">
        <v>35</v>
      </c>
      <c r="B159" s="137">
        <f>'DOE25'!F499</f>
        <v>0</v>
      </c>
      <c r="C159" s="137">
        <f>'DOE25'!G499</f>
        <v>1012446.67</v>
      </c>
      <c r="D159" s="137">
        <f>'DOE25'!H499</f>
        <v>1928907</v>
      </c>
      <c r="E159" s="137">
        <f>'DOE25'!I499</f>
        <v>0</v>
      </c>
      <c r="F159" s="137">
        <f>'DOE25'!J499</f>
        <v>0</v>
      </c>
      <c r="G159" s="138">
        <f t="shared" si="0"/>
        <v>2941353.67</v>
      </c>
    </row>
    <row r="160" spans="1:9" x14ac:dyDescent="0.2">
      <c r="A160" s="22" t="s">
        <v>36</v>
      </c>
      <c r="B160" s="137">
        <f>'DOE25'!F500</f>
        <v>0</v>
      </c>
      <c r="C160" s="137">
        <f>'DOE25'!G500</f>
        <v>119384.66</v>
      </c>
      <c r="D160" s="137">
        <f>'DOE25'!H500</f>
        <v>766076.56</v>
      </c>
      <c r="E160" s="137">
        <f>'DOE25'!I500</f>
        <v>0</v>
      </c>
      <c r="F160" s="137">
        <f>'DOE25'!J500</f>
        <v>0</v>
      </c>
      <c r="G160" s="138">
        <f t="shared" si="0"/>
        <v>885461.22000000009</v>
      </c>
    </row>
    <row r="161" spans="1:7" x14ac:dyDescent="0.2">
      <c r="A161" s="22" t="s">
        <v>37</v>
      </c>
      <c r="B161" s="137">
        <f>'DOE25'!F501</f>
        <v>0</v>
      </c>
      <c r="C161" s="137">
        <f>'DOE25'!G501</f>
        <v>1131831.33</v>
      </c>
      <c r="D161" s="137">
        <f>'DOE25'!H501</f>
        <v>2694983.56</v>
      </c>
      <c r="E161" s="137">
        <f>'DOE25'!I501</f>
        <v>0</v>
      </c>
      <c r="F161" s="137">
        <f>'DOE25'!J501</f>
        <v>0</v>
      </c>
      <c r="G161" s="138">
        <f t="shared" si="0"/>
        <v>3826814.89</v>
      </c>
    </row>
    <row r="162" spans="1:7" x14ac:dyDescent="0.2">
      <c r="A162" s="22" t="s">
        <v>38</v>
      </c>
      <c r="B162" s="137">
        <f>'DOE25'!F502</f>
        <v>0</v>
      </c>
      <c r="C162" s="137">
        <f>'DOE25'!G502</f>
        <v>142105.26</v>
      </c>
      <c r="D162" s="137">
        <f>'DOE25'!H502</f>
        <v>72436.25</v>
      </c>
      <c r="E162" s="137">
        <f>'DOE25'!I502</f>
        <v>0</v>
      </c>
      <c r="F162" s="137">
        <f>'DOE25'!J502</f>
        <v>0</v>
      </c>
      <c r="G162" s="138">
        <f t="shared" si="0"/>
        <v>214541.51</v>
      </c>
    </row>
    <row r="163" spans="1:7" x14ac:dyDescent="0.2">
      <c r="A163" s="22" t="s">
        <v>39</v>
      </c>
      <c r="B163" s="137">
        <f>'DOE25'!F503</f>
        <v>0</v>
      </c>
      <c r="C163" s="137">
        <f>'DOE25'!G503</f>
        <v>35054</v>
      </c>
      <c r="D163" s="137">
        <f>'DOE25'!H503</f>
        <v>69456.75</v>
      </c>
      <c r="E163" s="137">
        <f>'DOE25'!I503</f>
        <v>0</v>
      </c>
      <c r="F163" s="137">
        <f>'DOE25'!J503</f>
        <v>0</v>
      </c>
      <c r="G163" s="138">
        <f t="shared" si="0"/>
        <v>104510.75</v>
      </c>
    </row>
    <row r="164" spans="1:7" x14ac:dyDescent="0.2">
      <c r="A164" s="22" t="s">
        <v>246</v>
      </c>
      <c r="B164" s="137">
        <f>'DOE25'!F504</f>
        <v>0</v>
      </c>
      <c r="C164" s="137">
        <f>'DOE25'!G504</f>
        <v>177159.26</v>
      </c>
      <c r="D164" s="137">
        <f>'DOE25'!H504</f>
        <v>141893</v>
      </c>
      <c r="E164" s="137">
        <f>'DOE25'!I504</f>
        <v>0</v>
      </c>
      <c r="F164" s="137">
        <f>'DOE25'!J504</f>
        <v>0</v>
      </c>
      <c r="G164" s="138">
        <f t="shared" si="0"/>
        <v>319052.26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Franklin School District</v>
      </c>
    </row>
    <row r="3" spans="1:4" x14ac:dyDescent="0.2">
      <c r="B3" s="188" t="s">
        <v>1587</v>
      </c>
    </row>
    <row r="4" spans="1:4" x14ac:dyDescent="0.2">
      <c r="B4" t="s">
        <v>61</v>
      </c>
      <c r="C4" s="179">
        <f>IF('DOE25'!F666+'DOE25'!F671=0,0,ROUND('DOE25'!F673,0))</f>
        <v>14774</v>
      </c>
    </row>
    <row r="5" spans="1:4" x14ac:dyDescent="0.2">
      <c r="B5" t="s">
        <v>700</v>
      </c>
      <c r="C5" s="179">
        <f>IF('DOE25'!G666+'DOE25'!G671=0,0,ROUND('DOE25'!G673,0))</f>
        <v>0</v>
      </c>
    </row>
    <row r="6" spans="1:4" x14ac:dyDescent="0.2">
      <c r="B6" t="s">
        <v>62</v>
      </c>
      <c r="C6" s="179">
        <f>IF('DOE25'!H666+'DOE25'!H671=0,0,ROUND('DOE25'!H673,0))</f>
        <v>18716</v>
      </c>
    </row>
    <row r="7" spans="1:4" x14ac:dyDescent="0.2">
      <c r="B7" t="s">
        <v>701</v>
      </c>
      <c r="C7" s="179">
        <f>IF('DOE25'!I666+'DOE25'!I671=0,0,ROUND('DOE25'!I673,0))</f>
        <v>15836</v>
      </c>
    </row>
    <row r="9" spans="1:4" x14ac:dyDescent="0.2">
      <c r="A9" s="187" t="s">
        <v>94</v>
      </c>
      <c r="B9" s="188" t="s">
        <v>1588</v>
      </c>
      <c r="C9" s="181" t="s">
        <v>720</v>
      </c>
      <c r="D9" s="181" t="s">
        <v>721</v>
      </c>
    </row>
    <row r="10" spans="1:4" x14ac:dyDescent="0.2">
      <c r="A10">
        <v>1100</v>
      </c>
      <c r="B10" t="s">
        <v>702</v>
      </c>
      <c r="C10" s="179">
        <f>ROUND('DOE25'!L198+'DOE25'!L216+'DOE25'!L234+'DOE25'!L277+'DOE25'!L296+'DOE25'!L315,0)</f>
        <v>5416453</v>
      </c>
      <c r="D10" s="182">
        <f>ROUND((C10/$C$28)*100,1)</f>
        <v>32.200000000000003</v>
      </c>
    </row>
    <row r="11" spans="1:4" x14ac:dyDescent="0.2">
      <c r="A11">
        <v>1200</v>
      </c>
      <c r="B11" t="s">
        <v>703</v>
      </c>
      <c r="C11" s="179">
        <f>ROUND('DOE25'!L199+'DOE25'!L217+'DOE25'!L235+'DOE25'!L278+'DOE25'!L297+'DOE25'!L316,0)</f>
        <v>3335734</v>
      </c>
      <c r="D11" s="182">
        <f>ROUND((C11/$C$28)*100,1)</f>
        <v>19.8</v>
      </c>
    </row>
    <row r="12" spans="1:4" x14ac:dyDescent="0.2">
      <c r="A12">
        <v>1300</v>
      </c>
      <c r="B12" t="s">
        <v>704</v>
      </c>
      <c r="C12" s="179">
        <f>ROUND('DOE25'!L200+'DOE25'!L218+'DOE25'!L236+'DOE25'!L279+'DOE25'!L298+'DOE25'!L317,0)</f>
        <v>56473</v>
      </c>
      <c r="D12" s="182">
        <f>ROUND((C12/$C$28)*100,1)</f>
        <v>0.3</v>
      </c>
    </row>
    <row r="13" spans="1:4" x14ac:dyDescent="0.2">
      <c r="A13">
        <v>1400</v>
      </c>
      <c r="B13" t="s">
        <v>705</v>
      </c>
      <c r="C13" s="179">
        <f>ROUND('DOE25'!L201+'DOE25'!L219+'DOE25'!L237+'DOE25'!L280+'DOE25'!L299+'DOE25'!L318,0)</f>
        <v>261726</v>
      </c>
      <c r="D13" s="182">
        <f>ROUND((C13/$C$28)*100,1)</f>
        <v>1.6</v>
      </c>
    </row>
    <row r="14" spans="1:4" x14ac:dyDescent="0.2">
      <c r="D14" s="182"/>
    </row>
    <row r="15" spans="1:4" x14ac:dyDescent="0.2">
      <c r="A15">
        <v>2100</v>
      </c>
      <c r="B15" t="s">
        <v>706</v>
      </c>
      <c r="C15" s="179">
        <f>ROUND('DOE25'!L203+'DOE25'!L221+'DOE25'!L239+'DOE25'!L282+'DOE25'!L301+'DOE25'!L320,0)</f>
        <v>2050835</v>
      </c>
      <c r="D15" s="182">
        <f t="shared" ref="D15:D27" si="0">ROUND((C15/$C$28)*100,1)</f>
        <v>12.2</v>
      </c>
    </row>
    <row r="16" spans="1:4" x14ac:dyDescent="0.2">
      <c r="A16">
        <v>2200</v>
      </c>
      <c r="B16" t="s">
        <v>707</v>
      </c>
      <c r="C16" s="179">
        <f>ROUND('DOE25'!L204+'DOE25'!L222+'DOE25'!L240+'DOE25'!L283+'DOE25'!L302+'DOE25'!L321,0)</f>
        <v>467117</v>
      </c>
      <c r="D16" s="182">
        <f t="shared" si="0"/>
        <v>2.8</v>
      </c>
    </row>
    <row r="17" spans="1:4" x14ac:dyDescent="0.2">
      <c r="A17" s="183" t="s">
        <v>723</v>
      </c>
      <c r="B17" t="s">
        <v>738</v>
      </c>
      <c r="C17" s="179">
        <f>ROUND('DOE25'!L205+'DOE25'!L210+'DOE25'!L223+'DOE25'!L228+'DOE25'!L241+'DOE25'!L246+'DOE25'!L284+'DOE25'!L289+'DOE25'!L303+'DOE25'!L308+'DOE25'!L322+'DOE25'!L327,0)</f>
        <v>981514</v>
      </c>
      <c r="D17" s="182">
        <f t="shared" si="0"/>
        <v>5.8</v>
      </c>
    </row>
    <row r="18" spans="1:4" x14ac:dyDescent="0.2">
      <c r="A18">
        <v>2400</v>
      </c>
      <c r="B18" t="s">
        <v>711</v>
      </c>
      <c r="C18" s="179">
        <f>ROUND('DOE25'!L206+'DOE25'!L224+'DOE25'!L242+'DOE25'!L285+'DOE25'!L304+'DOE25'!L323,0)</f>
        <v>857956</v>
      </c>
      <c r="D18" s="182">
        <f t="shared" si="0"/>
        <v>5.0999999999999996</v>
      </c>
    </row>
    <row r="19" spans="1:4" x14ac:dyDescent="0.2">
      <c r="A19">
        <v>2500</v>
      </c>
      <c r="B19" t="s">
        <v>708</v>
      </c>
      <c r="C19" s="179">
        <f>ROUND('DOE25'!L207+'DOE25'!L225+'DOE25'!L243+'DOE25'!L286+'DOE25'!L305+'DOE25'!L324,0)</f>
        <v>275716</v>
      </c>
      <c r="D19" s="182">
        <f t="shared" si="0"/>
        <v>1.6</v>
      </c>
    </row>
    <row r="20" spans="1:4" x14ac:dyDescent="0.2">
      <c r="A20">
        <v>2600</v>
      </c>
      <c r="B20" t="s">
        <v>709</v>
      </c>
      <c r="C20" s="179">
        <f>ROUND('DOE25'!L208+'DOE25'!L226+'DOE25'!L244+'DOE25'!L287+'DOE25'!L306+'DOE25'!L325,0)</f>
        <v>1823458</v>
      </c>
      <c r="D20" s="182">
        <f t="shared" si="0"/>
        <v>10.8</v>
      </c>
    </row>
    <row r="21" spans="1:4" x14ac:dyDescent="0.2">
      <c r="A21">
        <v>2700</v>
      </c>
      <c r="B21" t="s">
        <v>710</v>
      </c>
      <c r="C21" s="179">
        <f>ROUND('DOE25'!L209+'DOE25'!L227+'DOE25'!L245+'DOE25'!L288+'DOE25'!L307+'DOE25'!L326,0)</f>
        <v>620068</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53431</v>
      </c>
      <c r="D24" s="182">
        <f t="shared" si="0"/>
        <v>0.3</v>
      </c>
    </row>
    <row r="25" spans="1:4" x14ac:dyDescent="0.2">
      <c r="A25">
        <v>5120</v>
      </c>
      <c r="B25" t="s">
        <v>716</v>
      </c>
      <c r="C25" s="179">
        <f>ROUND('DOE25'!L262+'DOE25'!L343,0)</f>
        <v>118185</v>
      </c>
      <c r="D25" s="182">
        <f t="shared" si="0"/>
        <v>0.7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496416.7</v>
      </c>
      <c r="D27" s="182">
        <f t="shared" si="0"/>
        <v>3</v>
      </c>
    </row>
    <row r="28" spans="1:4" x14ac:dyDescent="0.2">
      <c r="B28" s="187" t="s">
        <v>719</v>
      </c>
      <c r="C28" s="180">
        <f>SUM(C10:C27)</f>
        <v>16815082.699999999</v>
      </c>
      <c r="D28" s="184">
        <f>ROUND(SUM(D10:D27),0)</f>
        <v>100</v>
      </c>
    </row>
    <row r="29" spans="1:4" x14ac:dyDescent="0.2">
      <c r="A29">
        <v>4000</v>
      </c>
      <c r="B29" t="s">
        <v>724</v>
      </c>
      <c r="C29" s="179">
        <f>ROUND('DOE25'!L256+'DOE25'!L337+'DOE25'!L375+'DOE25'!L376+'DOE25'!L377+'DOE25'!L378+'DOE25'!L379+'DOE25'!L380+'DOE25'!L381,0)</f>
        <v>176126</v>
      </c>
    </row>
    <row r="30" spans="1:4" x14ac:dyDescent="0.2">
      <c r="B30" s="187" t="s">
        <v>725</v>
      </c>
      <c r="C30" s="180">
        <f>SUM(C28:C29)</f>
        <v>16991208.699999999</v>
      </c>
    </row>
    <row r="31" spans="1:4" x14ac:dyDescent="0.2">
      <c r="B31" s="33"/>
      <c r="C31" s="180"/>
    </row>
    <row r="32" spans="1:4" x14ac:dyDescent="0.2">
      <c r="A32">
        <v>5100</v>
      </c>
      <c r="B32" s="33" t="s">
        <v>726</v>
      </c>
      <c r="C32" s="180">
        <f>ROUND('DOE25'!L261+'DOE25'!L342,0)</f>
        <v>463198</v>
      </c>
    </row>
    <row r="34" spans="1:4" x14ac:dyDescent="0.2">
      <c r="A34" s="187" t="s">
        <v>94</v>
      </c>
      <c r="B34" s="188" t="s">
        <v>1589</v>
      </c>
      <c r="C34" s="181" t="s">
        <v>720</v>
      </c>
      <c r="D34" s="181" t="s">
        <v>721</v>
      </c>
    </row>
    <row r="35" spans="1:4" x14ac:dyDescent="0.2">
      <c r="A35">
        <v>1100</v>
      </c>
      <c r="B35" s="185" t="s">
        <v>727</v>
      </c>
      <c r="C35" s="179">
        <f>ROUND('DOE25'!F60+'DOE25'!G60+'DOE25'!H60+'DOE25'!I60+'DOE25'!J60,0)</f>
        <v>4359548</v>
      </c>
      <c r="D35" s="182">
        <f t="shared" ref="D35:D40" si="1">ROUND((C35/$C$41)*100,1)</f>
        <v>25.8</v>
      </c>
    </row>
    <row r="36" spans="1:4" x14ac:dyDescent="0.2">
      <c r="B36" s="185" t="s">
        <v>739</v>
      </c>
      <c r="C36" s="179">
        <f>SUM('DOE25'!F112:J112)-SUM('DOE25'!G97:G110)+('DOE25'!F175+'DOE25'!F176+'DOE25'!I175+'DOE25'!I176)-C35</f>
        <v>262243.51000000071</v>
      </c>
      <c r="D36" s="182">
        <f t="shared" si="1"/>
        <v>1.5</v>
      </c>
    </row>
    <row r="37" spans="1:4" x14ac:dyDescent="0.2">
      <c r="A37" s="183" t="s">
        <v>835</v>
      </c>
      <c r="B37" s="185" t="s">
        <v>728</v>
      </c>
      <c r="C37" s="179">
        <f>ROUND('DOE25'!F117+'DOE25'!F118,0)</f>
        <v>8845981</v>
      </c>
      <c r="D37" s="182">
        <f t="shared" si="1"/>
        <v>52.3</v>
      </c>
    </row>
    <row r="38" spans="1:4" x14ac:dyDescent="0.2">
      <c r="A38" s="183" t="s">
        <v>734</v>
      </c>
      <c r="B38" s="185" t="s">
        <v>729</v>
      </c>
      <c r="C38" s="179">
        <f>ROUND(SUM('DOE25'!F140:J140)-SUM('DOE25'!F117:F119),0)</f>
        <v>874268</v>
      </c>
      <c r="D38" s="182">
        <f t="shared" si="1"/>
        <v>5.2</v>
      </c>
    </row>
    <row r="39" spans="1:4" x14ac:dyDescent="0.2">
      <c r="A39">
        <v>4000</v>
      </c>
      <c r="B39" s="185" t="s">
        <v>730</v>
      </c>
      <c r="C39" s="179">
        <f>ROUND('DOE25'!F170+'DOE25'!G170+'DOE25'!H170+'DOE25'!I170,0)</f>
        <v>2579479</v>
      </c>
      <c r="D39" s="182">
        <f t="shared" si="1"/>
        <v>15.2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16921519.510000002</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Franklin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v>5</v>
      </c>
      <c r="B4" s="219">
        <v>14</v>
      </c>
      <c r="C4" s="355" t="s">
        <v>1648</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t="s">
        <v>1649</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t="s">
        <v>1650</v>
      </c>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t="s">
        <v>1651</v>
      </c>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v>3</v>
      </c>
      <c r="B9" s="219">
        <v>24</v>
      </c>
      <c r="C9" s="355" t="s">
        <v>1652</v>
      </c>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2020-10-09T17:01:48Z</cp:lastPrinted>
  <dcterms:created xsi:type="dcterms:W3CDTF">1997-12-04T19:04:30Z</dcterms:created>
  <dcterms:modified xsi:type="dcterms:W3CDTF">2020-12-11T14:58:24Z</dcterms:modified>
</cp:coreProperties>
</file>