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10" i="12" l="1"/>
  <c r="H583" i="1" l="1"/>
  <c r="B37" i="12" l="1"/>
  <c r="B39" i="12"/>
  <c r="B20" i="12"/>
  <c r="B19" i="12"/>
  <c r="B21" i="12"/>
  <c r="H605" i="1" l="1"/>
  <c r="J469" i="1"/>
  <c r="H580" i="1" l="1"/>
  <c r="H576" i="1"/>
  <c r="I359" i="1" l="1"/>
  <c r="H234" i="1" l="1"/>
  <c r="H256" i="1"/>
  <c r="H245" i="1"/>
  <c r="H209" i="1"/>
  <c r="H203" i="1"/>
  <c r="H199" i="1"/>
  <c r="H235" i="1"/>
  <c r="K203" i="1" l="1"/>
  <c r="K205" i="1"/>
  <c r="I204" i="1"/>
  <c r="I205" i="1"/>
  <c r="I203" i="1"/>
  <c r="H205" i="1"/>
  <c r="H204" i="1"/>
  <c r="G205" i="1"/>
  <c r="G204" i="1"/>
  <c r="G203" i="1"/>
  <c r="F205" i="1"/>
  <c r="F204" i="1"/>
  <c r="F203" i="1"/>
  <c r="H159" i="1" l="1"/>
  <c r="H155" i="1"/>
  <c r="H154" i="1"/>
  <c r="G14" i="1" l="1"/>
  <c r="F12" i="1"/>
  <c r="F2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3" i="14"/>
  <c r="C17" i="14"/>
  <c r="B6" i="14"/>
  <c r="C6" i="14" s="1"/>
  <c r="B7" i="14"/>
  <c r="C7" i="14" s="1"/>
  <c r="B8" i="14"/>
  <c r="C8" i="14" s="1"/>
  <c r="B9" i="14"/>
  <c r="B10" i="14"/>
  <c r="C10" i="14" s="1"/>
  <c r="B11" i="14"/>
  <c r="C11" i="14" s="1"/>
  <c r="B12" i="14"/>
  <c r="C12" i="14" s="1"/>
  <c r="B13" i="14"/>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E110" i="2" s="1"/>
  <c r="L317" i="1"/>
  <c r="L318" i="1"/>
  <c r="L320" i="1"/>
  <c r="L321" i="1"/>
  <c r="L322" i="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c r="G147" i="1"/>
  <c r="H147" i="1"/>
  <c r="H170" i="1" s="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3"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G653" i="1"/>
  <c r="H653" i="1"/>
  <c r="G654" i="1"/>
  <c r="H654" i="1"/>
  <c r="G655" i="1"/>
  <c r="H655" i="1"/>
  <c r="H656" i="1"/>
  <c r="J656" i="1" s="1"/>
  <c r="A40" i="12"/>
  <c r="G62" i="2"/>
  <c r="I170" i="1"/>
  <c r="J140" i="1"/>
  <c r="J258" i="1" l="1"/>
  <c r="C91" i="2"/>
  <c r="H112" i="1"/>
  <c r="E112" i="2"/>
  <c r="G339" i="1"/>
  <c r="G353" i="1" s="1"/>
  <c r="F258" i="1"/>
  <c r="H140" i="1"/>
  <c r="E119" i="2"/>
  <c r="C112" i="2"/>
  <c r="G646" i="1"/>
  <c r="J652" i="1"/>
  <c r="G553" i="1"/>
  <c r="H477" i="1"/>
  <c r="H625" i="1" s="1"/>
  <c r="G477" i="1"/>
  <c r="H409" i="1"/>
  <c r="H645" i="1" s="1"/>
  <c r="G409" i="1"/>
  <c r="H646" i="1" s="1"/>
  <c r="L402" i="1"/>
  <c r="C139" i="2" s="1"/>
  <c r="G662" i="1"/>
  <c r="K339" i="1"/>
  <c r="K353" i="1" s="1"/>
  <c r="H663" i="1"/>
  <c r="C11" i="10"/>
  <c r="C110" i="2"/>
  <c r="D6" i="13"/>
  <c r="C6" i="13" s="1"/>
  <c r="C120" i="2"/>
  <c r="C13" i="10"/>
  <c r="C20" i="10"/>
  <c r="C121" i="2"/>
  <c r="D50" i="2"/>
  <c r="F339" i="1"/>
  <c r="F353" i="1" s="1"/>
  <c r="J642" i="1"/>
  <c r="L561" i="1"/>
  <c r="J625"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L572" i="1" l="1"/>
  <c r="C141" i="2"/>
  <c r="H649" i="1"/>
  <c r="J649" i="1" s="1"/>
  <c r="H661" i="1"/>
  <c r="F661" i="1"/>
  <c r="F665" i="1" s="1"/>
  <c r="F668" i="1" s="1"/>
  <c r="E145" i="2"/>
  <c r="I663" i="1"/>
  <c r="H665" i="1"/>
  <c r="H668" i="1" s="1"/>
  <c r="G36" i="14"/>
  <c r="H36" i="14" s="1"/>
  <c r="I36" i="14" s="1"/>
  <c r="C81" i="2"/>
  <c r="F194" i="1"/>
  <c r="G628" i="1" s="1"/>
  <c r="J628" i="1" s="1"/>
  <c r="E51" i="2"/>
  <c r="D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<sst xmlns="http://schemas.openxmlformats.org/spreadsheetml/2006/main" count="5551" uniqueCount="1646">
  <si>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</si>
  <si>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</si>
  <si>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</si>
  <si>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</si>
  <si>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</si>
  <si>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</si>
  <si>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</si>
  <si>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</si>
  <si>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</si>
  <si>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</si>
  <si>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</si>
  <si>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</si>
  <si>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</si>
  <si>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</si>
  <si>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</si>
  <si>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</si>
  <si>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</si>
  <si>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</si>
  <si>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</si>
  <si>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</si>
  <si>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</si>
  <si>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</si>
  <si>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</si>
  <si>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</si>
  <si>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</si>
  <si>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</si>
  <si>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</si>
  <si>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</si>
  <si>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</si>
  <si>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</si>
  <si>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</si>
  <si>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</si>
  <si>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</si>
  <si>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</si>
  <si>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</si>
  <si>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</si>
  <si>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</si>
  <si>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</si>
  <si>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</si>
  <si>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</si>
  <si>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</si>
  <si>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</si>
  <si>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</si>
  <si>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</si>
  <si>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</si>
  <si>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</si>
  <si>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</si>
  <si>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</si>
  <si>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</si>
  <si>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</si>
  <si>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</si>
  <si>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</si>
  <si>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</si>
  <si>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</si>
  <si>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</si>
  <si>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</si>
  <si>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</si>
  <si>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</si>
  <si>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</si>
  <si>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</si>
  <si>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</si>
  <si>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</si>
  <si>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</si>
  <si>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</si>
  <si>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</si>
  <si>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</si>
  <si>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</si>
  <si>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</si>
  <si>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</si>
  <si>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</si>
  <si>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</si>
  <si>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</si>
  <si>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</si>
  <si>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</si>
  <si>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</si>
  <si>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</si>
  <si>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</si>
  <si>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</si>
  <si>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</si>
  <si>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</si>
  <si>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</si>
  <si>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</si>
  <si>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</si>
  <si>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</si>
  <si>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</si>
  <si>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</si>
  <si>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</si>
  <si>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</si>
  <si>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</si>
  <si>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</si>
  <si>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</si>
  <si>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</si>
  <si>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</si>
  <si>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</si>
  <si>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</si>
  <si>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</si>
  <si>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</si>
  <si>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</si>
  <si>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</si>
  <si>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</si>
  <si>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</si>
  <si>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</si>
  <si>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</si>
  <si>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</si>
  <si>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</si>
  <si>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</si>
  <si>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</si>
  <si>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</si>
  <si>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</si>
  <si>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</si>
  <si>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</si>
  <si>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</si>
  <si>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</si>
  <si>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</si>
  <si>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</si>
  <si>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</si>
  <si>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</si>
  <si>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</si>
  <si>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</si>
  <si>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</si>
  <si>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</si>
  <si>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</si>
  <si>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</si>
  <si>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</si>
  <si>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</si>
  <si>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</si>
  <si>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</si>
  <si>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</si>
  <si>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</si>
  <si>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</si>
  <si>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</si>
  <si>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</si>
  <si>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</si>
  <si>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</si>
  <si>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</si>
  <si>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</si>
  <si>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</si>
  <si>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</si>
  <si>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</si>
  <si>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</si>
  <si>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</si>
  <si>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</si>
  <si>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</si>
  <si>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</si>
  <si>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</si>
  <si>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</si>
  <si>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</si>
  <si>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</si>
  <si>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</si>
  <si>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</si>
  <si>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</si>
  <si>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</si>
  <si>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</si>
  <si>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</si>
  <si>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</si>
  <si>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</si>
  <si>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</si>
  <si>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</si>
  <si>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</si>
  <si>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</si>
  <si>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</si>
  <si>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</si>
  <si>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</si>
  <si>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</si>
  <si>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</si>
  <si>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</si>
  <si>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</si>
  <si>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</si>
  <si>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</si>
  <si>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</si>
  <si>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</si>
  <si>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</si>
  <si>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</si>
  <si>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</si>
  <si>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</si>
  <si>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</si>
  <si>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</si>
  <si>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</si>
  <si>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</si>
  <si>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</si>
  <si>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</si>
  <si>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</si>
  <si>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</si>
  <si>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</si>
  <si>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</si>
  <si>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</si>
  <si>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</si>
  <si>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</si>
  <si>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</si>
  <si>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</si>
  <si>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</si>
  <si>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</si>
  <si>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</si>
  <si>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</si>
  <si>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</si>
  <si>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</si>
  <si>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</si>
  <si>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</si>
  <si>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</si>
  <si>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</si>
  <si>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</si>
  <si>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</si>
  <si>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</si>
  <si>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</si>
  <si>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</si>
  <si>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</si>
  <si>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</si>
  <si>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</si>
  <si>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</si>
  <si>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</si>
  <si>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</si>
  <si>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</si>
  <si>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</si>
  <si>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</si>
  <si>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</si>
  <si>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</si>
  <si>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</si>
  <si>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</si>
  <si>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</si>
  <si>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</si>
  <si>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</si>
  <si>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</si>
  <si>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</si>
  <si>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</si>
  <si>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</si>
  <si>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</si>
  <si>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</si>
  <si>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</si>
  <si>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</si>
  <si>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</si>
  <si>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</si>
  <si>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</si>
  <si>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</si>
  <si>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</si>
  <si>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</si>
  <si>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</si>
  <si>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</si>
  <si>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</si>
  <si>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</si>
  <si>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</si>
  <si>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</si>
  <si>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</si>
  <si>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</si>
  <si>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</si>
  <si>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</si>
  <si>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</si>
  <si>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</si>
  <si>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</si>
  <si>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</si>
  <si>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</si>
  <si>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</si>
  <si>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</si>
  <si>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</si>
  <si>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</si>
  <si>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</si>
  <si>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</si>
  <si>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</si>
  <si>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</si>
  <si>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</si>
  <si>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</si>
  <si>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</si>
  <si>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</si>
  <si>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</si>
  <si>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</si>
  <si>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</si>
  <si>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</si>
  <si>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</si>
  <si>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</si>
  <si>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</si>
  <si>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</si>
  <si>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</si>
  <si>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</si>
  <si>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</si>
  <si>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</si>
  <si>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</si>
  <si>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</si>
  <si>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</si>
  <si>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</si>
  <si>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</si>
  <si>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</si>
  <si>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</si>
  <si>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</si>
  <si>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</si>
  <si>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</si>
  <si>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</si>
  <si>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</si>
  <si>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</si>
  <si>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</si>
  <si>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</si>
  <si>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</si>
  <si>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</si>
  <si>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</si>
  <si>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</si>
  <si>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</si>
  <si>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</si>
  <si>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</si>
  <si>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</si>
  <si>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</si>
  <si>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</si>
  <si>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</si>
  <si>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</si>
  <si>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</si>
  <si>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</si>
  <si>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</si>
  <si>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</si>
  <si>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</si>
  <si>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</si>
  <si>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</si>
  <si>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</si>
  <si>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</si>
  <si>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</si>
  <si>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</si>
  <si>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</si>
  <si>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</si>
  <si>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</si>
  <si>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</si>
  <si>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</si>
  <si>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</si>
  <si>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</si>
  <si>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</si>
  <si>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</si>
  <si>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</si>
  <si>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</si>
  <si>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</si>
  <si>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</si>
  <si>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</si>
  <si>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</si>
  <si>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</si>
  <si>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</si>
  <si>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</si>
  <si>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</si>
  <si>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</si>
  <si>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</si>
  <si>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</si>
  <si>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</si>
  <si>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</si>
  <si>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</si>
  <si>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</si>
  <si>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</si>
  <si>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</si>
  <si>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</si>
  <si>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</si>
  <si>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</si>
  <si>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</si>
  <si>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</si>
  <si>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</si>
  <si>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</si>
  <si>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</si>
  <si>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</si>
  <si>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</si>
  <si>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</si>
  <si>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</si>
  <si>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</si>
  <si>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</si>
  <si>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</si>
  <si>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</si>
  <si>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</si>
  <si>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</si>
  <si>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</si>
  <si>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</si>
  <si>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</si>
  <si>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</si>
  <si>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</si>
  <si>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</si>
  <si>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</si>
  <si>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</si>
  <si>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</si>
  <si>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</si>
  <si>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</si>
  <si>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</si>
  <si>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</si>
  <si>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</si>
  <si>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</si>
  <si>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</si>
  <si>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</si>
  <si>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</si>
  <si>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</si>
  <si>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</si>
  <si>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</si>
  <si>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</si>
  <si>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</si>
  <si>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</si>
  <si>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</si>
  <si>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</si>
  <si>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</si>
  <si>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</si>
  <si>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</si>
  <si>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</si>
  <si>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</si>
  <si>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</si>
  <si>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</si>
  <si>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</si>
  <si>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</si>
  <si>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</si>
  <si>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</si>
  <si>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</si>
  <si>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</si>
  <si>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</si>
  <si>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</si>
  <si>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</si>
  <si>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</si>
  <si>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</si>
  <si>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</si>
  <si>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</si>
  <si>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</si>
  <si>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</si>
  <si>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</si>
  <si>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</si>
  <si>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</si>
  <si>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</si>
  <si>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</si>
  <si>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</si>
  <si>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</si>
  <si>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</si>
  <si>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</si>
  <si>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</si>
  <si>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</si>
  <si>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</si>
  <si>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</si>
  <si>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</si>
  <si>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</si>
  <si>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</si>
  <si>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</si>
  <si>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</si>
  <si>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</si>
  <si>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</si>
  <si>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</si>
  <si>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</si>
  <si>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</si>
  <si>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</si>
  <si>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</si>
  <si>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</si>
  <si>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</si>
  <si>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</si>
  <si>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</si>
  <si>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</si>
  <si>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</si>
  <si>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</si>
  <si>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</si>
  <si>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</si>
  <si>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</si>
  <si>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</si>
  <si>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</si>
  <si>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</si>
  <si>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</si>
  <si>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</si>
  <si>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</si>
  <si>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</si>
  <si>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</si>
  <si>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</si>
  <si>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</si>
  <si>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</si>
  <si>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</si>
  <si>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</si>
  <si>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</si>
  <si>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</si>
  <si>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</si>
  <si>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</si>
  <si>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</si>
  <si>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</si>
  <si>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</si>
  <si>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</si>
  <si>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</si>
  <si>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</si>
  <si>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</si>
  <si>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</si>
  <si>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</si>
  <si>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</si>
  <si>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</si>
  <si>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</si>
  <si>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</si>
  <si>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</si>
  <si>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</si>
  <si>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</si>
  <si>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</si>
  <si>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</si>
  <si>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</si>
  <si>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</si>
  <si>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</si>
  <si>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</si>
  <si>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</si>
  <si>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</si>
  <si>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</si>
  <si>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</si>
  <si>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</si>
  <si>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</si>
  <si>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</si>
  <si>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</si>
  <si>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</si>
  <si>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</si>
  <si>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</si>
  <si>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</si>
  <si>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</si>
  <si>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</si>
  <si>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</si>
  <si>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</si>
  <si>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</si>
  <si>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</si>
  <si>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</si>
  <si>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</si>
  <si>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</si>
  <si>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</si>
  <si>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</si>
  <si>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</si>
  <si>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</si>
  <si>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</si>
  <si>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</si>
  <si>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</si>
  <si>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</si>
  <si>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</si>
  <si>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</si>
  <si>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</si>
  <si>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</si>
  <si>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</si>
  <si>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</si>
  <si>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</si>
  <si>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</si>
  <si>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</si>
  <si>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</si>
  <si>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</si>
  <si>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</si>
  <si>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</si>
  <si>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</si>
  <si>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</si>
  <si>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</si>
  <si>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</si>
  <si>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</si>
  <si>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</si>
  <si>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</si>
  <si>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</si>
  <si>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</si>
  <si>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</si>
  <si>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</si>
  <si>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</si>
  <si>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</si>
  <si>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</si>
  <si>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</si>
  <si>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</si>
  <si>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</si>
  <si>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</si>
  <si>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</si>
  <si>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</si>
  <si>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</si>
  <si>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</si>
  <si>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</si>
  <si>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</si>
  <si>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</si>
  <si>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</si>
  <si>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</si>
  <si>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</si>
  <si>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</si>
  <si>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</si>
  <si>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</si>
  <si>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</si>
  <si>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</si>
  <si>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</si>
  <si>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</si>
  <si>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</si>
  <si>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</si>
  <si>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</si>
  <si>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</si>
  <si>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</si>
  <si>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</si>
  <si>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</si>
  <si>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</si>
  <si>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</si>
  <si>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</si>
  <si>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</si>
  <si>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</si>
  <si>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</si>
  <si>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</si>
  <si>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</si>
  <si>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</si>
  <si>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</si>
  <si>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</si>
  <si>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</si>
  <si>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</si>
  <si>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</si>
  <si>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</si>
  <si>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</si>
  <si>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</si>
  <si>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</si>
  <si>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</si>
  <si>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</si>
  <si>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</si>
  <si>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</si>
  <si>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</si>
  <si>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</si>
  <si>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</si>
  <si>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</si>
  <si>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</si>
  <si>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</si>
  <si>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</si>
  <si>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</si>
  <si>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</si>
  <si>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</si>
  <si>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</si>
  <si>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</si>
  <si>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</si>
  <si>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</si>
  <si>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</si>
  <si>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</si>
  <si>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</si>
  <si>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</si>
  <si>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</si>
  <si>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</si>
  <si>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</si>
  <si>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</si>
  <si>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</si>
  <si>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</si>
  <si>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</si>
  <si>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</si>
  <si>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</si>
  <si>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</si>
  <si>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</si>
  <si>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</si>
  <si>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</si>
  <si>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</si>
  <si>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</si>
  <si>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</si>
  <si>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</si>
  <si>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</si>
  <si>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</si>
  <si>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</si>
  <si>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</si>
  <si>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</si>
  <si>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</si>
  <si>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</si>
  <si>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</si>
  <si>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</si>
  <si>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</si>
  <si>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</si>
  <si>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</si>
  <si>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</si>
  <si>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</si>
  <si>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</si>
  <si>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</si>
  <si>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</si>
  <si>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</si>
  <si>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</si>
  <si>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</si>
  <si>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</si>
  <si>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</si>
  <si>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</si>
  <si>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</si>
  <si>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</si>
  <si>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</si>
  <si>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</si>
  <si>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</si>
  <si>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</si>
  <si>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</si>
  <si>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</si>
  <si>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</si>
  <si>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</si>
  <si>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</si>
  <si>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</si>
  <si>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</si>
  <si>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</si>
  <si>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</si>
  <si>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</si>
  <si>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</si>
  <si>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</si>
  <si>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</si>
  <si>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</si>
  <si>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</si>
  <si>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</si>
  <si>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</si>
  <si>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</si>
  <si>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</si>
  <si>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</si>
  <si>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</si>
  <si>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</si>
  <si>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</si>
  <si>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</si>
  <si>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</si>
  <si>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</si>
  <si>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</si>
  <si>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</si>
  <si>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</si>
  <si>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</si>
  <si>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</si>
  <si>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</si>
  <si>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</si>
  <si>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</si>
  <si>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</si>
  <si>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</si>
  <si>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</si>
  <si>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</si>
  <si>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</si>
  <si>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</si>
  <si>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</si>
  <si>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</si>
  <si>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</si>
  <si>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</si>
  <si>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</si>
  <si>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</si>
  <si>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</si>
  <si>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</si>
  <si>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</si>
  <si>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</si>
  <si>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</si>
  <si>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</si>
  <si>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</si>
  <si>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</si>
  <si>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</si>
  <si>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</si>
  <si>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</si>
  <si>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</si>
  <si>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</si>
  <si>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</si>
  <si>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</si>
  <si>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</si>
  <si>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</si>
  <si>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</si>
  <si>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</si>
  <si>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</si>
  <si>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</si>
  <si>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</si>
  <si>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</si>
  <si>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</si>
  <si>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</si>
  <si>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</si>
  <si>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</si>
  <si>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</si>
  <si>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</si>
  <si>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</si>
  <si>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</si>
  <si>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</si>
  <si>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</si>
  <si>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</si>
  <si>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</si>
  <si>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</si>
  <si>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</si>
  <si>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</si>
  <si>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</si>
  <si>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</si>
  <si>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</si>
  <si>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</si>
  <si>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</si>
  <si>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</si>
  <si>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</si>
  <si>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</si>
  <si>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</si>
  <si>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</si>
  <si>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</si>
  <si>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</si>
  <si>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</si>
  <si>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</si>
  <si>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</si>
  <si>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</si>
  <si>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</si>
  <si>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</si>
  <si>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</si>
  <si>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</si>
  <si>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</si>
  <si>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</si>
  <si>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</si>
  <si>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</si>
  <si>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</si>
  <si>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</si>
  <si>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</si>
  <si>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</si>
  <si>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</si>
  <si>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</si>
  <si>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</si>
  <si>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</si>
  <si>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</si>
  <si>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</si>
  <si>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</si>
  <si>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</si>
  <si>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</si>
  <si>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</si>
  <si>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</si>
  <si>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</si>
  <si>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</si>
  <si>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</si>
  <si>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</si>
  <si>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</si>
  <si>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</si>
  <si>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</si>
  <si>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</si>
  <si>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</si>
  <si>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</si>
  <si>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</si>
  <si>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</si>
  <si>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</si>
  <si>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</si>
  <si>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</si>
  <si>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</si>
  <si>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</si>
  <si>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</si>
  <si>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</si>
  <si>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</si>
  <si>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</si>
  <si>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</si>
  <si>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</si>
  <si>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</si>
  <si>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</si>
  <si>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</si>
  <si>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</si>
  <si>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</si>
  <si>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</si>
  <si>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</si>
  <si>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</si>
  <si>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</si>
  <si>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</si>
  <si>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</si>
  <si>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</si>
  <si>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</si>
  <si>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</si>
  <si>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</si>
  <si>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</si>
  <si>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</si>
  <si>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</si>
  <si>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</si>
  <si>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</si>
  <si>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</si>
  <si>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</si>
  <si>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</si>
  <si>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</si>
  <si>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</si>
  <si>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</si>
  <si>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</si>
  <si>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</si>
  <si>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</si>
  <si>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</si>
  <si>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</si>
  <si>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</si>
  <si>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</si>
  <si>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</si>
  <si>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</si>
  <si>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</si>
  <si>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</si>
  <si>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</si>
  <si>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</si>
  <si>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</si>
  <si>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</si>
  <si>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</si>
  <si>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</si>
  <si>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</si>
  <si>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</si>
  <si>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</si>
  <si>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</si>
  <si>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</si>
  <si>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</si>
  <si>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</si>
  <si>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</si>
  <si>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</si>
  <si>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</si>
  <si>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</si>
  <si>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</si>
  <si>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</si>
  <si>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</si>
  <si>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</si>
  <si>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</si>
  <si>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</si>
  <si>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</si>
  <si>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</si>
  <si>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</si>
  <si>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</si>
  <si>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</si>
  <si>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</si>
  <si>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</si>
  <si>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</si>
  <si>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</si>
  <si>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</si>
  <si>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</si>
  <si>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</si>
  <si>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</si>
  <si>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</si>
  <si>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</si>
  <si>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</si>
  <si>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</si>
  <si>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</si>
  <si>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</si>
  <si>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</si>
  <si>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</si>
  <si>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</si>
  <si>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</si>
  <si>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</si>
  <si>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</si>
  <si>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</si>
  <si>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</si>
  <si>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</si>
  <si>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</si>
  <si>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</si>
  <si>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</si>
  <si>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</si>
  <si>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</si>
  <si>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</si>
  <si>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</si>
  <si>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</si>
  <si>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</si>
  <si>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</si>
  <si>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</si>
  <si>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</si>
  <si>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</si>
  <si>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</si>
  <si>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</si>
  <si>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</si>
  <si>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</si>
  <si>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</si>
  <si>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</si>
  <si>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</si>
  <si>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</si>
  <si>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</si>
  <si>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</si>
  <si>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</si>
  <si>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</si>
  <si>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</si>
  <si>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</si>
  <si>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</si>
  <si>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</si>
  <si>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</si>
  <si>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</si>
  <si>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</si>
  <si>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</si>
  <si>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</si>
  <si>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</si>
  <si>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</si>
  <si>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</si>
  <si>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</si>
  <si>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</si>
  <si>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</si>
  <si>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</si>
  <si>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</si>
  <si>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</si>
  <si>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</si>
  <si>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</si>
  <si>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</si>
  <si>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</si>
  <si>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</si>
  <si>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</si>
  <si>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</si>
  <si>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</si>
  <si>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</si>
  <si>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</si>
  <si>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</si>
  <si>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</si>
  <si>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</si>
  <si>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</si>
  <si>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</si>
  <si>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</si>
  <si>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</si>
  <si>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</si>
  <si>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</si>
  <si>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</si>
  <si>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</si>
  <si>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</si>
  <si>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</si>
  <si>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</si>
  <si>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</si>
  <si>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</si>
  <si>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</si>
  <si>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</si>
  <si>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</si>
  <si>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</si>
  <si>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</si>
  <si>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</si>
  <si>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</si>
  <si>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</si>
  <si>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</si>
  <si>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</si>
  <si>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</si>
  <si>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</si>
  <si>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</si>
  <si>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</si>
  <si>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</si>
  <si>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</si>
  <si>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</si>
  <si>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</si>
  <si>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</si>
  <si>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</si>
  <si>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</si>
  <si>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</si>
  <si>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</si>
  <si>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</si>
  <si>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</si>
  <si>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</si>
  <si>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</si>
  <si>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</si>
  <si>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</si>
  <si>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</si>
  <si>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</si>
  <si>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</si>
  <si>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</si>
  <si>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</si>
  <si>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</si>
  <si>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</si>
  <si>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</si>
  <si>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</si>
  <si>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</si>
  <si>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</si>
  <si>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</si>
  <si>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</si>
  <si>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</si>
  <si>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</si>
  <si>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</si>
  <si>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</si>
  <si>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</si>
  <si>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</si>
  <si>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</si>
  <si>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</si>
  <si>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</si>
  <si>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</si>
  <si>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</si>
  <si>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</si>
  <si>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</si>
  <si>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</si>
  <si>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</si>
  <si>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</si>
  <si>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</si>
  <si>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</si>
  <si>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</si>
  <si>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</si>
  <si>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</si>
  <si>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</si>
  <si>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</si>
  <si>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</si>
  <si>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</si>
  <si>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</si>
  <si>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</si>
  <si>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</si>
  <si>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</si>
  <si>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</si>
  <si>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</si>
  <si>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</si>
  <si>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</si>
  <si>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</si>
  <si>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</si>
  <si>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</si>
  <si>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</si>
  <si>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</si>
  <si>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</si>
  <si>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</si>
  <si>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</si>
  <si>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</si>
  <si>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</si>
  <si>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</si>
  <si>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</si>
  <si>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</si>
  <si>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</si>
  <si>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</si>
  <si>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</si>
  <si>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</si>
  <si>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</si>
  <si>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</si>
  <si>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</si>
  <si>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</si>
  <si>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</si>
  <si>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</si>
  <si>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</si>
  <si>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</si>
  <si>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</si>
  <si>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</si>
  <si>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</si>
  <si>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</si>
  <si>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</si>
  <si>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</si>
  <si>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</si>
  <si>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</si>
  <si>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</si>
  <si>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</si>
  <si>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</si>
  <si>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</si>
  <si>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</si>
  <si>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</si>
  <si>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</si>
  <si>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</si>
  <si>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</si>
  <si>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</si>
  <si>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</si>
  <si>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</si>
  <si>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</si>
  <si>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</si>
  <si>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</si>
  <si>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</si>
  <si>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</si>
  <si>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</si>
  <si>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</si>
  <si>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</si>
  <si>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</si>
  <si>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</si>
  <si>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</si>
  <si>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</si>
  <si>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</si>
  <si>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</si>
  <si>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</si>
  <si>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</si>
  <si>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</si>
  <si>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</si>
  <si>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</si>
  <si>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</si>
  <si>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</si>
  <si>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</si>
  <si>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</si>
  <si>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</si>
  <si>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</si>
  <si>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</si>
  <si>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</si>
  <si>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</si>
  <si>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</si>
  <si>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</si>
  <si>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</si>
  <si>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</si>
  <si>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</si>
  <si>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</si>
  <si>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</si>
  <si>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</si>
  <si>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</si>
  <si>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</si>
  <si>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</si>
  <si>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</si>
  <si>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</si>
  <si>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</si>
  <si>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</si>
  <si>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</si>
  <si>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</si>
  <si>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</si>
  <si>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</si>
  <si>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</si>
  <si>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</si>
  <si>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</si>
  <si>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</si>
  <si>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</si>
  <si>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</si>
  <si>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</si>
  <si>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</si>
  <si>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</si>
  <si>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</si>
  <si>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</si>
  <si>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</si>
  <si>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</si>
  <si>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</si>
  <si>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</si>
  <si>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</si>
  <si>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</si>
  <si>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</si>
  <si>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</si>
  <si>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</si>
  <si>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</si>
  <si>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</si>
  <si>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</si>
  <si>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</si>
  <si>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</si>
  <si>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</si>
  <si>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</si>
  <si>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</si>
  <si>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</si>
  <si>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</si>
  <si>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</si>
  <si>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</si>
  <si>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</si>
  <si>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</si>
  <si>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</si>
  <si>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</si>
  <si>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</si>
  <si>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</si>
  <si>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</si>
  <si>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</si>
  <si>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</si>
  <si>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</si>
  <si>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</si>
  <si>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</si>
  <si>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</si>
  <si>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</si>
  <si>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</si>
  <si>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</si>
  <si>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</si>
  <si>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</si>
  <si>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</si>
  <si>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</si>
  <si>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</si>
  <si>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</si>
  <si>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</si>
  <si>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</si>
  <si>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</si>
  <si>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</si>
  <si>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</si>
  <si>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</si>
  <si>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</si>
  <si>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</si>
  <si>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</si>
  <si>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</si>
  <si>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</si>
  <si>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</si>
  <si>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</si>
  <si>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</si>
  <si>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</si>
  <si>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</si>
  <si>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</si>
  <si>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</si>
  <si>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</si>
  <si>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</si>
  <si>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</si>
  <si>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</si>
  <si>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</si>
  <si>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</si>
  <si>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</si>
  <si>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</si>
  <si>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</si>
  <si>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</si>
  <si>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</si>
  <si>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</si>
  <si>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</si>
  <si>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</si>
  <si>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</si>
  <si>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</si>
  <si>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</si>
  <si>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</si>
  <si>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</si>
  <si>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</si>
  <si>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</si>
  <si>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</si>
  <si>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</si>
  <si>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</si>
  <si>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</si>
  <si>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</si>
  <si>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</si>
  <si>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</si>
  <si>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</si>
  <si>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</si>
  <si>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</si>
  <si>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</si>
  <si>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</si>
  <si>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</si>
  <si>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</si>
  <si>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</si>
  <si>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</si>
  <si>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</si>
  <si>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</si>
  <si>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</si>
  <si>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</si>
  <si>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</si>
  <si>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</si>
  <si>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</si>
  <si>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</si>
  <si>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</si>
  <si>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</si>
  <si>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</si>
  <si>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</si>
  <si>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</si>
  <si>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</si>
  <si>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</si>
  <si>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</si>
  <si>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</si>
  <si>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</si>
  <si>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</si>
  <si>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</si>
  <si>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</si>
  <si>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</si>
  <si>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</si>
  <si>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</si>
  <si>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</si>
  <si>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</si>
  <si>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</si>
  <si>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</si>
  <si>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</si>
  <si>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</si>
  <si>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</si>
  <si>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</si>
  <si>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</si>
  <si>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</si>
  <si>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</si>
  <si>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</si>
  <si>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</si>
  <si>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</si>
  <si>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</si>
  <si>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</si>
  <si>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</si>
  <si>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</si>
  <si>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</si>
  <si>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</si>
  <si>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</si>
  <si>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</si>
  <si>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</si>
  <si>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</si>
  <si>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</si>
  <si>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</si>
  <si>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</si>
  <si>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</si>
  <si>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</si>
  <si>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</si>
  <si>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</si>
  <si>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</si>
  <si>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</si>
  <si>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</si>
  <si>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</si>
  <si>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</si>
  <si>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</si>
  <si>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</si>
  <si>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</si>
  <si>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</si>
  <si>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</si>
  <si>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</si>
  <si>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</si>
  <si>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</si>
  <si>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</si>
  <si>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</si>
  <si>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</si>
  <si>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</si>
  <si>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</si>
  <si>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</si>
  <si>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</si>
  <si>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</si>
  <si>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</si>
  <si>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</si>
  <si>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</si>
  <si>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</si>
  <si>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</si>
  <si>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</si>
  <si>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</si>
  <si>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</si>
  <si>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</si>
  <si>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</si>
  <si>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</si>
  <si>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</si>
  <si>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</si>
  <si>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</si>
  <si>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</si>
  <si>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</si>
  <si>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</si>
  <si>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</si>
  <si>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</si>
  <si>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</si>
  <si>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</si>
  <si>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</si>
  <si>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</si>
  <si>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</si>
  <si>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</si>
  <si>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</si>
  <si>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</si>
  <si>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</si>
  <si>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</si>
  <si>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</si>
  <si>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</si>
  <si>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</si>
  <si>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</si>
  <si>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</si>
  <si>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</si>
  <si>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</si>
  <si>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</si>
  <si>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</si>
  <si>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</si>
  <si>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</si>
  <si>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</si>
  <si>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</si>
  <si>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</si>
  <si>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</si>
  <si>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</si>
  <si>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</si>
  <si>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</si>
  <si>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</si>
  <si>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</si>
  <si>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</si>
  <si>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</si>
  <si>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</si>
  <si>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</si>
  <si>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</si>
  <si>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</si>
  <si>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</si>
  <si>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</si>
  <si>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</si>
  <si>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</si>
  <si>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</si>
  <si>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</si>
  <si>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</si>
  <si>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</si>
  <si>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</si>
  <si>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</si>
  <si>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</si>
  <si>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</si>
  <si>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</si>
  <si>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</si>
  <si>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</si>
  <si>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</si>
  <si>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</si>
  <si>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</si>
  <si>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</si>
  <si>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</si>
  <si>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</si>
  <si>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</si>
  <si>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</si>
  <si>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</si>
  <si>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</si>
  <si>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</si>
  <si>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</si>
  <si>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</si>
  <si>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</si>
  <si>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</si>
  <si>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</si>
  <si>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</si>
  <si>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</si>
  <si>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</si>
  <si>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</si>
  <si>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</si>
  <si>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</si>
  <si>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</si>
  <si>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</si>
  <si>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</si>
  <si>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</si>
  <si>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</si>
  <si>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</si>
  <si>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</si>
  <si>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</si>
  <si>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</si>
  <si>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</si>
  <si>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</si>
  <si>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</si>
  <si>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</si>
  <si>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</si>
  <si>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</si>
  <si>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</si>
  <si>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</si>
  <si>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</si>
  <si>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</si>
  <si>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</si>
  <si>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</si>
  <si>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</si>
  <si>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</si>
  <si>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</si>
  <si>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</si>
  <si>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</si>
  <si>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</si>
  <si>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</si>
  <si>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</si>
  <si>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</si>
  <si>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</si>
  <si>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</si>
  <si>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</si>
  <si>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</si>
  <si>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</si>
  <si>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</si>
  <si>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</si>
  <si>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</si>
  <si>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</si>
  <si>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</si>
  <si>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</si>
  <si>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</si>
  <si>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</si>
  <si>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</si>
  <si>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</si>
  <si>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</si>
  <si>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</si>
  <si>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</si>
  <si>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</si>
  <si>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</si>
  <si>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</si>
  <si>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</si>
  <si>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</si>
  <si>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</si>
  <si>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</si>
  <si>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</si>
  <si>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</si>
  <si>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</si>
  <si>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</si>
  <si>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</si>
  <si>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</si>
  <si>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</si>
  <si>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</si>
  <si>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</si>
  <si>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</si>
  <si>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</si>
  <si>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</si>
  <si>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</si>
  <si>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</si>
  <si>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</si>
  <si>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</si>
  <si>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</si>
  <si>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</si>
  <si>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</si>
  <si>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</si>
  <si>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</si>
  <si>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</si>
  <si>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</si>
  <si>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</si>
  <si>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</si>
  <si>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</si>
  <si>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</si>
  <si>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</si>
  <si>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</si>
  <si>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</si>
  <si>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</si>
  <si>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</si>
  <si>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</si>
  <si>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</si>
  <si>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</si>
  <si>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</si>
  <si>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</si>
  <si>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</si>
  <si>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</si>
  <si>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</si>
  <si>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</si>
  <si>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</si>
  <si>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</si>
  <si>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</si>
  <si>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</si>
  <si>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</si>
  <si>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</si>
  <si>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</si>
  <si>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</si>
  <si>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</si>
  <si>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</si>
  <si>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</si>
  <si>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</si>
  <si>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</si>
  <si>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</si>
  <si>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</si>
  <si>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</si>
  <si>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</si>
  <si>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</si>
  <si>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</si>
  <si>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</si>
  <si>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</si>
  <si>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</si>
  <si>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</si>
  <si>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</si>
  <si>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</si>
  <si>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</si>
  <si>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</si>
  <si>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</si>
  <si>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</si>
  <si>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</si>
  <si>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</si>
  <si>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</si>
  <si>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</si>
  <si>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</si>
  <si>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</si>
  <si>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</si>
  <si>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</si>
  <si>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</si>
  <si>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</si>
  <si>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</si>
  <si>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</si>
  <si>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</si>
  <si>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</si>
  <si>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</si>
  <si>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</si>
  <si>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</si>
  <si>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</si>
  <si>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</si>
  <si>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</si>
  <si>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</si>
  <si>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</si>
  <si>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</si>
  <si>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</si>
  <si>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</si>
  <si>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</si>
  <si>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</si>
  <si>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</si>
  <si>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</si>
  <si>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</si>
  <si>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</si>
  <si>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</si>
  <si>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</si>
  <si>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</si>
  <si>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</si>
  <si>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</si>
  <si>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</si>
  <si>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</si>
  <si>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</si>
  <si>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</si>
  <si>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</si>
  <si>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</si>
  <si>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</si>
  <si>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</si>
  <si>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</si>
  <si>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</si>
  <si>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</si>
  <si>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</si>
  <si>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</si>
  <si>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</si>
  <si>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</si>
  <si>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</si>
  <si>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</si>
  <si>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</si>
  <si>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</si>
  <si>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</si>
  <si>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</si>
  <si>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</si>
  <si>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</si>
  <si>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</si>
  <si>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</si>
  <si>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</si>
  <si>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</si>
  <si>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</si>
  <si>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</si>
  <si>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</si>
  <si>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</si>
  <si>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</si>
  <si>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</si>
  <si>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</si>
  <si>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</si>
  <si>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</si>
  <si>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</si>
  <si>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</si>
  <si>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</si>
  <si>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</si>
  <si>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</si>
  <si>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</si>
  <si>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</si>
  <si>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</si>
  <si>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</si>
  <si>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</si>
  <si>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</si>
  <si>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</si>
  <si>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</si>
  <si>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</si>
  <si>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</si>
  <si>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</si>
  <si>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</si>
  <si>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</si>
  <si>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</si>
  <si>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</si>
  <si>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</si>
  <si>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</si>
  <si>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</si>
  <si>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</si>
  <si>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</si>
  <si>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</si>
  <si>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</si>
  <si>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</si>
  <si>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</si>
  <si>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</si>
  <si>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</si>
  <si>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</si>
  <si>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</si>
  <si>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</si>
  <si>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</si>
  <si>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</si>
  <si>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</si>
  <si>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</si>
  <si>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</si>
  <si>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</si>
  <si>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</si>
  <si>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</si>
  <si>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</si>
  <si>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</si>
  <si>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</si>
  <si>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</si>
  <si>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</si>
  <si>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</si>
  <si>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FROST FUND</t>
  </si>
  <si>
    <t>11/17</t>
  </si>
  <si>
    <t>08/22</t>
  </si>
  <si>
    <t>Fremont School District will not be requesting an Indirect Cost Rate for FY21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</si>
</sst>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1060</v>
      </c>
      <c r="B2" s="21">
        <v>189</v>
      </c>
      <c r="C2" s="21">
        <v>189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1513408.63</v>
      </c>
      <c r="G9" s="18">
        <v>82319.81</v>
      </c>
      <c r="H9" s="18"/>
      <c r="I9" s="18"/>
      <c r="J9" s="67">
        <f>SUM(I440)</f>
        <v>692402.67</v>
      </c>
      <c r="K9" s="24" t="s">
        <v>288</v>
      </c>
      <c r="L9" s="24" t="s">
        <v>288</v>
      </c>
      <c r="M9" s="8"/>
      <c r="N9" s="266"/>
    </row>
    <row r="10" spans="1:14" s="3" customFormat="1" ht="12.2" customHeight="1" x14ac:dyDescent="0.15">
      <c r="A10" s="1" t="s">
        <v>562</v>
      </c>
      <c r="B10" s="2" t="s">
        <v>289</v>
      </c>
      <c r="C10" s="6">
        <v>2</v>
      </c>
      <c r="D10" s="2" t="s">
        <v>428</v>
      </c>
      <c r="E10" s="6">
        <v>110</v>
      </c>
      <c r="F10" s="18">
        <v>100443.42</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114479.33+29734.45</f>
        <v>144213.78</v>
      </c>
      <c r="G12" s="18">
        <v>0</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46389.13</v>
      </c>
      <c r="G13" s="18"/>
      <c r="H13" s="18">
        <v>31198.43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f>34248.7+1807.98</f>
        <v>36056.68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3307.8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1078.21</v>
      </c>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1805533.1699999997</v>
      </c>
      <c r="G19" s="41">
        <f>SUM(G9:G18)</f>
        <v>121684.29</v>
      </c>
      <c r="H19" s="41">
        <f>SUM(H9:H18)</f>
        <v>31198.43</v>
      </c>
      <c r="I19" s="41">
        <f>SUM(I9:I18)</f>
        <v>0</v>
      </c>
      <c r="J19" s="41">
        <f>SUM(J9:J18)</f>
        <v>692402.67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114479.33</v>
      </c>
      <c r="H22" s="18">
        <v>29734.45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1326885.6499999999</v>
      </c>
      <c r="G24" s="18"/>
      <c r="H24" s="18">
        <v>1463.98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43951+627.25</f>
        <v>44578.25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7204.96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1371463.9</v>
      </c>
      <c r="G32" s="41">
        <f>SUM(G22:G31)</f>
        <v>121684.29000000001</v>
      </c>
      <c r="H32" s="41">
        <f>SUM(H22:H31)</f>
        <v>31198.43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3307.8</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-3307.8</v>
      </c>
      <c r="H48" s="18"/>
      <c r="I48" s="18"/>
      <c r="J48" s="13">
        <f>SUM(I460)</f>
        <v>692402.67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434069.27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434069.27</v>
      </c>
      <c r="G51" s="41">
        <f>SUM(G35:G50)</f>
        <v>0</v>
      </c>
      <c r="H51" s="41">
        <f>SUM(H35:H50)</f>
        <v>0</v>
      </c>
      <c r="I51" s="41">
        <f>SUM(I35:I50)</f>
        <v>0</v>
      </c>
      <c r="J51" s="41">
        <f>SUM(J35:J50)</f>
        <v>692402.67</v>
      </c>
      <c r="K51" s="45" t="s">
        <v>288</v>
      </c>
      <c r="L51" s="45" t="s">
        <v>288</v>
      </c>
      <c r="N51" s="264"/>
    </row>
    <row r="52" spans="1:14" s="3" customFormat="1" ht="12.2" customHeight="1" thickTop="1" x14ac:dyDescent="0.15">
      <c r="A52" s="38" t="s">
        <v>455</v>
      </c>
      <c r="B52" s="39" t="s">
        <v>289</v>
      </c>
      <c r="C52" s="6">
        <v>37</v>
      </c>
      <c r="D52" s="39" t="s">
        <v>653</v>
      </c>
      <c r="E52" s="39"/>
      <c r="F52" s="41">
        <f>F51+F32</f>
        <v>1805533.17</v>
      </c>
      <c r="G52" s="41">
        <f>G51+G32</f>
        <v>121684.29000000001</v>
      </c>
      <c r="H52" s="41">
        <f>H51+H32</f>
        <v>31198.43</v>
      </c>
      <c r="I52" s="41">
        <f>I51+I32</f>
        <v>0</v>
      </c>
      <c r="J52" s="41">
        <f>J51+J32</f>
        <v>692402.67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9348455.6199999992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9348455.6199999992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13230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13230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7213.62</v>
      </c>
      <c r="G96" s="18"/>
      <c r="H96" s="18"/>
      <c r="I96" s="18"/>
      <c r="J96" s="18">
        <v>8158.73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70615.88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14478.36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103462.94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125154.92</v>
      </c>
      <c r="G111" s="41">
        <f>SUM(G96:G110)</f>
        <v>70615.88</v>
      </c>
      <c r="H111" s="41">
        <f>SUM(H96:H110)</f>
        <v>0</v>
      </c>
      <c r="I111" s="41">
        <f>SUM(I96:I110)</f>
        <v>0</v>
      </c>
      <c r="J111" s="41">
        <f>SUM(J96:J110)</f>
        <v>8158.73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9486840.5399999991</v>
      </c>
      <c r="G112" s="41">
        <f>G60+G111</f>
        <v>70615.88</v>
      </c>
      <c r="H112" s="41">
        <f>H60+H79+H94+H111</f>
        <v>0</v>
      </c>
      <c r="I112" s="41">
        <f>I60+I111</f>
        <v>0</v>
      </c>
      <c r="J112" s="41">
        <f>J60+J111</f>
        <v>8158.73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1667921.94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981811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2021.23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2651754.17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334765.09000000003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7051.75</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2210.38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24481.09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359246.18000000005</v>
      </c>
      <c r="G136" s="41">
        <f>SUM(G123:G135)</f>
        <v>2210.38</v>
      </c>
      <c r="H136" s="41">
        <f>SUM(H123:H135)</f>
        <v>7051.75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3011000.35</v>
      </c>
      <c r="G140" s="41">
        <f>G121+SUM(G136:G137)</f>
        <v>2210.38</v>
      </c>
      <c r="H140" s="41">
        <f>H121+SUM(H136:H139)</f>
        <v>7051.75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12275.49</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36044.6+2322.1+7225.92</f>
        <v>45592.619999999995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16750.73+1371.16+17535.32+6178.86+9946</f>
        <v>51782.07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23749.86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64224.64+58246.57</f>
        <v>122471.20999999999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3821.66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5370.93</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3821.66</v>
      </c>
      <c r="G163" s="41">
        <f>SUM(G150:G162)</f>
        <v>29120.79</v>
      </c>
      <c r="H163" s="41">
        <f>SUM(H150:H162)</f>
        <v>232121.38999999998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3821.66</v>
      </c>
      <c r="G170" s="41">
        <f>G147+G163+SUM(G164:G169)</f>
        <v>29120.79</v>
      </c>
      <c r="H170" s="41">
        <f>H147+H163+SUM(H164:H169)</f>
        <v>232121.38999999998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5597.5</v>
      </c>
      <c r="H180" s="18"/>
      <c r="I180" s="18"/>
      <c r="J180" s="18">
        <v>200000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5597.5</v>
      </c>
      <c r="H184" s="41">
        <f>SUM(H180:H183)</f>
        <v>0</v>
      </c>
      <c r="I184" s="41">
        <f>SUM(I180:I183)</f>
        <v>0</v>
      </c>
      <c r="J184" s="41">
        <f>SUM(J180:J183)</f>
        <v>200000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71500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71500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71500</v>
      </c>
      <c r="G193" s="41">
        <f>G184+SUM(G189:G192)</f>
        <v>5597.5</v>
      </c>
      <c r="H193" s="41">
        <f>+H184+SUM(H189:H192)</f>
        <v>0</v>
      </c>
      <c r="I193" s="41">
        <f>I178+I184+SUM(I189:I192)</f>
        <v>0</v>
      </c>
      <c r="J193" s="41">
        <f>J184</f>
        <v>200000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12573162.549999999</v>
      </c>
      <c r="G194" s="47">
        <f>G112+G140+G170+G193</f>
        <v>107544.55000000002</v>
      </c>
      <c r="H194" s="47">
        <f>H112+H140+H170+H193</f>
        <v>239173.13999999998</v>
      </c>
      <c r="I194" s="47">
        <f>I112+I140+I170+I193</f>
        <v>0</v>
      </c>
      <c r="J194" s="47">
        <f>J112+J140+J193</f>
        <v>208158.73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1787307.99</v>
      </c>
      <c r="G198" s="18">
        <v>1049485.68</v>
      </c>
      <c r="H198" s="18">
        <v>820</v>
      </c>
      <c r="I198" s="18">
        <v>78084.009999999995</v>
      </c>
      <c r="J198" s="18">
        <v>33219.1</v>
      </c>
      <c r="K198" s="18">
        <v>0</v>
      </c>
      <c r="L198" s="19">
        <f>SUM(F198:K198)</f>
        <v>2948916.78</v>
      </c>
      <c r="M198" s="8"/>
      <c r="N198" s="266"/>
    </row>
    <row r="199" spans="1:14" s="3" customFormat="1" ht="12.2" customHeight="1" x14ac:dyDescent="0.15">
      <c r="A199" s="1" t="s">
        <v>439</v>
      </c>
      <c r="B199" s="2" t="s">
        <v>341</v>
      </c>
      <c r="C199" s="2" t="s">
        <v>291</v>
      </c>
      <c r="D199" s="2" t="s">
        <v>431</v>
      </c>
      <c r="E199" s="6">
        <v>1200</v>
      </c>
      <c r="F199" s="18">
        <v>549108.75</v>
      </c>
      <c r="G199" s="18">
        <v>216079.42</v>
      </c>
      <c r="H199" s="18">
        <f>70425.33+74912.17+575.5</f>
        <v>145913</v>
      </c>
      <c r="I199" s="18">
        <v>3154.94</v>
      </c>
      <c r="J199" s="18"/>
      <c r="K199" s="18"/>
      <c r="L199" s="19">
        <f>SUM(F199:K199)</f>
        <v>914256.11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24550</v>
      </c>
      <c r="G201" s="18">
        <v>5018.8</v>
      </c>
      <c r="H201" s="18">
        <v>3625</v>
      </c>
      <c r="I201" s="18">
        <v>4313.26</v>
      </c>
      <c r="J201" s="18"/>
      <c r="K201" s="18">
        <v>75</v>
      </c>
      <c r="L201" s="19">
        <f>SUM(F201:K201)</f>
        <v>37582.060000000005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46047+64840.5+46344.4+130356+36113+86899</f>
        <v>410599.9</v>
      </c>
      <c r="G203" s="18">
        <f>12838.68+6990.4+30558.07+68660.78+2924.11+42876.16</f>
        <v>164848.20000000001</v>
      </c>
      <c r="H203" s="18">
        <f>600+128+30494.58+7600.88+2529.26+956+3486.5+5289.43-720</f>
        <v>50364.65</v>
      </c>
      <c r="I203" s="18">
        <f>1288.13+1732.75+354.04+559.77+1079.32</f>
        <v>5014.01</v>
      </c>
      <c r="J203" s="18"/>
      <c r="K203" s="18">
        <f>100+45</f>
        <v>145</v>
      </c>
      <c r="L203" s="19">
        <f t="shared" ref="L203:L209" si="0">SUM(F203:K203)</f>
        <v>630971.76000000013</v>
      </c>
      <c r="M203" s="8"/>
      <c r="N203" s="266"/>
    </row>
    <row r="204" spans="1:14" s="3" customFormat="1" ht="12.2" customHeight="1" x14ac:dyDescent="0.15">
      <c r="A204" s="1" t="s">
        <v>443</v>
      </c>
      <c r="B204" s="2" t="s">
        <v>341</v>
      </c>
      <c r="C204" s="2" t="s">
        <v>295</v>
      </c>
      <c r="D204" s="2" t="s">
        <v>431</v>
      </c>
      <c r="E204" s="6">
        <v>2200</v>
      </c>
      <c r="F204" s="18">
        <f>6250+71397.69</f>
        <v>77647.69</v>
      </c>
      <c r="G204" s="18">
        <f>24321.96+25104.21</f>
        <v>49426.17</v>
      </c>
      <c r="H204" s="18">
        <f>1940.87+3356.54</f>
        <v>5297.41</v>
      </c>
      <c r="I204" s="18">
        <f>103.18+3236.76+14194.39</f>
        <v>17534.329999999998</v>
      </c>
      <c r="J204" s="18">
        <v>3466.97</v>
      </c>
      <c r="K204" s="18">
        <v>340</v>
      </c>
      <c r="L204" s="19">
        <f t="shared" si="0"/>
        <v>153712.56999999998</v>
      </c>
      <c r="M204" s="8"/>
      <c r="N204" s="266"/>
    </row>
    <row r="205" spans="1:14" s="3" customFormat="1" ht="12.2" customHeight="1" x14ac:dyDescent="0.15">
      <c r="A205" s="1" t="s">
        <v>444</v>
      </c>
      <c r="B205" s="2" t="s">
        <v>341</v>
      </c>
      <c r="C205" s="2" t="s">
        <v>296</v>
      </c>
      <c r="D205" s="2" t="s">
        <v>431</v>
      </c>
      <c r="E205" s="6">
        <v>2300</v>
      </c>
      <c r="F205" s="18">
        <f>11239.7+230540.42+156361</f>
        <v>398141.12</v>
      </c>
      <c r="G205" s="18">
        <f>1001.32+70682.75+35365.33</f>
        <v>107049.40000000001</v>
      </c>
      <c r="H205" s="18">
        <f>20710.17+27227.87+426.55</f>
        <v>48364.59</v>
      </c>
      <c r="I205" s="18">
        <f>3039.83+8.42</f>
        <v>3048.25</v>
      </c>
      <c r="J205" s="18"/>
      <c r="K205" s="18">
        <f>7408.07+3641.83+1615.76</f>
        <v>12665.66</v>
      </c>
      <c r="L205" s="19">
        <f t="shared" si="0"/>
        <v>569269.02</v>
      </c>
      <c r="M205" s="8"/>
      <c r="N205" s="266"/>
    </row>
    <row r="206" spans="1:14" s="3" customFormat="1" ht="12.2" customHeight="1" x14ac:dyDescent="0.15">
      <c r="A206" s="1" t="s">
        <v>445</v>
      </c>
      <c r="B206" s="2" t="s">
        <v>341</v>
      </c>
      <c r="C206" s="2" t="s">
        <v>297</v>
      </c>
      <c r="D206" s="2" t="s">
        <v>431</v>
      </c>
      <c r="E206" s="6">
        <v>2400</v>
      </c>
      <c r="F206" s="18">
        <v>234804</v>
      </c>
      <c r="G206" s="18">
        <v>127132.62</v>
      </c>
      <c r="H206" s="18">
        <v>45063.95</v>
      </c>
      <c r="I206" s="18">
        <v>5640.27</v>
      </c>
      <c r="J206" s="18"/>
      <c r="K206" s="18">
        <v>3313.16</v>
      </c>
      <c r="L206" s="19">
        <f t="shared" si="0"/>
        <v>415954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170125.63</v>
      </c>
      <c r="G208" s="18">
        <v>45065.48</v>
      </c>
      <c r="H208" s="18">
        <v>124509.83</v>
      </c>
      <c r="I208" s="18">
        <v>97861.81</v>
      </c>
      <c r="J208" s="18">
        <v>15412.36</v>
      </c>
      <c r="K208" s="18">
        <v>0</v>
      </c>
      <c r="L208" s="19">
        <f t="shared" si="0"/>
        <v>452975.11</v>
      </c>
      <c r="M208" s="8"/>
      <c r="N208" s="266"/>
    </row>
    <row r="209" spans="1:14" s="3" customFormat="1" ht="12.2" customHeight="1" x14ac:dyDescent="0.15">
      <c r="A209" s="1" t="s">
        <v>448</v>
      </c>
      <c r="B209" s="2" t="s">
        <v>341</v>
      </c>
      <c r="C209" s="2" t="s">
        <v>300</v>
      </c>
      <c r="D209" s="2" t="s">
        <v>431</v>
      </c>
      <c r="E209" s="6">
        <v>2700</v>
      </c>
      <c r="F209" s="18"/>
      <c r="G209" s="18"/>
      <c r="H209" s="18">
        <f>263567.64+110692.76+3876.88+1772.72+391.76</f>
        <v>380301.76</v>
      </c>
      <c r="I209" s="18"/>
      <c r="J209" s="18"/>
      <c r="K209" s="18"/>
      <c r="L209" s="19">
        <f t="shared" si="0"/>
        <v>380301.76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3652285.08</v>
      </c>
      <c r="G212" s="41">
        <f t="shared" si="1"/>
        <v>1764105.7699999996</v>
      </c>
      <c r="H212" s="41">
        <f t="shared" si="1"/>
        <v>804260.19</v>
      </c>
      <c r="I212" s="41">
        <f t="shared" si="1"/>
        <v>214650.88</v>
      </c>
      <c r="J212" s="41">
        <f t="shared" si="1"/>
        <v>52098.43</v>
      </c>
      <c r="K212" s="41">
        <f t="shared" si="1"/>
        <v>16538.82</v>
      </c>
      <c r="L212" s="41">
        <f t="shared" si="1"/>
        <v>6503939.1700000009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4095095.19+18403.42+38334</f>
        <v>4151832.61</v>
      </c>
      <c r="I234" s="18"/>
      <c r="J234" s="18"/>
      <c r="K234" s="18"/>
      <c r="L234" s="19">
        <f>SUM(F234:K234)</f>
        <v>4151832.61</v>
      </c>
      <c r="M234" s="8"/>
      <c r="N234" s="266"/>
    </row>
    <row r="235" spans="1:14" s="3" customFormat="1" ht="12.2" customHeight="1" x14ac:dyDescent="0.15">
      <c r="A235" s="1" t="s">
        <v>439</v>
      </c>
      <c r="B235" s="2" t="s">
        <v>350</v>
      </c>
      <c r="C235" s="2" t="s">
        <v>291</v>
      </c>
      <c r="D235" s="2" t="s">
        <v>431</v>
      </c>
      <c r="E235" s="6">
        <v>1200</v>
      </c>
      <c r="F235" s="18">
        <v>3862</v>
      </c>
      <c r="G235" s="18">
        <v>294.44</v>
      </c>
      <c r="H235" s="18">
        <f>313638.26+20069.5+464761.98</f>
        <v>798469.74</v>
      </c>
      <c r="I235" s="18"/>
      <c r="J235" s="18"/>
      <c r="K235" s="18"/>
      <c r="L235" s="19">
        <f>SUM(F235:K235)</f>
        <v>802626.17999999993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720</v>
      </c>
      <c r="I239" s="18"/>
      <c r="J239" s="18"/>
      <c r="K239" s="18"/>
      <c r="L239" s="19">
        <f t="shared" ref="L239:L245" si="4">SUM(F239:K239)</f>
        <v>720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80379.84+58480.09</f>
        <v>138859.93</v>
      </c>
      <c r="I245" s="18"/>
      <c r="J245" s="18"/>
      <c r="K245" s="18"/>
      <c r="L245" s="19">
        <f t="shared" si="4"/>
        <v>138859.93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3862</v>
      </c>
      <c r="G248" s="41">
        <f t="shared" si="5"/>
        <v>294.44</v>
      </c>
      <c r="H248" s="41">
        <f t="shared" si="5"/>
        <v>5089882.2799999993</v>
      </c>
      <c r="I248" s="41">
        <f t="shared" si="5"/>
        <v>0</v>
      </c>
      <c r="J248" s="41">
        <f t="shared" si="5"/>
        <v>0</v>
      </c>
      <c r="K248" s="41">
        <f t="shared" si="5"/>
        <v>0</v>
      </c>
      <c r="L248" s="41">
        <f t="shared" si="5"/>
        <v>5094038.72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f>54772.76+533133.57</f>
        <v>587906.32999999996</v>
      </c>
      <c r="I256" s="18"/>
      <c r="J256" s="18"/>
      <c r="K256" s="18"/>
      <c r="L256" s="19">
        <f t="shared" si="6"/>
        <v>587906.32999999996</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587906.32999999996</v>
      </c>
      <c r="I257" s="41">
        <f t="shared" si="7"/>
        <v>0</v>
      </c>
      <c r="J257" s="41">
        <f t="shared" si="7"/>
        <v>0</v>
      </c>
      <c r="K257" s="41">
        <f t="shared" si="7"/>
        <v>0</v>
      </c>
      <c r="L257" s="41">
        <f>SUM(F257:K257)</f>
        <v>587906.32999999996</v>
      </c>
      <c r="M257" s="8"/>
      <c r="N257" s="266"/>
    </row>
    <row r="258" spans="1:14" s="3" customFormat="1" ht="12.2" customHeight="1" thickTop="1" x14ac:dyDescent="0.15">
      <c r="A258" s="38" t="s">
        <v>462</v>
      </c>
      <c r="B258" s="40">
        <v>10</v>
      </c>
      <c r="C258" s="40">
        <v>8</v>
      </c>
      <c r="D258" s="39" t="s">
        <v>431</v>
      </c>
      <c r="E258" s="40"/>
      <c r="F258" s="41">
        <f t="shared" ref="F258:L258" si="8">F212+F230+F248+F257</f>
        <v>3656147.08</v>
      </c>
      <c r="G258" s="41">
        <f t="shared" si="8"/>
        <v>1764400.2099999995</v>
      </c>
      <c r="H258" s="41">
        <f t="shared" si="8"/>
        <v>6482048.7999999989</v>
      </c>
      <c r="I258" s="41">
        <f t="shared" si="8"/>
        <v>214650.88</v>
      </c>
      <c r="J258" s="41">
        <f t="shared" si="8"/>
        <v>52098.43</v>
      </c>
      <c r="K258" s="41">
        <f t="shared" si="8"/>
        <v>16538.82</v>
      </c>
      <c r="L258" s="41">
        <f t="shared" si="8"/>
        <v>12185884.220000001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5597.5</v>
      </c>
      <c r="L264" s="19">
        <f>SUM(F264:K264)</f>
        <v>5597.5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205597.5</v>
      </c>
      <c r="L271" s="41">
        <f t="shared" si="9"/>
        <v>205597.5</v>
      </c>
      <c r="M271" s="8"/>
      <c r="N271" s="266"/>
    </row>
    <row r="272" spans="1:14" s="34" customFormat="1" ht="12.2" customHeight="1" thickTop="1" x14ac:dyDescent="0.2">
      <c r="A272" s="43" t="s">
        <v>464</v>
      </c>
      <c r="B272" s="40">
        <v>10</v>
      </c>
      <c r="C272" s="40">
        <v>18</v>
      </c>
      <c r="D272" s="39" t="s">
        <v>431</v>
      </c>
      <c r="E272" s="40"/>
      <c r="F272" s="42">
        <f t="shared" ref="F272:L272" si="11">F258+F271</f>
        <v>3656147.08</v>
      </c>
      <c r="G272" s="42">
        <f t="shared" si="11"/>
        <v>1764400.2099999995</v>
      </c>
      <c r="H272" s="42">
        <f t="shared" si="11"/>
        <v>6482048.7999999989</v>
      </c>
      <c r="I272" s="42">
        <f t="shared" si="11"/>
        <v>214650.88</v>
      </c>
      <c r="J272" s="42">
        <f t="shared" si="11"/>
        <v>52098.43</v>
      </c>
      <c r="K272" s="42">
        <f t="shared" si="11"/>
        <v>222136.32000000001</v>
      </c>
      <c r="L272" s="42">
        <f t="shared" si="11"/>
        <v>12391481.720000001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47692.42</v>
      </c>
      <c r="G277" s="18">
        <v>7335.21</v>
      </c>
      <c r="H277" s="18">
        <v>0</v>
      </c>
      <c r="I277" s="18">
        <v>1073.3900000000001</v>
      </c>
      <c r="J277" s="18">
        <v>11675.49</v>
      </c>
      <c r="K277" s="18">
        <v>6349</v>
      </c>
      <c r="L277" s="19">
        <f>SUM(F277:K277)</f>
        <v>74125.509999999995</v>
      </c>
      <c r="M277" s="8"/>
      <c r="N277" s="266"/>
    </row>
    <row r="278" spans="1:14" s="3" customFormat="1" ht="12.2" customHeight="1" x14ac:dyDescent="0.15">
      <c r="A278" s="1" t="s">
        <v>439</v>
      </c>
      <c r="B278" s="2" t="s">
        <v>357</v>
      </c>
      <c r="C278" s="2" t="s">
        <v>291</v>
      </c>
      <c r="D278" s="2" t="s">
        <v>431</v>
      </c>
      <c r="E278" s="6">
        <v>1200</v>
      </c>
      <c r="F278" s="18">
        <v>20888.59</v>
      </c>
      <c r="G278" s="18">
        <v>2064.5300000000002</v>
      </c>
      <c r="H278" s="18">
        <v>47241.01</v>
      </c>
      <c r="I278" s="18">
        <v>2880.51</v>
      </c>
      <c r="J278" s="18">
        <v>904</v>
      </c>
      <c r="K278" s="18"/>
      <c r="L278" s="19">
        <f>SUM(F278:K278)</f>
        <v>73978.64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5760</v>
      </c>
      <c r="G280" s="18">
        <v>1465.92</v>
      </c>
      <c r="H280" s="18"/>
      <c r="I280" s="18"/>
      <c r="J280" s="18">
        <v>7051.75</v>
      </c>
      <c r="K280" s="18"/>
      <c r="L280" s="19">
        <f>SUM(F280:K280)</f>
        <v>14277.67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19542.57</v>
      </c>
      <c r="I282" s="18"/>
      <c r="J282" s="18"/>
      <c r="K282" s="18"/>
      <c r="L282" s="19">
        <f t="shared" ref="L282:L288" si="12">SUM(F282:K282)</f>
        <v>19542.57</v>
      </c>
      <c r="M282" s="8"/>
      <c r="N282" s="266"/>
    </row>
    <row r="283" spans="1:14" s="3" customFormat="1" ht="12.2" customHeight="1" x14ac:dyDescent="0.15">
      <c r="A283" s="1" t="s">
        <v>443</v>
      </c>
      <c r="B283" s="2" t="s">
        <v>357</v>
      </c>
      <c r="C283" s="2" t="s">
        <v>295</v>
      </c>
      <c r="D283" s="2" t="s">
        <v>431</v>
      </c>
      <c r="E283" s="6">
        <v>2200</v>
      </c>
      <c r="F283" s="18">
        <v>11300</v>
      </c>
      <c r="G283" s="18">
        <v>2836.95</v>
      </c>
      <c r="H283" s="18">
        <v>10612.9</v>
      </c>
      <c r="I283" s="18">
        <v>3548.9</v>
      </c>
      <c r="J283" s="18"/>
      <c r="K283" s="18"/>
      <c r="L283" s="19">
        <f t="shared" si="12"/>
        <v>28298.75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85641.01</v>
      </c>
      <c r="G291" s="42">
        <f t="shared" si="13"/>
        <v>13702.61</v>
      </c>
      <c r="H291" s="42">
        <f t="shared" si="13"/>
        <v>77396.479999999996</v>
      </c>
      <c r="I291" s="42">
        <f t="shared" si="13"/>
        <v>7502.8000000000011</v>
      </c>
      <c r="J291" s="42">
        <f t="shared" si="13"/>
        <v>19631.239999999998</v>
      </c>
      <c r="K291" s="42">
        <f t="shared" si="13"/>
        <v>6349</v>
      </c>
      <c r="L291" s="41">
        <f t="shared" si="13"/>
        <v>210223.14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v>28950</v>
      </c>
      <c r="I316" s="18"/>
      <c r="J316" s="18"/>
      <c r="K316" s="18"/>
      <c r="L316" s="19">
        <f>SUM(F316:K316)</f>
        <v>28950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28950</v>
      </c>
      <c r="I329" s="42">
        <f t="shared" si="17"/>
        <v>0</v>
      </c>
      <c r="J329" s="42">
        <f t="shared" si="17"/>
        <v>0</v>
      </c>
      <c r="K329" s="42">
        <f t="shared" si="17"/>
        <v>0</v>
      </c>
      <c r="L329" s="41">
        <f t="shared" si="17"/>
        <v>28950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85641.01</v>
      </c>
      <c r="G339" s="41">
        <f t="shared" si="20"/>
        <v>13702.61</v>
      </c>
      <c r="H339" s="41">
        <f t="shared" si="20"/>
        <v>106346.48</v>
      </c>
      <c r="I339" s="41">
        <f t="shared" si="20"/>
        <v>7502.8000000000011</v>
      </c>
      <c r="J339" s="41">
        <f t="shared" si="20"/>
        <v>19631.239999999998</v>
      </c>
      <c r="K339" s="41">
        <f t="shared" si="20"/>
        <v>6349</v>
      </c>
      <c r="L339" s="41">
        <f t="shared" si="20"/>
        <v>239173.14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85641.01</v>
      </c>
      <c r="G353" s="41">
        <f>G339</f>
        <v>13702.61</v>
      </c>
      <c r="H353" s="41">
        <f>H339</f>
        <v>106346.48</v>
      </c>
      <c r="I353" s="41">
        <f>I339</f>
        <v>7502.8000000000011</v>
      </c>
      <c r="J353" s="41">
        <f>J339</f>
        <v>19631.239999999998</v>
      </c>
      <c r="K353" s="47">
        <f>K339+K352</f>
        <v>6349</v>
      </c>
      <c r="L353" s="41">
        <f>L339+L352</f>
        <v>239173.14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102950</v>
      </c>
      <c r="I359" s="18">
        <f>5370.93-776.38</f>
        <v>4594.55</v>
      </c>
      <c r="J359" s="18"/>
      <c r="K359" s="18"/>
      <c r="L359" s="13">
        <f>SUM(F359:K359)</f>
        <v>107544.55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102950</v>
      </c>
      <c r="I363" s="47">
        <f t="shared" si="22"/>
        <v>4594.55</v>
      </c>
      <c r="J363" s="47">
        <f t="shared" si="22"/>
        <v>0</v>
      </c>
      <c r="K363" s="47">
        <f t="shared" si="22"/>
        <v>0</v>
      </c>
      <c r="L363" s="47">
        <f t="shared" si="22"/>
        <v>107544.55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5370.93</v>
      </c>
      <c r="G368" s="18"/>
      <c r="H368" s="18"/>
      <c r="I368" s="56">
        <f>SUM(F368:H368)</f>
        <v>5370.93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-776.38</v>
      </c>
      <c r="G369" s="63"/>
      <c r="H369" s="63"/>
      <c r="I369" s="56">
        <f>SUM(F369:H369)</f>
        <v>-776.38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4594.55</v>
      </c>
      <c r="G370" s="47">
        <f>SUM(G368:G369)</f>
        <v>0</v>
      </c>
      <c r="H370" s="47">
        <f>SUM(H368:H369)</f>
        <v>0</v>
      </c>
      <c r="I370" s="47">
        <f>SUM(I368:I369)</f>
        <v>4594.55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200000</v>
      </c>
      <c r="H397" s="18">
        <v>2794.35</v>
      </c>
      <c r="I397" s="18"/>
      <c r="J397" s="24" t="s">
        <v>288</v>
      </c>
      <c r="K397" s="24" t="s">
        <v>288</v>
      </c>
      <c r="L397" s="56">
        <f t="shared" si="26"/>
        <v>202794.35</v>
      </c>
      <c r="M397" s="8"/>
      <c r="N397" s="266"/>
    </row>
    <row r="398" spans="1:14" s="3" customFormat="1" ht="12.2" customHeight="1" x14ac:dyDescent="0.15">
      <c r="A398" s="79" t="s">
        <v>515</v>
      </c>
      <c r="B398" s="2" t="s">
        <v>381</v>
      </c>
      <c r="C398" s="6">
        <v>10</v>
      </c>
      <c r="D398" s="2" t="s">
        <v>432</v>
      </c>
      <c r="E398" s="6"/>
      <c r="F398" s="18"/>
      <c r="G398" s="18"/>
      <c r="H398" s="18">
        <v>1225.78</v>
      </c>
      <c r="I398" s="18"/>
      <c r="J398" s="24" t="s">
        <v>288</v>
      </c>
      <c r="K398" s="24" t="s">
        <v>288</v>
      </c>
      <c r="L398" s="56">
        <f t="shared" si="26"/>
        <v>1225.78</v>
      </c>
      <c r="M398" s="8"/>
      <c r="N398" s="266"/>
    </row>
    <row r="399" spans="1:14" s="3" customFormat="1" ht="12.2" customHeight="1" x14ac:dyDescent="0.15">
      <c r="A399" s="79" t="s">
        <v>558</v>
      </c>
      <c r="B399" s="2" t="s">
        <v>381</v>
      </c>
      <c r="C399" s="6">
        <v>11</v>
      </c>
      <c r="D399" s="2" t="s">
        <v>432</v>
      </c>
      <c r="E399" s="6"/>
      <c r="F399" s="18"/>
      <c r="G399" s="18"/>
      <c r="H399" s="18">
        <v>3703.13</v>
      </c>
      <c r="I399" s="18"/>
      <c r="J399" s="24" t="s">
        <v>288</v>
      </c>
      <c r="K399" s="24" t="s">
        <v>288</v>
      </c>
      <c r="L399" s="56">
        <f t="shared" si="26"/>
        <v>3703.13</v>
      </c>
      <c r="M399" s="8"/>
      <c r="N399" s="266"/>
    </row>
    <row r="400" spans="1:14" s="3" customFormat="1" ht="12.2" customHeight="1" x14ac:dyDescent="0.15">
      <c r="A400" s="79" t="s">
        <v>559</v>
      </c>
      <c r="B400" s="2" t="s">
        <v>381</v>
      </c>
      <c r="C400" s="6">
        <v>12</v>
      </c>
      <c r="D400" s="2" t="s">
        <v>432</v>
      </c>
      <c r="E400" s="6"/>
      <c r="F400" s="18"/>
      <c r="G400" s="18"/>
      <c r="H400" s="18">
        <v>306.45</v>
      </c>
      <c r="I400" s="18"/>
      <c r="J400" s="24" t="s">
        <v>288</v>
      </c>
      <c r="K400" s="24" t="s">
        <v>288</v>
      </c>
      <c r="L400" s="56">
        <f t="shared" si="26"/>
        <v>306.45</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8029.71</v>
      </c>
      <c r="I402" s="47">
        <f>SUM(I396:I401)</f>
        <v>0</v>
      </c>
      <c r="J402" s="45" t="s">
        <v>288</v>
      </c>
      <c r="K402" s="45" t="s">
        <v>288</v>
      </c>
      <c r="L402" s="47">
        <f>SUM(L396:L401)</f>
        <v>208029.71000000002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t="s">
        <v>1642</v>
      </c>
      <c r="B405" s="2" t="s">
        <v>381</v>
      </c>
      <c r="C405" s="6">
        <v>16</v>
      </c>
      <c r="D405" s="2" t="s">
        <v>432</v>
      </c>
      <c r="E405" s="6"/>
      <c r="F405" s="18"/>
      <c r="G405" s="18"/>
      <c r="H405" s="18">
        <v>129.02000000000001</v>
      </c>
      <c r="I405" s="18"/>
      <c r="J405" s="24" t="s">
        <v>288</v>
      </c>
      <c r="K405" s="24" t="s">
        <v>288</v>
      </c>
      <c r="L405" s="56">
        <f>SUM(F405:K405)</f>
        <v>129.02000000000001</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129.02000000000001</v>
      </c>
      <c r="I408" s="47">
        <f>SUM(I404:I407)</f>
        <v>0</v>
      </c>
      <c r="J408" s="49" t="s">
        <v>288</v>
      </c>
      <c r="K408" s="49" t="s">
        <v>288</v>
      </c>
      <c r="L408" s="47">
        <f>SUM(L404:L407)</f>
        <v>129.02000000000001</v>
      </c>
      <c r="M408" s="8"/>
      <c r="N408" s="266"/>
    </row>
    <row r="409" spans="1:21" s="3" customFormat="1" ht="12.2" customHeight="1" thickTop="1" x14ac:dyDescent="0.15">
      <c r="A409" s="78" t="s">
        <v>421</v>
      </c>
      <c r="B409" s="2" t="s">
        <v>381</v>
      </c>
      <c r="C409" s="6">
        <v>20</v>
      </c>
      <c r="D409" s="6"/>
      <c r="E409" s="40"/>
      <c r="F409" s="47">
        <f>F394+F402+F408</f>
        <v>0</v>
      </c>
      <c r="G409" s="47">
        <f>G394+G402+G408</f>
        <v>200000</v>
      </c>
      <c r="H409" s="47">
        <f>H394+H402+H408</f>
        <v>8158.7300000000005</v>
      </c>
      <c r="I409" s="47">
        <f>I394+I402+I408</f>
        <v>0</v>
      </c>
      <c r="J409" s="24" t="s">
        <v>288</v>
      </c>
      <c r="K409" s="24" t="s">
        <v>288</v>
      </c>
      <c r="L409" s="47">
        <f>L394+L402+L408</f>
        <v>208158.73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71500</v>
      </c>
      <c r="L423" s="56">
        <f t="shared" si="29"/>
        <v>71500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71500</v>
      </c>
      <c r="L428" s="47">
        <f t="shared" si="30"/>
        <v>71500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71500</v>
      </c>
      <c r="L435" s="47">
        <f t="shared" si="32"/>
        <v>71500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681594.91</v>
      </c>
      <c r="H440" s="18">
        <v>10807.76</v>
      </c>
      <c r="I440" s="56">
        <f t="shared" ref="I440:I446" si="33">SUM(F440:H440)</f>
        <v>692402.67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681594.91</v>
      </c>
      <c r="H447" s="13">
        <f>SUM(H440:H446)</f>
        <v>10807.76</v>
      </c>
      <c r="I447" s="13">
        <f>SUM(I440:I446)</f>
        <v>692402.67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681594.91</v>
      </c>
      <c r="H460" s="18">
        <v>10807.76</v>
      </c>
      <c r="I460" s="56">
        <f t="shared" si="34"/>
        <v>692402.67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681594.91</v>
      </c>
      <c r="H461" s="83">
        <f>SUM(H455:H460)</f>
        <v>10807.76</v>
      </c>
      <c r="I461" s="83">
        <f>SUM(I455:I460)</f>
        <v>692402.67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681594.91</v>
      </c>
      <c r="H462" s="42">
        <f>H453+H461</f>
        <v>10807.76</v>
      </c>
      <c r="I462" s="42">
        <f>I453+I461</f>
        <v>692402.67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252388.44</v>
      </c>
      <c r="G466" s="18">
        <v>0</v>
      </c>
      <c r="H466" s="18">
        <v>0</v>
      </c>
      <c r="I466" s="18"/>
      <c r="J466" s="18">
        <v>555743.93999999994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12573162.550000001</v>
      </c>
      <c r="G469" s="18">
        <v>107544.55</v>
      </c>
      <c r="H469" s="18">
        <v>239173.14</v>
      </c>
      <c r="I469" s="18"/>
      <c r="J469" s="18">
        <f>8158.73+200000</f>
        <v>208158.73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12573162.550000001</v>
      </c>
      <c r="G471" s="53">
        <f>SUM(G469:G470)</f>
        <v>107544.55</v>
      </c>
      <c r="H471" s="53">
        <f>SUM(H469:H470)</f>
        <v>239173.14</v>
      </c>
      <c r="I471" s="53">
        <f>SUM(I469:I470)</f>
        <v>0</v>
      </c>
      <c r="J471" s="53">
        <f>SUM(J469:J470)</f>
        <v>208158.73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12391481.720000001</v>
      </c>
      <c r="G473" s="18">
        <v>107544.55</v>
      </c>
      <c r="H473" s="18">
        <v>239173.14</v>
      </c>
      <c r="I473" s="18"/>
      <c r="J473" s="18">
        <v>71500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12391481.720000001</v>
      </c>
      <c r="G475" s="53">
        <f>SUM(G473:G474)</f>
        <v>107544.55</v>
      </c>
      <c r="H475" s="53">
        <f>SUM(H473:H474)</f>
        <v>239173.14</v>
      </c>
      <c r="I475" s="53">
        <f>SUM(I473:I474)</f>
        <v>0</v>
      </c>
      <c r="J475" s="53">
        <f>SUM(J473:J474)</f>
        <v>71500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434069.26999999955</v>
      </c>
      <c r="G477" s="53">
        <f>(G466+G471)- G475</f>
        <v>0</v>
      </c>
      <c r="H477" s="53">
        <f>(H466+H471)- H475</f>
        <v>0</v>
      </c>
      <c r="I477" s="53">
        <f>(I466+I471)- I475</f>
        <v>0</v>
      </c>
      <c r="J477" s="53">
        <f>(J466+J471)- J475</f>
        <v>692402.66999999993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66811.929999999993</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3.09</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53840.35</v>
      </c>
      <c r="G496" s="18"/>
      <c r="H496" s="18"/>
      <c r="I496" s="18"/>
      <c r="J496" s="18"/>
      <c r="K496" s="53">
        <f>SUM(F496:J496)</f>
        <v>53840.35</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12852.03</v>
      </c>
      <c r="G498" s="18"/>
      <c r="H498" s="18"/>
      <c r="I498" s="18"/>
      <c r="J498" s="18"/>
      <c r="K498" s="53">
        <f t="shared" si="35"/>
        <v>12852.03</v>
      </c>
      <c r="L498" s="24" t="s">
        <v>288</v>
      </c>
      <c r="N498" s="265"/>
    </row>
    <row r="499" spans="1:14" s="52" customFormat="1" ht="12.2" customHeight="1" x14ac:dyDescent="0.2">
      <c r="A499" s="200" t="s">
        <v>622</v>
      </c>
      <c r="B499" s="201">
        <v>20</v>
      </c>
      <c r="C499" s="202">
        <v>9</v>
      </c>
      <c r="D499" s="203" t="s">
        <v>432</v>
      </c>
      <c r="E499" s="202"/>
      <c r="F499" s="204">
        <v>40988.32</v>
      </c>
      <c r="G499" s="204"/>
      <c r="H499" s="204"/>
      <c r="I499" s="204"/>
      <c r="J499" s="204"/>
      <c r="K499" s="205">
        <f t="shared" si="35"/>
        <v>40988.32</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40988.32</v>
      </c>
      <c r="G501" s="42">
        <f>SUM(G499:G500)</f>
        <v>0</v>
      </c>
      <c r="H501" s="42">
        <f>SUM(H499:H500)</f>
        <v>0</v>
      </c>
      <c r="I501" s="42">
        <f>SUM(I499:I500)</f>
        <v>0</v>
      </c>
      <c r="J501" s="42">
        <f>SUM(J499:J500)</f>
        <v>0</v>
      </c>
      <c r="K501" s="42">
        <f t="shared" si="35"/>
        <v>40988.32</v>
      </c>
      <c r="L501" s="45" t="s">
        <v>288</v>
      </c>
      <c r="N501" s="265"/>
    </row>
    <row r="502" spans="1:14" s="52" customFormat="1" ht="12.2" customHeight="1" x14ac:dyDescent="0.2">
      <c r="A502" s="200" t="s">
        <v>651</v>
      </c>
      <c r="B502" s="201">
        <v>20</v>
      </c>
      <c r="C502" s="202">
        <v>12</v>
      </c>
      <c r="D502" s="203" t="s">
        <v>432</v>
      </c>
      <c r="E502" s="202"/>
      <c r="F502" s="204">
        <v>13249.16</v>
      </c>
      <c r="G502" s="204"/>
      <c r="H502" s="204"/>
      <c r="I502" s="204"/>
      <c r="J502" s="204"/>
      <c r="K502" s="205">
        <f t="shared" si="35"/>
        <v>13249.16</v>
      </c>
      <c r="L502" s="206" t="s">
        <v>288</v>
      </c>
      <c r="N502" s="265"/>
    </row>
    <row r="503" spans="1:14" s="52" customFormat="1" ht="12.2" customHeight="1" thickBot="1" x14ac:dyDescent="0.25">
      <c r="A503" s="22" t="s">
        <v>625</v>
      </c>
      <c r="B503" s="75">
        <v>20</v>
      </c>
      <c r="C503" s="115">
        <v>13</v>
      </c>
      <c r="D503" s="2" t="s">
        <v>432</v>
      </c>
      <c r="E503" s="115"/>
      <c r="F503" s="18">
        <v>1266.54</v>
      </c>
      <c r="G503" s="18"/>
      <c r="H503" s="18"/>
      <c r="I503" s="18"/>
      <c r="J503" s="18"/>
      <c r="K503" s="53">
        <f t="shared" si="35"/>
        <v>1266.54</v>
      </c>
      <c r="L503" s="24" t="s">
        <v>288</v>
      </c>
      <c r="N503" s="265"/>
    </row>
    <row r="504" spans="1:14" s="52" customFormat="1" ht="12.2" customHeight="1" thickTop="1" x14ac:dyDescent="0.2">
      <c r="A504" s="139" t="s">
        <v>626</v>
      </c>
      <c r="B504" s="44">
        <v>20</v>
      </c>
      <c r="C504" s="195">
        <v>14</v>
      </c>
      <c r="D504" s="39" t="s">
        <v>432</v>
      </c>
      <c r="E504" s="195"/>
      <c r="F504" s="42">
        <f>SUM(F502:F503)</f>
        <v>14515.7</v>
      </c>
      <c r="G504" s="42">
        <f>SUM(G502:G503)</f>
        <v>0</v>
      </c>
      <c r="H504" s="42">
        <f>SUM(H502:H503)</f>
        <v>0</v>
      </c>
      <c r="I504" s="42">
        <f>SUM(I502:I503)</f>
        <v>0</v>
      </c>
      <c r="J504" s="42">
        <f>SUM(J502:J503)</f>
        <v>0</v>
      </c>
      <c r="K504" s="42">
        <f t="shared" si="35"/>
        <v>14515.7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569997.34</v>
      </c>
      <c r="G522" s="18">
        <v>218143.95</v>
      </c>
      <c r="H522" s="18">
        <v>193154.01</v>
      </c>
      <c r="I522" s="18">
        <v>6035.45</v>
      </c>
      <c r="J522" s="18">
        <v>904</v>
      </c>
      <c r="K522" s="18"/>
      <c r="L522" s="88">
        <f>SUM(F522:K522)</f>
        <v>988234.75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3862</v>
      </c>
      <c r="G524" s="18">
        <v>294.44</v>
      </c>
      <c r="H524" s="18">
        <v>827419.74</v>
      </c>
      <c r="I524" s="18"/>
      <c r="J524" s="18"/>
      <c r="K524" s="18"/>
      <c r="L524" s="88">
        <f>SUM(F524:K524)</f>
        <v>831576.17999999993</v>
      </c>
      <c r="N524" s="265"/>
    </row>
    <row r="525" spans="1:14" s="52" customFormat="1" ht="12.2" customHeight="1" thickTop="1" x14ac:dyDescent="0.2">
      <c r="A525" s="139" t="s">
        <v>63</v>
      </c>
      <c r="B525" s="107">
        <v>21</v>
      </c>
      <c r="C525" s="195">
        <v>4</v>
      </c>
      <c r="D525" s="196" t="s">
        <v>432</v>
      </c>
      <c r="E525" s="195"/>
      <c r="F525" s="108">
        <f>SUM(F522:F524)</f>
        <v>573859.34</v>
      </c>
      <c r="G525" s="108">
        <f t="shared" ref="G525:L525" si="36">SUM(G522:G524)</f>
        <v>218438.39</v>
      </c>
      <c r="H525" s="108">
        <f t="shared" si="36"/>
        <v>1020573.75</v>
      </c>
      <c r="I525" s="108">
        <f t="shared" si="36"/>
        <v>6035.45</v>
      </c>
      <c r="J525" s="108">
        <f t="shared" si="36"/>
        <v>904</v>
      </c>
      <c r="K525" s="108">
        <f t="shared" si="36"/>
        <v>0</v>
      </c>
      <c r="L525" s="89">
        <f t="shared" si="36"/>
        <v>1819810.93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253368</v>
      </c>
      <c r="G527" s="18">
        <v>114461.05</v>
      </c>
      <c r="H527" s="18">
        <v>69179.22</v>
      </c>
      <c r="I527" s="18">
        <v>1993.13</v>
      </c>
      <c r="J527" s="18"/>
      <c r="K527" s="18"/>
      <c r="L527" s="88">
        <f>SUM(F527:K527)</f>
        <v>439001.4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720</v>
      </c>
      <c r="I529" s="18"/>
      <c r="J529" s="18"/>
      <c r="K529" s="18"/>
      <c r="L529" s="88">
        <f>SUM(F529:K529)</f>
        <v>720</v>
      </c>
      <c r="M529" s="8"/>
      <c r="N529" s="266"/>
    </row>
    <row r="530" spans="1:14" s="3" customFormat="1" ht="12.2" customHeight="1" thickTop="1" x14ac:dyDescent="0.15">
      <c r="A530" s="139" t="s">
        <v>65</v>
      </c>
      <c r="B530" s="107">
        <v>21</v>
      </c>
      <c r="C530" s="107">
        <v>8</v>
      </c>
      <c r="D530" s="158" t="s">
        <v>432</v>
      </c>
      <c r="E530" s="107"/>
      <c r="F530" s="89">
        <f>SUM(F527:F529)</f>
        <v>253368</v>
      </c>
      <c r="G530" s="89">
        <f t="shared" ref="G530:L530" si="37">SUM(G527:G529)</f>
        <v>114461.05</v>
      </c>
      <c r="H530" s="89">
        <f t="shared" si="37"/>
        <v>69899.22</v>
      </c>
      <c r="I530" s="89">
        <f t="shared" si="37"/>
        <v>1993.13</v>
      </c>
      <c r="J530" s="89">
        <f t="shared" si="37"/>
        <v>0</v>
      </c>
      <c r="K530" s="89">
        <f t="shared" si="37"/>
        <v>0</v>
      </c>
      <c r="L530" s="89">
        <f t="shared" si="37"/>
        <v>439721.4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156361</v>
      </c>
      <c r="G532" s="18">
        <v>35365.33</v>
      </c>
      <c r="H532" s="18">
        <v>426.55</v>
      </c>
      <c r="I532" s="18">
        <v>8.42</v>
      </c>
      <c r="J532" s="18"/>
      <c r="K532" s="18">
        <v>1615.76</v>
      </c>
      <c r="L532" s="88">
        <f>SUM(F532:K532)</f>
        <v>193777.06000000003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156361</v>
      </c>
      <c r="G535" s="89">
        <f t="shared" ref="G535:L535" si="38">SUM(G532:G534)</f>
        <v>35365.33</v>
      </c>
      <c r="H535" s="89">
        <f t="shared" si="38"/>
        <v>426.55</v>
      </c>
      <c r="I535" s="89">
        <f t="shared" si="38"/>
        <v>8.42</v>
      </c>
      <c r="J535" s="89">
        <f t="shared" si="38"/>
        <v>0</v>
      </c>
      <c r="K535" s="89">
        <f t="shared" si="38"/>
        <v>1615.76</v>
      </c>
      <c r="L535" s="89">
        <f t="shared" si="38"/>
        <v>193777.06000000003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700.15</v>
      </c>
      <c r="I537" s="18"/>
      <c r="J537" s="18"/>
      <c r="K537" s="18"/>
      <c r="L537" s="88">
        <f>SUM(F537:K537)</f>
        <v>700.15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700.15</v>
      </c>
      <c r="I540" s="89">
        <f t="shared" si="39"/>
        <v>0</v>
      </c>
      <c r="J540" s="89">
        <f t="shared" si="39"/>
        <v>0</v>
      </c>
      <c r="K540" s="89">
        <f t="shared" si="39"/>
        <v>0</v>
      </c>
      <c r="L540" s="89">
        <f t="shared" si="39"/>
        <v>700.15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110692.76</v>
      </c>
      <c r="I542" s="18"/>
      <c r="J542" s="18"/>
      <c r="K542" s="18"/>
      <c r="L542" s="88">
        <f>SUM(F542:K542)</f>
        <v>110692.76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58480.09</v>
      </c>
      <c r="I544" s="18"/>
      <c r="J544" s="18"/>
      <c r="K544" s="18"/>
      <c r="L544" s="88">
        <f>SUM(F544:K544)</f>
        <v>58480.09</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169172.84999999998</v>
      </c>
      <c r="I545" s="193">
        <f t="shared" si="40"/>
        <v>0</v>
      </c>
      <c r="J545" s="193">
        <f t="shared" si="40"/>
        <v>0</v>
      </c>
      <c r="K545" s="193">
        <f t="shared" si="40"/>
        <v>0</v>
      </c>
      <c r="L545" s="193">
        <f t="shared" si="40"/>
        <v>169172.84999999998</v>
      </c>
      <c r="M545" s="8"/>
      <c r="N545" s="266"/>
    </row>
    <row r="546" spans="1:14" s="3" customFormat="1" ht="12.2" customHeight="1" thickTop="1" x14ac:dyDescent="0.15">
      <c r="A546" s="98" t="s">
        <v>72</v>
      </c>
      <c r="B546" s="107">
        <v>21</v>
      </c>
      <c r="C546" s="107">
        <v>21</v>
      </c>
      <c r="D546" s="158" t="s">
        <v>432</v>
      </c>
      <c r="E546" s="107"/>
      <c r="F546" s="89">
        <f>F525+F530+F535+F540+F545</f>
        <v>983588.34</v>
      </c>
      <c r="G546" s="89">
        <f t="shared" ref="G546:L546" si="41">G525+G530+G535+G540+G545</f>
        <v>368264.77</v>
      </c>
      <c r="H546" s="89">
        <f t="shared" si="41"/>
        <v>1260772.52</v>
      </c>
      <c r="I546" s="89">
        <f t="shared" si="41"/>
        <v>8037</v>
      </c>
      <c r="J546" s="89">
        <f t="shared" si="41"/>
        <v>904</v>
      </c>
      <c r="K546" s="89">
        <f t="shared" si="41"/>
        <v>1615.76</v>
      </c>
      <c r="L546" s="89">
        <f t="shared" si="41"/>
        <v>2623182.39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988234.75</v>
      </c>
      <c r="G550" s="87">
        <f>L527</f>
        <v>439001.4</v>
      </c>
      <c r="H550" s="87">
        <f>L532</f>
        <v>193777.06000000003</v>
      </c>
      <c r="I550" s="87">
        <f>L537</f>
        <v>700.15</v>
      </c>
      <c r="J550" s="87">
        <f>L542</f>
        <v>110692.76</v>
      </c>
      <c r="K550" s="87">
        <f>SUM(F550:J550)</f>
        <v>1732406.1199999999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831576.17999999993</v>
      </c>
      <c r="G552" s="87">
        <f>L529</f>
        <v>720</v>
      </c>
      <c r="H552" s="87">
        <f>L534</f>
        <v>0</v>
      </c>
      <c r="I552" s="87">
        <f>L539</f>
        <v>0</v>
      </c>
      <c r="J552" s="87">
        <f>L544</f>
        <v>58480.09</v>
      </c>
      <c r="K552" s="87">
        <f>SUM(F552:J552)</f>
        <v>890776.2699999999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1819810.93</v>
      </c>
      <c r="G553" s="89">
        <f t="shared" si="42"/>
        <v>439721.4</v>
      </c>
      <c r="H553" s="89">
        <f t="shared" si="42"/>
        <v>193777.06000000003</v>
      </c>
      <c r="I553" s="89">
        <f t="shared" si="42"/>
        <v>700.15</v>
      </c>
      <c r="J553" s="89">
        <f t="shared" si="42"/>
        <v>169172.84999999998</v>
      </c>
      <c r="K553" s="89">
        <f t="shared" si="42"/>
        <v>2623182.3899999997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4095095.19+18403.42</f>
        <v>4113498.61</v>
      </c>
      <c r="I576" s="87">
        <f>SUM(F576:H576)</f>
        <v>4113498.61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38334</v>
      </c>
      <c r="I578" s="87">
        <f t="shared" si="47"/>
        <v>38334</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f>313638.26+20069.5</f>
        <v>333707.76</v>
      </c>
      <c r="I580" s="87">
        <f t="shared" si="47"/>
        <v>333707.76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74912.17</v>
      </c>
      <c r="G583" s="18" t="s">
        <v>286</v>
      </c>
      <c r="H583" s="18">
        <f>106680.25+25000.2+3717.28</f>
        <v>135397.73000000001</v>
      </c>
      <c r="I583" s="87">
        <f t="shared" si="47"/>
        <v>210309.90000000002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t="s">
        <v>286</v>
      </c>
      <c r="H584" s="18">
        <v>329364.25</v>
      </c>
      <c r="I584" s="87">
        <f t="shared" si="47"/>
        <v>329364.25</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263567.64</v>
      </c>
      <c r="I592" s="18"/>
      <c r="J592" s="18">
        <v>80379.839999999997</v>
      </c>
      <c r="K592" s="104">
        <f t="shared" ref="K592:K598" si="48">SUM(H592:J592)</f>
        <v>343947.48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110692.76</v>
      </c>
      <c r="I593" s="18"/>
      <c r="J593" s="18">
        <v>58480.09</v>
      </c>
      <c r="K593" s="104">
        <f t="shared" si="48"/>
        <v>169172.84999999998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3876.88</v>
      </c>
      <c r="I595" s="18"/>
      <c r="J595" s="18"/>
      <c r="K595" s="104">
        <f t="shared" si="48"/>
        <v>3876.88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1772.72</v>
      </c>
      <c r="I596" s="18"/>
      <c r="J596" s="18"/>
      <c r="K596" s="104">
        <f t="shared" si="48"/>
        <v>1772.72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391.76</v>
      </c>
      <c r="I598" s="18"/>
      <c r="J598" s="18"/>
      <c r="K598" s="104">
        <f t="shared" si="48"/>
        <v>391.76</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380301.76</v>
      </c>
      <c r="I599" s="108">
        <f>SUM(I592:I598)</f>
        <v>0</v>
      </c>
      <c r="J599" s="108">
        <f>SUM(J592:J598)</f>
        <v>138859.93</v>
      </c>
      <c r="K599" s="108">
        <f>SUM(K592:K598)</f>
        <v>519161.68999999994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33219.1+3466.97+15412.36+11675.49+904+7051.75</f>
        <v>71729.67</v>
      </c>
      <c r="I605" s="18"/>
      <c r="J605" s="18"/>
      <c r="K605" s="104">
        <f>SUM(H605:J605)</f>
        <v>71729.67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71729.67</v>
      </c>
      <c r="I606" s="108">
        <f>SUM(I603:I605)</f>
        <v>0</v>
      </c>
      <c r="J606" s="108">
        <f>SUM(J603:J605)</f>
        <v>0</v>
      </c>
      <c r="K606" s="108">
        <f>SUM(K603:K605)</f>
        <v>71729.67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1805533.1699999997</v>
      </c>
      <c r="H618" s="109">
        <f>SUM(F52)</f>
        <v>1805533.17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121684.29</v>
      </c>
      <c r="H619" s="109">
        <f>SUM(G52)</f>
        <v>121684.29000000001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31198.43</v>
      </c>
      <c r="H620" s="109">
        <f>SUM(H52)</f>
        <v>31198.43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692402.67</v>
      </c>
      <c r="H622" s="109">
        <f>SUM(J52)</f>
        <v>692402.67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434069.27</v>
      </c>
      <c r="H623" s="109">
        <f>F477</f>
        <v>434069.26999999955</v>
      </c>
      <c r="I623" s="121" t="s">
        <v>101</v>
      </c>
      <c r="J623" s="109">
        <f t="shared" ref="J623:J656" si="50">G623-H623</f>
        <v>4.6566128730773926E-10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692402.67</v>
      </c>
      <c r="H627" s="109">
        <f>J477</f>
        <v>692402.66999999993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12573162.549999999</v>
      </c>
      <c r="H628" s="104">
        <f>SUM(F469)</f>
        <v>12573162.550000001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107544.55000000002</v>
      </c>
      <c r="H629" s="104">
        <f>SUM(G469)</f>
        <v>107544.55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239173.13999999998</v>
      </c>
      <c r="H630" s="104">
        <f>SUM(H469)</f>
        <v>239173.14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208158.73</v>
      </c>
      <c r="H632" s="104">
        <f>SUM(J469)</f>
        <v>208158.73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12391481.720000001</v>
      </c>
      <c r="H633" s="104">
        <f>SUM(F473)</f>
        <v>12391481.720000001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239173.14</v>
      </c>
      <c r="H634" s="104">
        <f>SUM(H473)</f>
        <v>239173.14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4594.55</v>
      </c>
      <c r="H635" s="104">
        <f>I370</f>
        <v>4594.55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107544.55</v>
      </c>
      <c r="H636" s="104">
        <f>SUM(G473)</f>
        <v>107544.55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208158.73</v>
      </c>
      <c r="H638" s="164">
        <f>SUM(J469)</f>
        <v>208158.73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71500</v>
      </c>
      <c r="H639" s="164">
        <f>SUM(J473)</f>
        <v>71500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681594.91</v>
      </c>
      <c r="H641" s="104">
        <f>SUM(G462)</f>
        <v>681594.91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10807.76</v>
      </c>
      <c r="H642" s="104">
        <f>SUM(H462)</f>
        <v>10807.76</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692402.67</v>
      </c>
      <c r="H643" s="104">
        <f>SUM(I462)</f>
        <v>692402.67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8158.73</v>
      </c>
      <c r="H645" s="104">
        <f>H409</f>
        <v>8158.7300000000005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208158.73</v>
      </c>
      <c r="H647" s="104">
        <f>L409</f>
        <v>208158.73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519161.68999999994</v>
      </c>
      <c r="H648" s="104">
        <f>L209+L227+L245</f>
        <v>519161.69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71729.67</v>
      </c>
      <c r="H649" s="104">
        <f>(J258+J339)-(J256+J337)</f>
        <v>71729.67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380301.76</v>
      </c>
      <c r="H650" s="104">
        <f>H599</f>
        <v>380301.76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138859.93</v>
      </c>
      <c r="H652" s="104">
        <f>J599</f>
        <v>138859.93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5597.5</v>
      </c>
      <c r="H653" s="104">
        <f>K264+K346</f>
        <v>5597.5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6821706.8600000003</v>
      </c>
      <c r="G661" s="19">
        <f>(L230+L310+L360)</f>
        <v>0</v>
      </c>
      <c r="H661" s="19">
        <f>(L248+L329+L361)</f>
        <v>5122988.72</v>
      </c>
      <c r="I661" s="19">
        <f>SUM(F661:H661)</f>
        <v>11944695.58</v>
      </c>
      <c r="J661" s="13"/>
      <c r="K661" s="13"/>
      <c r="L661" s="13"/>
      <c r="M661" s="9"/>
    </row>
    <row r="662" spans="1:13" s="3" customFormat="1" ht="12.2" customHeight="1" x14ac:dyDescent="0.2">
      <c r="A662" s="1" t="s">
        <v>127</v>
      </c>
      <c r="F662" s="19">
        <f>(L359/IF(SUM(L359:L361)=0,1,SUM(L359:L361))*(SUM(G97:G110)))</f>
        <v>70615.88</v>
      </c>
      <c r="G662" s="19">
        <f>(L360/IF(SUM(L359:L361)=0,1,SUM(L359:L361))*(SUM(G97:G110)))</f>
        <v>0</v>
      </c>
      <c r="H662" s="19">
        <f>(L361/IF(SUM(L359:L361)=0,1,SUM(L359:L361))*(SUM(G97:G110)))</f>
        <v>0</v>
      </c>
      <c r="I662" s="19">
        <f>SUM(F662:H662)</f>
        <v>70615.88</v>
      </c>
      <c r="J662"/>
      <c r="K662" s="13"/>
      <c r="L662" s="13"/>
      <c r="M662" s="8"/>
    </row>
    <row r="663" spans="1:13" s="3" customFormat="1" ht="12.2" customHeight="1" x14ac:dyDescent="0.2">
      <c r="A663" s="1" t="s">
        <v>128</v>
      </c>
      <c r="F663" s="19">
        <f>(L209+L288)-(J209+J288)</f>
        <v>380301.76</v>
      </c>
      <c r="G663" s="19">
        <f>(L227+L307)-(J227+J307)</f>
        <v>0</v>
      </c>
      <c r="H663" s="19">
        <f>(L245+L326)-(J245+J326)</f>
        <v>138859.93</v>
      </c>
      <c r="I663" s="19">
        <f>SUM(F663:H663)</f>
        <v>519161.69</v>
      </c>
      <c r="J663"/>
      <c r="K663" s="13"/>
      <c r="L663" s="13"/>
      <c r="M663" s="9"/>
    </row>
    <row r="664" spans="1:13" s="3" customFormat="1" ht="12.2" customHeight="1" x14ac:dyDescent="0.15">
      <c r="A664" s="198" t="s">
        <v>129</v>
      </c>
      <c r="B664" s="169"/>
      <c r="C664" s="169"/>
      <c r="D664" s="169"/>
      <c r="E664" s="169"/>
      <c r="F664" s="199">
        <f>SUM(F576:F588)+SUM(H603:H605)+SUM(L612)</f>
        <v>146641.84</v>
      </c>
      <c r="G664" s="199">
        <f>SUM(G576:G588)+SUM(I603:I605)+L613</f>
        <v>0</v>
      </c>
      <c r="H664" s="199">
        <f>SUM(H576:H588)+SUM(J603:J605)+L614</f>
        <v>4950302.3500000006</v>
      </c>
      <c r="I664" s="19">
        <f>SUM(F664:H664)</f>
        <v>5096944.1900000004</v>
      </c>
      <c r="J664" s="13"/>
      <c r="K664" s="13"/>
      <c r="L664" s="13"/>
      <c r="M664" s="9"/>
    </row>
    <row r="665" spans="1:13" s="3" customFormat="1" ht="12.2" customHeight="1" x14ac:dyDescent="0.15">
      <c r="A665" s="1" t="s">
        <v>130</v>
      </c>
      <c r="F665" s="19">
        <f>F661-SUM(F662:F664)</f>
        <v>6224147.3800000008</v>
      </c>
      <c r="G665" s="19">
        <f>G661-SUM(G662:G664)</f>
        <v>0</v>
      </c>
      <c r="H665" s="19">
        <f>H661-SUM(H662:H664)</f>
        <v>33826.439999999478</v>
      </c>
      <c r="I665" s="19">
        <f>I661-SUM(I662:I664)</f>
        <v>6257973.8199999994</v>
      </c>
      <c r="J665" s="13"/>
      <c r="K665" s="13"/>
      <c r="L665" s="13"/>
      <c r="M665" s="8"/>
    </row>
    <row r="666" spans="1:13" s="3" customFormat="1" ht="12.2" customHeight="1" x14ac:dyDescent="0.2">
      <c r="A666" s="1" t="s">
        <v>131</v>
      </c>
      <c r="F666" s="246">
        <v>376.19</v>
      </c>
      <c r="G666" s="247"/>
      <c r="H666" s="247"/>
      <c r="I666" s="19">
        <f>SUM(F666:H666)</f>
        <v>376.19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16545.22</v>
      </c>
      <c r="G668" s="19" t="e">
        <f>ROUND(G665/G666,2)</f>
        <v>#DIV/0!</v>
      </c>
      <c r="H668" s="19" t="e">
        <f>ROUND(H665/H666,2)</f>
        <v>#DIV/0!</v>
      </c>
      <c r="I668" s="19">
        <f>ROUND(I665/I666,2)</f>
        <v>16635.14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-33826.44</v>
      </c>
      <c r="I670" s="19">
        <f>SUM(F670:H670)</f>
        <v>-33826.44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16545.22</v>
      </c>
      <c r="G673" s="19" t="e">
        <f>ROUND((G665+G670)/(G666+G671),2)</f>
        <v>#DIV/0!</v>
      </c>
      <c r="H673" s="19" t="e">
        <f>ROUND((H665+H670)/(H666+H671),2)</f>
        <v>#DIV/0!</v>
      </c>
      <c r="I673" s="19">
        <f>ROUND((I665+I670)/(I666+I671),2)</f>
        <v>16545.22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25" header="0.5" footer="0.25"/>
  <pageSetup scale="8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Fremont</v>
      </c>
      <c r="C5" s="344"/>
      <c r="D5" s="344"/>
      <c r="E5" s="344"/>
      <c r="F5" s="344"/>
    </row>
    <row r="8" spans="1:9" ht="18" x14ac:dyDescent="0.25">
      <c r="A8" s="323" t="s">
        <v>1591</v>
      </c>
      <c r="F8" s="330" t="s">
        <v>1609</v>
      </c>
    </row>
    <row r="9" spans="1:9" ht="15" x14ac:dyDescent="0.2">
      <c r="A9" s="321" t="s">
        <v>1592</v>
      </c>
      <c r="B9" s="324">
        <f>'DOE25'!G97</f>
        <v>70615.88</v>
      </c>
      <c r="F9" s="321" t="s">
        <v>1605</v>
      </c>
    </row>
    <row r="10" spans="1:9" ht="15" x14ac:dyDescent="0.2">
      <c r="A10" s="321" t="s">
        <v>1593</v>
      </c>
      <c r="B10" s="324">
        <f>'DOE25'!G112-'DOE25'!G97</f>
        <v>0</v>
      </c>
      <c r="F10" s="321" t="s">
        <v>1606</v>
      </c>
    </row>
    <row r="11" spans="1:9" ht="15" x14ac:dyDescent="0.2">
      <c r="A11" s="321" t="s">
        <v>1594</v>
      </c>
      <c r="B11" s="324">
        <f>'DOE25'!G140</f>
        <v>2210.38</v>
      </c>
      <c r="F11" s="321" t="s">
        <v>1607</v>
      </c>
    </row>
    <row r="12" spans="1:9" ht="15" x14ac:dyDescent="0.2">
      <c r="A12" s="321" t="s">
        <v>1595</v>
      </c>
      <c r="B12" s="324">
        <f>'DOE25'!G170</f>
        <v>29120.79</v>
      </c>
      <c r="F12" s="321" t="s">
        <v>1608</v>
      </c>
    </row>
    <row r="13" spans="1:9" ht="15" x14ac:dyDescent="0.2">
      <c r="A13" s="321" t="s">
        <v>1596</v>
      </c>
      <c r="B13" s="324">
        <f>'DOE25'!G193-'DOE25'!G180</f>
        <v>0</v>
      </c>
      <c r="F13" s="321" t="s">
        <v>1618</v>
      </c>
    </row>
    <row r="14" spans="1:9" ht="18" x14ac:dyDescent="0.25">
      <c r="A14" s="323" t="s">
        <v>732</v>
      </c>
      <c r="B14" s="325">
        <f>SUM(B9:B13)</f>
        <v>101947.05000000002</v>
      </c>
    </row>
    <row r="16" spans="1:9" ht="18" x14ac:dyDescent="0.25">
      <c r="A16" s="323" t="s">
        <v>786</v>
      </c>
      <c r="F16" s="330" t="s">
        <v>1610</v>
      </c>
    </row>
    <row r="17" spans="1:6" ht="15" x14ac:dyDescent="0.2">
      <c r="A17" s="321" t="s">
        <v>1597</v>
      </c>
      <c r="B17" s="324">
        <f>'DOE25'!L363-'DOE25'!L362</f>
        <v>107544.55</v>
      </c>
      <c r="F17" s="321" t="s">
        <v>1611</v>
      </c>
    </row>
    <row r="18" spans="1:6" ht="15" x14ac:dyDescent="0.2">
      <c r="A18" s="321" t="s">
        <v>1598</v>
      </c>
      <c r="B18" s="338"/>
      <c r="F18" s="330" t="s">
        <v>1637</v>
      </c>
    </row>
    <row r="19" spans="1:6" ht="18" x14ac:dyDescent="0.25">
      <c r="A19" s="323" t="s">
        <v>725</v>
      </c>
      <c r="B19" s="325">
        <f>SUM(B17:B18)</f>
        <v>107544.55</v>
      </c>
    </row>
    <row r="21" spans="1:6" ht="18.75" thickBot="1" x14ac:dyDescent="0.3">
      <c r="A21" s="323" t="s">
        <v>1599</v>
      </c>
    </row>
    <row r="22" spans="1:6" ht="18.75" thickTop="1" x14ac:dyDescent="0.25">
      <c r="A22" s="323" t="s">
        <v>1600</v>
      </c>
      <c r="B22" s="329">
        <f>B14-B19</f>
        <v>-5597.4999999999854</v>
      </c>
      <c r="F22" s="321" t="s">
        <v>1612</v>
      </c>
    </row>
    <row r="26" spans="1:6" ht="18" x14ac:dyDescent="0.25">
      <c r="A26" s="323" t="s">
        <v>186</v>
      </c>
    </row>
    <row r="27" spans="1:6" ht="15" x14ac:dyDescent="0.2">
      <c r="A27" s="321" t="s">
        <v>1601</v>
      </c>
      <c r="B27" s="324">
        <f>'DOE25'!G180</f>
        <v>5597.5</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5370.93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9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Fremont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1835000.41</v>
      </c>
      <c r="C9" s="229">
        <f>'DOE25'!G198+'DOE25'!G216+'DOE25'!G234+'DOE25'!G277+'DOE25'!G296+'DOE25'!G315</f>
        <v>1056820.8899999999</v>
      </c>
    </row>
    <row r="10" spans="1:3" x14ac:dyDescent="0.2">
      <c r="A10" t="s">
        <v>775</v>
      </c>
      <c r="B10" s="240">
        <f>47692.42+1758423.29+10000</f>
        <v>1816115.71</v>
      </c>
      <c r="C10" s="240">
        <v>1055376.21</v>
      </c>
    </row>
    <row r="11" spans="1:3" x14ac:dyDescent="0.2">
      <c r="A11" t="s">
        <v>776</v>
      </c>
      <c r="B11" s="240">
        <v>0</v>
      </c>
      <c r="C11" s="240"/>
    </row>
    <row r="12" spans="1:3" x14ac:dyDescent="0.2">
      <c r="A12" t="s">
        <v>777</v>
      </c>
      <c r="B12" s="240">
        <v>18884.7</v>
      </c>
      <c r="C12" s="240">
        <v>1444.68</v>
      </c>
    </row>
    <row r="13" spans="1:3" x14ac:dyDescent="0.2">
      <c r="A13" t="str">
        <f>IF(B9=B13,IF(C9=C13,"Check Total OK","Check Total Error"),"Check Total Error")</f>
        <v>Check Total OK</v>
      </c>
      <c r="B13" s="231">
        <f>SUM(B10:B12)</f>
        <v>1835000.41</v>
      </c>
      <c r="C13" s="231">
        <f>SUM(C10:C12)</f>
        <v>1056820.8899999999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573859.34</v>
      </c>
      <c r="C18" s="229">
        <f>'DOE25'!G199+'DOE25'!G217+'DOE25'!G235+'DOE25'!G278+'DOE25'!G297+'DOE25'!G316</f>
        <v>218438.39</v>
      </c>
    </row>
    <row r="19" spans="1:3" x14ac:dyDescent="0.2">
      <c r="A19" t="s">
        <v>775</v>
      </c>
      <c r="B19" s="240">
        <f>177484+40390+240+1440+1080+1440+1820</f>
        <v>223894</v>
      </c>
      <c r="C19" s="240">
        <v>116219.82</v>
      </c>
    </row>
    <row r="20" spans="1:3" x14ac:dyDescent="0.2">
      <c r="A20" t="s">
        <v>776</v>
      </c>
      <c r="B20" s="240">
        <f>22.71+315360.85+20888.59+741.81+363.36+390+195+250.56+1532</f>
        <v>339744.88</v>
      </c>
      <c r="C20" s="240">
        <v>100976.4</v>
      </c>
    </row>
    <row r="21" spans="1:3" x14ac:dyDescent="0.2">
      <c r="A21" t="s">
        <v>777</v>
      </c>
      <c r="B21" s="240">
        <f>3772.46+3862+1626+960</f>
        <v>10220.459999999999</v>
      </c>
      <c r="C21" s="240">
        <v>1242.17</v>
      </c>
    </row>
    <row r="22" spans="1:3" x14ac:dyDescent="0.2">
      <c r="A22" t="str">
        <f>IF(B18=B22,IF(C18=C22,"Check Total OK","Check Total Error"),"Check Total Error")</f>
        <v>Check Total OK</v>
      </c>
      <c r="B22" s="231">
        <f>SUM(B19:B21)</f>
        <v>573859.34</v>
      </c>
      <c r="C22" s="231">
        <f>SUM(C19:C21)</f>
        <v>218438.39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t="s">
        <v>286</v>
      </c>
      <c r="C28" s="240"/>
    </row>
    <row r="29" spans="1:3" x14ac:dyDescent="0.2">
      <c r="A29" t="s">
        <v>776</v>
      </c>
      <c r="B29" s="240">
        <v>0</v>
      </c>
      <c r="C29" s="240"/>
    </row>
    <row r="30" spans="1:3" x14ac:dyDescent="0.2">
      <c r="A30" t="s">
        <v>777</v>
      </c>
      <c r="B30" s="240">
        <v>0</v>
      </c>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30310</v>
      </c>
      <c r="C36" s="235">
        <f>'DOE25'!G201+'DOE25'!G219+'DOE25'!G237+'DOE25'!G280+'DOE25'!G299+'DOE25'!G318</f>
        <v>6484.72</v>
      </c>
    </row>
    <row r="37" spans="1:3" x14ac:dyDescent="0.2">
      <c r="A37" t="s">
        <v>775</v>
      </c>
      <c r="B37" s="240">
        <f>5760+1700+4900+100+3200+1700+500+500+600+1625+1000+937.5+3700+687.5</f>
        <v>26910</v>
      </c>
      <c r="C37" s="240">
        <v>6224.62</v>
      </c>
    </row>
    <row r="38" spans="1:3" x14ac:dyDescent="0.2">
      <c r="A38" t="s">
        <v>776</v>
      </c>
      <c r="B38" s="240"/>
      <c r="C38" s="240"/>
    </row>
    <row r="39" spans="1:3" x14ac:dyDescent="0.2">
      <c r="A39" t="s">
        <v>777</v>
      </c>
      <c r="B39" s="240">
        <f>1700+1700</f>
        <v>3400</v>
      </c>
      <c r="C39" s="240">
        <v>260.10000000000002</v>
      </c>
    </row>
    <row r="40" spans="1:3" x14ac:dyDescent="0.2">
      <c r="A40" t="str">
        <f>IF(B36=B40,IF(C36=C40,"Check Total OK","Check Total Error"),"Check Total Error")</f>
        <v>Check Total OK</v>
      </c>
      <c r="B40" s="231">
        <f>SUM(B37:B39)</f>
        <v>30310</v>
      </c>
      <c r="C40" s="231">
        <f>SUM(C37:C39)</f>
        <v>6484.72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Fremont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8855213.7400000002</v>
      </c>
      <c r="D5" s="20">
        <f>SUM('DOE25'!L198:L201)+SUM('DOE25'!L216:L219)+SUM('DOE25'!L234:L237)-F5-G5-H5</f>
        <v>8821919.6400000006</v>
      </c>
      <c r="E5" s="243"/>
      <c r="F5" s="244"/>
      <c r="G5" s="53">
        <f>SUM('DOE25'!J198:J201)+SUM('DOE25'!J216:J219)+SUM('DOE25'!J234:J237)</f>
        <v>33219.1</v>
      </c>
      <c r="H5" s="53">
        <f>SUM('DOE25'!K198:K201)+SUM('DOE25'!K216:K219)+SUM('DOE25'!K234:K237)</f>
        <v>75</v>
      </c>
      <c r="I5" s="256"/>
    </row>
    <row r="6" spans="1:9" x14ac:dyDescent="0.2">
      <c r="A6" s="32">
        <v>2100</v>
      </c>
      <c r="B6" t="s">
        <v>796</v>
      </c>
      <c r="C6" s="276">
        <f t="shared" si="0"/>
        <v>631691.76000000013</v>
      </c>
      <c r="D6" s="20">
        <f>'DOE25'!L203+'DOE25'!L221+'DOE25'!L239-F6-G6-H6</f>
        <v>631546.76000000013</v>
      </c>
      <c r="E6" s="243"/>
      <c r="F6" s="244"/>
      <c r="G6" s="53">
        <f>'DOE25'!J203+'DOE25'!J221+'DOE25'!J239</f>
        <v>0</v>
      </c>
      <c r="H6" s="53">
        <f>'DOE25'!K203+'DOE25'!K221+'DOE25'!K239</f>
        <v>145</v>
      </c>
      <c r="I6" s="256"/>
    </row>
    <row r="7" spans="1:9" x14ac:dyDescent="0.2">
      <c r="A7" s="32">
        <v>2200</v>
      </c>
      <c r="B7" t="s">
        <v>821</v>
      </c>
      <c r="C7" s="276">
        <f t="shared" si="0"/>
        <v>153712.56999999998</v>
      </c>
      <c r="D7" s="20">
        <f>'DOE25'!L204+'DOE25'!L222+'DOE25'!L240-F7-G7-H7</f>
        <v>149905.59999999998</v>
      </c>
      <c r="E7" s="243"/>
      <c r="F7" s="244"/>
      <c r="G7" s="53">
        <f>'DOE25'!J204+'DOE25'!J222+'DOE25'!J240</f>
        <v>3466.97</v>
      </c>
      <c r="H7" s="53">
        <f>'DOE25'!K204+'DOE25'!K222+'DOE25'!K240</f>
        <v>340</v>
      </c>
      <c r="I7" s="256"/>
    </row>
    <row r="8" spans="1:9" x14ac:dyDescent="0.2">
      <c r="A8" s="32">
        <v>2300</v>
      </c>
      <c r="B8" t="s">
        <v>797</v>
      </c>
      <c r="C8" s="276">
        <f t="shared" si="0"/>
        <v>569269.02</v>
      </c>
      <c r="D8" s="243"/>
      <c r="E8" s="20">
        <f>'DOE25'!L205+'DOE25'!L223+'DOE25'!L241-F8-G8-H8-D9-D11</f>
        <v>556603.36</v>
      </c>
      <c r="F8" s="244"/>
      <c r="G8" s="53">
        <f>'DOE25'!J205+'DOE25'!J223+'DOE25'!J241</f>
        <v>0</v>
      </c>
      <c r="H8" s="53">
        <f>'DOE25'!K205+'DOE25'!K223+'DOE25'!K241</f>
        <v>12665.66</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415954</v>
      </c>
      <c r="D12" s="20">
        <f>'DOE25'!L206+'DOE25'!L224+'DOE25'!L242-F12-G12-H12</f>
        <v>412640.84</v>
      </c>
      <c r="E12" s="243"/>
      <c r="F12" s="244"/>
      <c r="G12" s="53">
        <f>'DOE25'!J206+'DOE25'!J224+'DOE25'!J242</f>
        <v>0</v>
      </c>
      <c r="H12" s="53">
        <f>'DOE25'!K206+'DOE25'!K224+'DOE25'!K242</f>
        <v>3313.16</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452975.11</v>
      </c>
      <c r="D14" s="20">
        <f>'DOE25'!L208+'DOE25'!L226+'DOE25'!L244-F14-G14-H14</f>
        <v>437562.75</v>
      </c>
      <c r="E14" s="243"/>
      <c r="F14" s="244"/>
      <c r="G14" s="53">
        <f>'DOE25'!J208+'DOE25'!J226+'DOE25'!J244</f>
        <v>15412.36</v>
      </c>
      <c r="H14" s="53">
        <f>'DOE25'!K208+'DOE25'!K226+'DOE25'!K244</f>
        <v>0</v>
      </c>
      <c r="I14" s="256"/>
    </row>
    <row r="15" spans="1:9" x14ac:dyDescent="0.2">
      <c r="A15" s="32">
        <v>2700</v>
      </c>
      <c r="B15" t="s">
        <v>799</v>
      </c>
      <c r="C15" s="276">
        <f t="shared" si="0"/>
        <v>519161.69</v>
      </c>
      <c r="D15" s="20">
        <f>'DOE25'!L209+'DOE25'!L227+'DOE25'!L245-F15-G15-H15</f>
        <v>519161.69</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587906.32999999996</v>
      </c>
      <c r="D22" s="243"/>
      <c r="E22" s="243"/>
      <c r="F22" s="243"/>
      <c r="G22" s="53">
        <f>'DOE25'!L256+'DOE25'!L337</f>
        <v>587906.32999999996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102173.62</v>
      </c>
      <c r="D29" s="284">
        <f>'DOE25'!L359+'DOE25'!L360+'DOE25'!L361-'DOE25'!I368-F29-G29-H29</f>
        <v>102173.62</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239173.14</v>
      </c>
      <c r="D31" s="20">
        <f>'DOE25'!L291+'DOE25'!L310+'DOE25'!L329+'DOE25'!L334+'DOE25'!L335+'DOE25'!L336-F31-G31-H31</f>
        <v>213192.90000000002</v>
      </c>
      <c r="E31" s="243"/>
      <c r="F31" s="244"/>
      <c r="G31" s="53">
        <f>'DOE25'!J291+'DOE25'!J310+'DOE25'!J329+'DOE25'!J334+'DOE25'!J335+'DOE25'!J336</f>
        <v>19631.239999999998</v>
      </c>
      <c r="H31" s="53">
        <f>'DOE25'!K291+'DOE25'!K310+'DOE25'!K329+'DOE25'!K334+'DOE25'!K335+'DOE25'!K336</f>
        <v>6349</v>
      </c>
      <c r="I31" s="256"/>
    </row>
    <row r="32" spans="1:9" ht="12" thickBot="1" x14ac:dyDescent="0.25">
      <c r="C32" s="277"/>
      <c r="G32" s="251"/>
      <c r="H32" s="251"/>
      <c r="I32" s="258"/>
    </row>
    <row r="33" spans="1:9" ht="12" thickTop="1" x14ac:dyDescent="0.2">
      <c r="B33" t="s">
        <v>809</v>
      </c>
      <c r="D33" s="245">
        <f t="shared" ref="D33:I33" si="1">SUM(D5:D31)</f>
        <v>11288103.799999999</v>
      </c>
      <c r="E33" s="245">
        <f t="shared" si="1"/>
        <v>556603.36</v>
      </c>
      <c r="F33" s="245">
        <f t="shared" si="1"/>
        <v>0</v>
      </c>
      <c r="G33" s="245">
        <f t="shared" si="1"/>
        <v>659636</v>
      </c>
      <c r="H33" s="245">
        <f t="shared" si="1"/>
        <v>22887.82</v>
      </c>
      <c r="I33" s="245">
        <f t="shared" si="1"/>
        <v>0</v>
      </c>
    </row>
    <row r="35" spans="1:9" ht="12" thickBot="1" x14ac:dyDescent="0.25">
      <c r="B35" s="251" t="s">
        <v>831</v>
      </c>
      <c r="D35" s="252">
        <f>E33</f>
        <v>556603.36</v>
      </c>
      <c r="E35" s="248"/>
    </row>
    <row r="36" spans="1:9" ht="12" thickTop="1" x14ac:dyDescent="0.2">
      <c r="B36" t="s">
        <v>810</v>
      </c>
      <c r="D36" s="20">
        <f>D33</f>
        <v>11288103.799999999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4"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42" sqref="D4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Fremont</v>
      </c>
      <c r="B2" s="126">
        <f>'DOE25'!B2</f>
        <v>189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6714162.3099999996</v>
      </c>
      <c r="G4" s="303">
        <f>'DOE25'!L212+'DOE25'!L291</f>
        <v>6714162.3100000005</v>
      </c>
      <c r="H4" s="337">
        <f>F4-G4</f>
        <v>0</v>
      </c>
      <c r="I4" s="309" t="str">
        <f>IF(H4=0,"","Does not match DOE25 page 7 and 11 Totals!!")</f>
        <v/>
      </c>
      <c r="N4"/>
    </row>
    <row r="5" spans="1:18" x14ac:dyDescent="0.2">
      <c r="A5" s="21" t="s">
        <v>1061</v>
      </c>
      <c r="B5" s="304">
        <f>IFERROR(VLOOKUP(A5,'School Tables'!$C$3:$D$365,2,FALSE),"")</f>
        <v>20525</v>
      </c>
      <c r="C5" s="297" t="str">
        <f>IFERROR(INDEX('School Tables'!$B$3:$B$365,MATCH('School Level Expenditures'!B5,'School Tables'!$D$3:$D$365,0)),"")</f>
        <v>Fremont</v>
      </c>
      <c r="D5" s="294">
        <v>6503939.1699999999</v>
      </c>
      <c r="E5" s="294">
        <v>210223.14</v>
      </c>
      <c r="F5" s="312">
        <f>D5+E5</f>
        <v>6714162.3099999996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v>0</v>
      </c>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5122988.72</v>
      </c>
      <c r="G36" s="303">
        <f>'DOE25'!L248+'DOE25'!L329</f>
        <v>5122988.72</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5094038.72</v>
      </c>
      <c r="E37" s="294">
        <v>28950</v>
      </c>
      <c r="F37" s="307">
        <f>D37+E37</f>
        <v>5122988.72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Fremont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1513408.63</v>
      </c>
      <c r="D8" s="95">
        <f>'DOE25'!G9</f>
        <v>82319.81</v>
      </c>
      <c r="E8" s="95">
        <f>'DOE25'!H9</f>
        <v>0</v>
      </c>
      <c r="F8" s="95">
        <f>'DOE25'!I9</f>
        <v>0</v>
      </c>
      <c r="G8" s="95">
        <f>'DOE25'!J9</f>
        <v>692402.67</v>
      </c>
      <c r="H8" s="124"/>
      <c r="I8" s="124"/>
    </row>
    <row r="9" spans="1:9" x14ac:dyDescent="0.2">
      <c r="A9" s="1" t="s">
        <v>140</v>
      </c>
      <c r="B9" s="6">
        <v>110</v>
      </c>
      <c r="C9" s="95">
        <f>'DOE25'!F10</f>
        <v>100443.42</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144213.78</v>
      </c>
      <c r="D11" s="95">
        <f>'DOE25'!G12</f>
        <v>0</v>
      </c>
      <c r="E11" s="95">
        <f>'DOE25'!H12</f>
        <v>0</v>
      </c>
      <c r="F11" s="95">
        <f>'DOE25'!I12</f>
        <v>0</v>
      </c>
      <c r="G11" s="95">
        <f>'DOE25'!J12</f>
        <v>0</v>
      </c>
      <c r="H11" s="124"/>
      <c r="I11" s="124"/>
    </row>
    <row r="12" spans="1:9" x14ac:dyDescent="0.2">
      <c r="A12" s="1" t="s">
        <v>143</v>
      </c>
      <c r="B12" s="6">
        <v>140</v>
      </c>
      <c r="C12" s="95">
        <f>'DOE25'!F13</f>
        <v>46389.13</v>
      </c>
      <c r="D12" s="95">
        <f>'DOE25'!G13</f>
        <v>0</v>
      </c>
      <c r="E12" s="95">
        <f>'DOE25'!H13</f>
        <v>31198.43</v>
      </c>
      <c r="F12" s="95">
        <f>'DOE25'!I13</f>
        <v>0</v>
      </c>
      <c r="G12" s="95">
        <f>'DOE25'!J13</f>
        <v>0</v>
      </c>
      <c r="H12" s="124"/>
      <c r="I12" s="124"/>
    </row>
    <row r="13" spans="1:9" x14ac:dyDescent="0.2">
      <c r="A13" s="1" t="s">
        <v>144</v>
      </c>
      <c r="B13" s="6">
        <v>150</v>
      </c>
      <c r="C13" s="95">
        <f>'DOE25'!F14</f>
        <v>0</v>
      </c>
      <c r="D13" s="95">
        <f>'DOE25'!G14</f>
        <v>36056.68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3307.8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1078.21</v>
      </c>
      <c r="D17" s="95">
        <f>'DOE25'!G18</f>
        <v>0</v>
      </c>
      <c r="E17" s="95">
        <f>'DOE25'!H18</f>
        <v>0</v>
      </c>
      <c r="F17" s="95">
        <f>'DOE25'!I18</f>
        <v>0</v>
      </c>
      <c r="G17" s="95">
        <f>'DOE25'!J18</f>
        <v>0</v>
      </c>
      <c r="H17" s="124"/>
      <c r="I17" s="124"/>
    </row>
    <row r="18" spans="1:9" ht="12" thickTop="1" x14ac:dyDescent="0.2">
      <c r="A18" s="38" t="s">
        <v>149</v>
      </c>
      <c r="B18" s="39"/>
      <c r="C18" s="41">
        <f>SUM(C8:C17)</f>
        <v>1805533.1699999997</v>
      </c>
      <c r="D18" s="41">
        <f>SUM(D8:D17)</f>
        <v>121684.29</v>
      </c>
      <c r="E18" s="41">
        <f>SUM(E8:E17)</f>
        <v>31198.43</v>
      </c>
      <c r="F18" s="41">
        <f>SUM(F8:F17)</f>
        <v>0</v>
      </c>
      <c r="G18" s="41">
        <f>SUM(G8:G17)</f>
        <v>692402.67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114479.33</v>
      </c>
      <c r="E21" s="95">
        <f>'DOE25'!H22</f>
        <v>29734.45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1326885.6499999999</v>
      </c>
      <c r="D23" s="95">
        <f>'DOE25'!G24</f>
        <v>0</v>
      </c>
      <c r="E23" s="95">
        <f>'DOE25'!H24</f>
        <v>1463.98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44578.25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7204.96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1371463.9</v>
      </c>
      <c r="D31" s="41">
        <f>SUM(D21:D30)</f>
        <v>121684.29000000001</v>
      </c>
      <c r="E31" s="41">
        <f>SUM(E21:E30)</f>
        <v>31198.43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3307.8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-3307.8</v>
      </c>
      <c r="E47" s="95">
        <f>'DOE25'!H48</f>
        <v>0</v>
      </c>
      <c r="F47" s="95">
        <f>'DOE25'!I48</f>
        <v>0</v>
      </c>
      <c r="G47" s="95">
        <f>'DOE25'!J48</f>
        <v>692402.67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434069.27</v>
      </c>
      <c r="D49" s="24" t="s">
        <v>288</v>
      </c>
      <c r="E49" s="24" t="s">
        <v>288</v>
      </c>
      <c r="F49" s="24" t="s">
        <v>288</v>
      </c>
      <c r="G49" s="24" t="s">
        <v>288</v>
      </c>
      <c r="H49" s="124"/>
      <c r="I49" s="124"/>
    </row>
    <row r="50" spans="1:9" ht="12.75" thickTop="1" thickBot="1" x14ac:dyDescent="0.25">
      <c r="A50" s="38" t="s">
        <v>884</v>
      </c>
      <c r="B50" s="48"/>
      <c r="C50" s="41">
        <f>SUM(C34:C49)</f>
        <v>434069.27</v>
      </c>
      <c r="D50" s="41">
        <f>SUM(D34:D49)</f>
        <v>0</v>
      </c>
      <c r="E50" s="41">
        <f>SUM(E34:E49)</f>
        <v>0</v>
      </c>
      <c r="F50" s="41">
        <f>SUM(F34:F49)</f>
        <v>0</v>
      </c>
      <c r="G50" s="41">
        <f>SUM(G34:G49)</f>
        <v>692402.67</v>
      </c>
      <c r="H50" s="124"/>
      <c r="I50" s="124"/>
    </row>
    <row r="51" spans="1:9" ht="12" thickTop="1" x14ac:dyDescent="0.2">
      <c r="A51" s="38" t="s">
        <v>885</v>
      </c>
      <c r="B51" s="2"/>
      <c r="C51" s="41">
        <f>C50+C31</f>
        <v>1805533.17</v>
      </c>
      <c r="D51" s="41">
        <f>D50+D31</f>
        <v>121684.29000000001</v>
      </c>
      <c r="E51" s="41">
        <f>E50+E31</f>
        <v>31198.43</v>
      </c>
      <c r="F51" s="41">
        <f>F50+F31</f>
        <v>0</v>
      </c>
      <c r="G51" s="41">
        <f>G50+G31</f>
        <v>692402.67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9348455.6199999992</v>
      </c>
      <c r="D56" s="95">
        <f>'DOE25'!G60</f>
        <v>0</v>
      </c>
      <c r="E56" s="95">
        <f>'DOE25'!H60</f>
        <v>0</v>
      </c>
      <c r="F56" s="95">
        <f>'DOE25'!I60</f>
        <v>0</v>
      </c>
      <c r="G56" s="95">
        <f>'DOE25'!J60</f>
        <v>0</v>
      </c>
      <c r="H56"/>
      <c r="I56"/>
    </row>
    <row r="57" spans="1:9" x14ac:dyDescent="0.2">
      <c r="A57" s="1" t="s">
        <v>164</v>
      </c>
      <c r="B57" s="6" t="s">
        <v>165</v>
      </c>
      <c r="C57" s="95">
        <f>'DOE25'!F79</f>
        <v>13230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7213.62</v>
      </c>
      <c r="D59" s="95">
        <f>'DOE25'!G96</f>
        <v>0</v>
      </c>
      <c r="E59" s="95">
        <f>'DOE25'!H96</f>
        <v>0</v>
      </c>
      <c r="F59" s="95">
        <f>'DOE25'!I96</f>
        <v>0</v>
      </c>
      <c r="G59" s="95">
        <f>'DOE25'!J96</f>
        <v>8158.73</v>
      </c>
      <c r="H59"/>
      <c r="I59"/>
    </row>
    <row r="60" spans="1:9" x14ac:dyDescent="0.2">
      <c r="A60" s="1" t="s">
        <v>170</v>
      </c>
      <c r="B60" s="118" t="s">
        <v>171</v>
      </c>
      <c r="C60" s="24" t="s">
        <v>288</v>
      </c>
      <c r="D60" s="95">
        <f>'DOE25'!G97</f>
        <v>70615.88</v>
      </c>
      <c r="E60" s="24" t="s">
        <v>288</v>
      </c>
      <c r="F60" s="24" t="s">
        <v>288</v>
      </c>
      <c r="G60" s="24" t="s">
        <v>288</v>
      </c>
      <c r="H60"/>
      <c r="I60"/>
    </row>
    <row r="61" spans="1:9" ht="12" thickBot="1" x14ac:dyDescent="0.25">
      <c r="A61" s="1" t="s">
        <v>172</v>
      </c>
      <c r="B61" s="118" t="s">
        <v>173</v>
      </c>
      <c r="C61" s="95">
        <f>SUM('DOE25'!F98:F110)</f>
        <v>117941.3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138384.92000000001</v>
      </c>
      <c r="D62" s="130">
        <f>SUM(D57:D61)</f>
        <v>70615.88</v>
      </c>
      <c r="E62" s="130">
        <f>SUM(E57:E61)</f>
        <v>0</v>
      </c>
      <c r="F62" s="130">
        <f>SUM(F57:F61)</f>
        <v>0</v>
      </c>
      <c r="G62" s="130">
        <f>SUM(G57:G61)</f>
        <v>8158.73</v>
      </c>
      <c r="H62"/>
      <c r="I62"/>
    </row>
    <row r="63" spans="1:9" ht="12" thickTop="1" x14ac:dyDescent="0.2">
      <c r="A63" s="29" t="s">
        <v>175</v>
      </c>
      <c r="B63" s="6"/>
      <c r="C63" s="22">
        <f>C56+C62</f>
        <v>9486840.5399999991</v>
      </c>
      <c r="D63" s="22">
        <f>D56+D62</f>
        <v>70615.88</v>
      </c>
      <c r="E63" s="22">
        <f>E56+E62</f>
        <v>0</v>
      </c>
      <c r="F63" s="22">
        <f>F56+F62</f>
        <v>0</v>
      </c>
      <c r="G63" s="22">
        <f>G56+G62</f>
        <v>8158.73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1667921.94</v>
      </c>
      <c r="D66" s="24" t="s">
        <v>288</v>
      </c>
      <c r="E66" s="24" t="s">
        <v>288</v>
      </c>
      <c r="F66" s="24" t="s">
        <v>288</v>
      </c>
      <c r="G66" s="24" t="s">
        <v>288</v>
      </c>
      <c r="H66"/>
      <c r="I66"/>
    </row>
    <row r="67" spans="1:9" x14ac:dyDescent="0.2">
      <c r="A67" s="1" t="s">
        <v>770</v>
      </c>
      <c r="B67" s="6">
        <v>3112</v>
      </c>
      <c r="C67" s="95">
        <f>'DOE25'!F118</f>
        <v>981811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2021.23</v>
      </c>
      <c r="D69" s="95">
        <f>'DOE25'!G120</f>
        <v>0</v>
      </c>
      <c r="E69" s="95">
        <f>'DOE25'!H120</f>
        <v>0</v>
      </c>
      <c r="F69" s="95">
        <f>'DOE25'!I120</f>
        <v>0</v>
      </c>
      <c r="G69" s="95">
        <f>'DOE25'!J120</f>
        <v>0</v>
      </c>
      <c r="H69"/>
      <c r="I69"/>
    </row>
    <row r="70" spans="1:9" ht="12" thickTop="1" x14ac:dyDescent="0.2">
      <c r="A70" s="29" t="s">
        <v>252</v>
      </c>
      <c r="B70" s="2"/>
      <c r="C70" s="139">
        <f>SUM(C66:C69)</f>
        <v>2651754.17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334765.09000000003</v>
      </c>
      <c r="D75" s="24" t="s">
        <v>288</v>
      </c>
      <c r="E75" s="24" t="s">
        <v>288</v>
      </c>
      <c r="F75" s="24" t="s">
        <v>288</v>
      </c>
      <c r="G75" s="24" t="s">
        <v>288</v>
      </c>
      <c r="H75"/>
      <c r="I75"/>
    </row>
    <row r="76" spans="1:9" x14ac:dyDescent="0.2">
      <c r="A76" s="1" t="s">
        <v>257</v>
      </c>
      <c r="B76" s="6" t="s">
        <v>179</v>
      </c>
      <c r="C76" s="95">
        <f>SUM('DOE25'!F127:F130)</f>
        <v>0</v>
      </c>
      <c r="D76" s="24" t="s">
        <v>288</v>
      </c>
      <c r="E76" s="95">
        <f>SUM('DOE25'!H127:H130)</f>
        <v>7051.75</v>
      </c>
      <c r="F76" s="95">
        <f>SUM('DOE25'!I127:I130)</f>
        <v>0</v>
      </c>
      <c r="G76" s="24" t="s">
        <v>288</v>
      </c>
      <c r="H76"/>
      <c r="I76"/>
    </row>
    <row r="77" spans="1:9" ht="12" thickBot="1" x14ac:dyDescent="0.25">
      <c r="A77" s="1" t="s">
        <v>258</v>
      </c>
      <c r="B77" s="6" t="s">
        <v>180</v>
      </c>
      <c r="C77" s="95">
        <f>SUM('DOE25'!F131:F135)</f>
        <v>24481.09</v>
      </c>
      <c r="D77" s="95">
        <f>SUM('DOE25'!G131:G135)</f>
        <v>2210.38</v>
      </c>
      <c r="E77" s="95">
        <f>SUM('DOE25'!H131:H135)</f>
        <v>0</v>
      </c>
      <c r="F77" s="95">
        <f>SUM('DOE25'!I131:I135)</f>
        <v>0</v>
      </c>
      <c r="G77" s="95">
        <f>SUM('DOE25'!J131:J135)</f>
        <v>0</v>
      </c>
      <c r="H77"/>
      <c r="I77"/>
    </row>
    <row r="78" spans="1:9" ht="12.75" thickTop="1" thickBot="1" x14ac:dyDescent="0.25">
      <c r="A78" s="29" t="s">
        <v>259</v>
      </c>
      <c r="B78" s="6"/>
      <c r="C78" s="130">
        <f>SUM(C72:C77)</f>
        <v>359246.18000000005</v>
      </c>
      <c r="D78" s="130">
        <f>SUM(D72:D77)</f>
        <v>2210.38</v>
      </c>
      <c r="E78" s="130">
        <f>SUM(E72:E77)</f>
        <v>7051.75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3011000.35</v>
      </c>
      <c r="D81" s="130">
        <f>SUM(D79:D80)+D78+D70</f>
        <v>2210.38</v>
      </c>
      <c r="E81" s="130">
        <f>SUM(E79:E80)+E78+E70</f>
        <v>7051.75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12275.49</v>
      </c>
      <c r="F87" s="95">
        <f>SUM('DOE25'!I149:I152)</f>
        <v>0</v>
      </c>
      <c r="G87" s="24" t="s">
        <v>288</v>
      </c>
    </row>
    <row r="88" spans="1:9" x14ac:dyDescent="0.2">
      <c r="A88" s="291" t="s">
        <v>747</v>
      </c>
      <c r="B88" s="340" t="s">
        <v>184</v>
      </c>
      <c r="C88" s="341">
        <f>SUM('DOE25'!F153:F162)</f>
        <v>3821.66</v>
      </c>
      <c r="D88" s="341">
        <f>SUM('DOE25'!G153:G162)</f>
        <v>29120.79</v>
      </c>
      <c r="E88" s="341">
        <f>SUM('DOE25'!H153:H162)</f>
        <v>219845.9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3821.66</v>
      </c>
      <c r="D91" s="131">
        <f>SUM(D85:D90)</f>
        <v>29120.79</v>
      </c>
      <c r="E91" s="131">
        <f>SUM(E85:E90)</f>
        <v>232121.38999999998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5597.5</v>
      </c>
      <c r="E96" s="95">
        <f>'DOE25'!H180</f>
        <v>0</v>
      </c>
      <c r="F96" s="95">
        <f>'DOE25'!I180</f>
        <v>0</v>
      </c>
      <c r="G96" s="95">
        <f>'DOE25'!J180</f>
        <v>200000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71500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71500</v>
      </c>
      <c r="D103" s="86">
        <f>SUM(D93:D102)</f>
        <v>5597.5</v>
      </c>
      <c r="E103" s="86">
        <f>SUM(E93:E102)</f>
        <v>0</v>
      </c>
      <c r="F103" s="86">
        <f>SUM(F93:F102)</f>
        <v>0</v>
      </c>
      <c r="G103" s="86">
        <f>SUM(G93:G102)</f>
        <v>200000</v>
      </c>
    </row>
    <row r="104" spans="1:7" ht="12.75" thickTop="1" thickBot="1" x14ac:dyDescent="0.25">
      <c r="A104" s="33" t="s">
        <v>761</v>
      </c>
      <c r="C104" s="86">
        <f>C63+C81+C91+C103</f>
        <v>12573162.549999999</v>
      </c>
      <c r="D104" s="86">
        <f>D63+D81+D91+D103</f>
        <v>107544.55000000002</v>
      </c>
      <c r="E104" s="86">
        <f>E63+E81+E91+E103</f>
        <v>239173.13999999998</v>
      </c>
      <c r="F104" s="86">
        <f>F63+F81+F91+F103</f>
        <v>0</v>
      </c>
      <c r="G104" s="86">
        <f>G63+G81+G103</f>
        <v>208158.73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7100749.3899999997</v>
      </c>
      <c r="D109" s="24" t="s">
        <v>288</v>
      </c>
      <c r="E109" s="95">
        <f>('DOE25'!L277)+('DOE25'!L296)+('DOE25'!L315)</f>
        <v>74125.509999999995</v>
      </c>
      <c r="F109" s="24" t="s">
        <v>288</v>
      </c>
      <c r="G109" s="24" t="s">
        <v>288</v>
      </c>
    </row>
    <row r="110" spans="1:7" x14ac:dyDescent="0.2">
      <c r="A110" t="s">
        <v>198</v>
      </c>
      <c r="B110" s="32" t="s">
        <v>199</v>
      </c>
      <c r="C110" s="95">
        <f>('DOE25'!L199)+('DOE25'!L217)+('DOE25'!L235)</f>
        <v>1716882.29</v>
      </c>
      <c r="D110" s="24" t="s">
        <v>288</v>
      </c>
      <c r="E110" s="95">
        <f>('DOE25'!L278)+('DOE25'!L297)+('DOE25'!L316)</f>
        <v>102928.64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37582.060000000005</v>
      </c>
      <c r="D112" s="24" t="s">
        <v>288</v>
      </c>
      <c r="E112" s="95">
        <f>+('DOE25'!L280)+('DOE25'!L299)+('DOE25'!L318)</f>
        <v>14277.67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8855213.7400000002</v>
      </c>
      <c r="D115" s="86">
        <f>SUM(D109:D114)</f>
        <v>0</v>
      </c>
      <c r="E115" s="86">
        <f>SUM(E109:E114)</f>
        <v>191331.82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631691.76000000013</v>
      </c>
      <c r="D118" s="24" t="s">
        <v>288</v>
      </c>
      <c r="E118" s="95">
        <f>+('DOE25'!L282)+('DOE25'!L301)+('DOE25'!L320)</f>
        <v>19542.57</v>
      </c>
      <c r="F118" s="24" t="s">
        <v>288</v>
      </c>
      <c r="G118" s="24" t="s">
        <v>288</v>
      </c>
    </row>
    <row r="119" spans="1:7" x14ac:dyDescent="0.2">
      <c r="A119" t="s">
        <v>208</v>
      </c>
      <c r="B119" s="32" t="s">
        <v>209</v>
      </c>
      <c r="C119" s="95">
        <f>('DOE25'!L204)+('DOE25'!L222)+('DOE25'!L240)</f>
        <v>153712.56999999998</v>
      </c>
      <c r="D119" s="24" t="s">
        <v>288</v>
      </c>
      <c r="E119" s="95">
        <f>+('DOE25'!L283)+('DOE25'!L302)+('DOE25'!L321)</f>
        <v>28298.75</v>
      </c>
      <c r="F119" s="24" t="s">
        <v>288</v>
      </c>
      <c r="G119" s="24" t="s">
        <v>288</v>
      </c>
    </row>
    <row r="120" spans="1:7" x14ac:dyDescent="0.2">
      <c r="A120" t="s">
        <v>210</v>
      </c>
      <c r="B120" s="32" t="s">
        <v>211</v>
      </c>
      <c r="C120" s="95">
        <f>('DOE25'!L205)+('DOE25'!L223)+('DOE25'!L241)</f>
        <v>569269.02</v>
      </c>
      <c r="D120" s="24" t="s">
        <v>288</v>
      </c>
      <c r="E120" s="95">
        <f>+('DOE25'!L284)+('DOE25'!L303)+('DOE25'!L322)</f>
        <v>0</v>
      </c>
      <c r="F120" s="24" t="s">
        <v>288</v>
      </c>
      <c r="G120" s="24" t="s">
        <v>288</v>
      </c>
    </row>
    <row r="121" spans="1:7" x14ac:dyDescent="0.2">
      <c r="A121" t="s">
        <v>212</v>
      </c>
      <c r="B121" s="32" t="s">
        <v>213</v>
      </c>
      <c r="C121" s="95">
        <f>('DOE25'!L206)+('DOE25'!L224)+('DOE25'!L242)</f>
        <v>415954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452975.11</v>
      </c>
      <c r="D123" s="24" t="s">
        <v>288</v>
      </c>
      <c r="E123" s="95">
        <f>+('DOE25'!L287)+('DOE25'!L306)+('DOE25'!L325)</f>
        <v>0</v>
      </c>
      <c r="F123" s="24" t="s">
        <v>288</v>
      </c>
      <c r="G123" s="24" t="s">
        <v>288</v>
      </c>
    </row>
    <row r="124" spans="1:7" x14ac:dyDescent="0.2">
      <c r="A124" t="s">
        <v>218</v>
      </c>
      <c r="B124" s="32" t="s">
        <v>219</v>
      </c>
      <c r="C124" s="95">
        <f>('DOE25'!L209)+('DOE25'!L227)+('DOE25'!L245+'DOE25'!L255)</f>
        <v>519161.69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107544.55</v>
      </c>
      <c r="E127" s="24" t="s">
        <v>288</v>
      </c>
      <c r="F127" s="24" t="s">
        <v>288</v>
      </c>
      <c r="G127" s="24" t="s">
        <v>288</v>
      </c>
    </row>
    <row r="128" spans="1:7" ht="12.75" thickTop="1" thickBot="1" x14ac:dyDescent="0.25">
      <c r="A128" s="33" t="s">
        <v>226</v>
      </c>
      <c r="C128" s="86">
        <f>SUM(C118:C127)</f>
        <v>2742764.15</v>
      </c>
      <c r="D128" s="86">
        <f>SUM(D118:D127)</f>
        <v>107544.55</v>
      </c>
      <c r="E128" s="86">
        <f>SUM(E118:E127)</f>
        <v>47841.32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587906.32999999996</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71500</v>
      </c>
    </row>
    <row r="135" spans="1:7" x14ac:dyDescent="0.2">
      <c r="A135" t="s">
        <v>233</v>
      </c>
      <c r="B135" s="32" t="s">
        <v>234</v>
      </c>
      <c r="C135" s="95">
        <f>'DOE25'!L264</f>
        <v>5597.5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208029.71000000002</v>
      </c>
      <c r="D139" s="24" t="s">
        <v>288</v>
      </c>
      <c r="E139" s="24" t="s">
        <v>288</v>
      </c>
      <c r="F139" s="24" t="s">
        <v>288</v>
      </c>
      <c r="G139" s="24" t="s">
        <v>288</v>
      </c>
    </row>
    <row r="140" spans="1:7" x14ac:dyDescent="0.2">
      <c r="A140" t="s">
        <v>240</v>
      </c>
      <c r="B140" s="32">
        <v>5253</v>
      </c>
      <c r="C140" s="95">
        <f>'DOE25'!L408</f>
        <v>129.02000000000001</v>
      </c>
      <c r="D140" s="24" t="s">
        <v>288</v>
      </c>
      <c r="E140" s="24" t="s">
        <v>288</v>
      </c>
      <c r="F140" s="24" t="s">
        <v>288</v>
      </c>
      <c r="G140" s="24" t="s">
        <v>288</v>
      </c>
    </row>
    <row r="141" spans="1:7" x14ac:dyDescent="0.2">
      <c r="A141" t="s">
        <v>762</v>
      </c>
      <c r="B141" s="32">
        <v>5254</v>
      </c>
      <c r="C141" s="95">
        <f>('DOE25'!L267+'DOE25'!K348) - (C138+C139+C140)</f>
        <v>-8158.7300000000105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793503.83000000007</v>
      </c>
      <c r="D144" s="141">
        <f>SUM(D130:D143)</f>
        <v>0</v>
      </c>
      <c r="E144" s="141">
        <f>SUM(E130:E143)</f>
        <v>0</v>
      </c>
      <c r="F144" s="141">
        <f>SUM(F130:F143)</f>
        <v>0</v>
      </c>
      <c r="G144" s="141">
        <f>SUM(G130:G143)</f>
        <v>71500</v>
      </c>
    </row>
    <row r="145" spans="1:9" ht="12.75" thickTop="1" thickBot="1" x14ac:dyDescent="0.25">
      <c r="A145" s="33" t="s">
        <v>244</v>
      </c>
      <c r="C145" s="86">
        <f>(C115+C128+C144)</f>
        <v>12391481.720000001</v>
      </c>
      <c r="D145" s="86">
        <f>(D115+D128+D144)</f>
        <v>107544.55</v>
      </c>
      <c r="E145" s="86">
        <f>(E115+E128+E144)</f>
        <v>239173.14</v>
      </c>
      <c r="F145" s="86">
        <f>(F115+F128+F144)</f>
        <v>0</v>
      </c>
      <c r="G145" s="86">
        <f>(G115+G128+G144)</f>
        <v>71500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11/17</v>
      </c>
      <c r="C152" s="152">
        <f>'DOE25'!G492</f>
        <v>0</v>
      </c>
      <c r="D152" s="152">
        <f>'DOE25'!H492</f>
        <v>0</v>
      </c>
      <c r="E152" s="152">
        <f>'DOE25'!I492</f>
        <v>0</v>
      </c>
      <c r="F152" s="152">
        <f>'DOE25'!J492</f>
        <v>0</v>
      </c>
      <c r="G152" s="24" t="s">
        <v>288</v>
      </c>
    </row>
    <row r="153" spans="1:9" x14ac:dyDescent="0.2">
      <c r="A153" s="136" t="s">
        <v>29</v>
      </c>
      <c r="B153" s="152" t="str">
        <f>'DOE25'!F493</f>
        <v>08/22</v>
      </c>
      <c r="C153" s="152">
        <f>'DOE25'!G493</f>
        <v>0</v>
      </c>
      <c r="D153" s="152">
        <f>'DOE25'!H493</f>
        <v>0</v>
      </c>
      <c r="E153" s="152">
        <f>'DOE25'!I493</f>
        <v>0</v>
      </c>
      <c r="F153" s="152">
        <f>'DOE25'!J493</f>
        <v>0</v>
      </c>
      <c r="G153" s="24" t="s">
        <v>288</v>
      </c>
    </row>
    <row r="154" spans="1:9" x14ac:dyDescent="0.2">
      <c r="A154" s="136" t="s">
        <v>30</v>
      </c>
      <c r="B154" s="137">
        <f>'DOE25'!F494</f>
        <v>66811.929999999993</v>
      </c>
      <c r="C154" s="137">
        <f>'DOE25'!G494</f>
        <v>0</v>
      </c>
      <c r="D154" s="137">
        <f>'DOE25'!H494</f>
        <v>0</v>
      </c>
      <c r="E154" s="137">
        <f>'DOE25'!I494</f>
        <v>0</v>
      </c>
      <c r="F154" s="137">
        <f>'DOE25'!J494</f>
        <v>0</v>
      </c>
      <c r="G154" s="24" t="s">
        <v>288</v>
      </c>
    </row>
    <row r="155" spans="1:9" x14ac:dyDescent="0.2">
      <c r="A155" s="136" t="s">
        <v>31</v>
      </c>
      <c r="B155" s="137">
        <f>'DOE25'!F495</f>
        <v>3.09</v>
      </c>
      <c r="C155" s="137">
        <f>'DOE25'!G495</f>
        <v>0</v>
      </c>
      <c r="D155" s="137">
        <f>'DOE25'!H495</f>
        <v>0</v>
      </c>
      <c r="E155" s="137">
        <f>'DOE25'!I495</f>
        <v>0</v>
      </c>
      <c r="F155" s="137">
        <f>'DOE25'!J495</f>
        <v>0</v>
      </c>
      <c r="G155" s="24" t="s">
        <v>288</v>
      </c>
    </row>
    <row r="156" spans="1:9" x14ac:dyDescent="0.2">
      <c r="A156" s="22" t="s">
        <v>32</v>
      </c>
      <c r="B156" s="137">
        <f>'DOE25'!F496</f>
        <v>53840.35</v>
      </c>
      <c r="C156" s="137">
        <f>'DOE25'!G496</f>
        <v>0</v>
      </c>
      <c r="D156" s="137">
        <f>'DOE25'!H496</f>
        <v>0</v>
      </c>
      <c r="E156" s="137">
        <f>'DOE25'!I496</f>
        <v>0</v>
      </c>
      <c r="F156" s="137">
        <f>'DOE25'!J496</f>
        <v>0</v>
      </c>
      <c r="G156" s="138">
        <f>SUM(B156:F156)</f>
        <v>53840.35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12852.03</v>
      </c>
      <c r="C158" s="137">
        <f>'DOE25'!G498</f>
        <v>0</v>
      </c>
      <c r="D158" s="137">
        <f>'DOE25'!H498</f>
        <v>0</v>
      </c>
      <c r="E158" s="137">
        <f>'DOE25'!I498</f>
        <v>0</v>
      </c>
      <c r="F158" s="137">
        <f>'DOE25'!J498</f>
        <v>0</v>
      </c>
      <c r="G158" s="138">
        <f t="shared" si="0"/>
        <v>12852.03</v>
      </c>
    </row>
    <row r="159" spans="1:9" x14ac:dyDescent="0.2">
      <c r="A159" s="22" t="s">
        <v>35</v>
      </c>
      <c r="B159" s="137">
        <f>'DOE25'!F499</f>
        <v>40988.32</v>
      </c>
      <c r="C159" s="137">
        <f>'DOE25'!G499</f>
        <v>0</v>
      </c>
      <c r="D159" s="137">
        <f>'DOE25'!H499</f>
        <v>0</v>
      </c>
      <c r="E159" s="137">
        <f>'DOE25'!I499</f>
        <v>0</v>
      </c>
      <c r="F159" s="137">
        <f>'DOE25'!J499</f>
        <v>0</v>
      </c>
      <c r="G159" s="138">
        <f t="shared" si="0"/>
        <v>40988.32</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40988.32</v>
      </c>
      <c r="C161" s="137">
        <f>'DOE25'!G501</f>
        <v>0</v>
      </c>
      <c r="D161" s="137">
        <f>'DOE25'!H501</f>
        <v>0</v>
      </c>
      <c r="E161" s="137">
        <f>'DOE25'!I501</f>
        <v>0</v>
      </c>
      <c r="F161" s="137">
        <f>'DOE25'!J501</f>
        <v>0</v>
      </c>
      <c r="G161" s="138">
        <f t="shared" si="0"/>
        <v>40988.32</v>
      </c>
    </row>
    <row r="162" spans="1:7" x14ac:dyDescent="0.2">
      <c r="A162" s="22" t="s">
        <v>38</v>
      </c>
      <c r="B162" s="137">
        <f>'DOE25'!F502</f>
        <v>13249.16</v>
      </c>
      <c r="C162" s="137">
        <f>'DOE25'!G502</f>
        <v>0</v>
      </c>
      <c r="D162" s="137">
        <f>'DOE25'!H502</f>
        <v>0</v>
      </c>
      <c r="E162" s="137">
        <f>'DOE25'!I502</f>
        <v>0</v>
      </c>
      <c r="F162" s="137">
        <f>'DOE25'!J502</f>
        <v>0</v>
      </c>
      <c r="G162" s="138">
        <f t="shared" si="0"/>
        <v>13249.16</v>
      </c>
    </row>
    <row r="163" spans="1:7" x14ac:dyDescent="0.2">
      <c r="A163" s="22" t="s">
        <v>39</v>
      </c>
      <c r="B163" s="137">
        <f>'DOE25'!F503</f>
        <v>1266.54</v>
      </c>
      <c r="C163" s="137">
        <f>'DOE25'!G503</f>
        <v>0</v>
      </c>
      <c r="D163" s="137">
        <f>'DOE25'!H503</f>
        <v>0</v>
      </c>
      <c r="E163" s="137">
        <f>'DOE25'!I503</f>
        <v>0</v>
      </c>
      <c r="F163" s="137">
        <f>'DOE25'!J503</f>
        <v>0</v>
      </c>
      <c r="G163" s="138">
        <f t="shared" si="0"/>
        <v>1266.54</v>
      </c>
    </row>
    <row r="164" spans="1:7" x14ac:dyDescent="0.2">
      <c r="A164" s="22" t="s">
        <v>246</v>
      </c>
      <c r="B164" s="137">
        <f>'DOE25'!F504</f>
        <v>14515.7</v>
      </c>
      <c r="C164" s="137">
        <f>'DOE25'!G504</f>
        <v>0</v>
      </c>
      <c r="D164" s="137">
        <f>'DOE25'!H504</f>
        <v>0</v>
      </c>
      <c r="E164" s="137">
        <f>'DOE25'!I504</f>
        <v>0</v>
      </c>
      <c r="F164" s="137">
        <f>'DOE25'!J504</f>
        <v>0</v>
      </c>
      <c r="G164" s="138">
        <f t="shared" si="0"/>
        <v>14515.7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Fremont</v>
      </c>
    </row>
    <row r="3" spans="1:4" x14ac:dyDescent="0.2">
      <c r="B3" s="188" t="s">
        <v>1587</v>
      </c>
    </row>
    <row r="4" spans="1:4" x14ac:dyDescent="0.2">
      <c r="B4" t="s">
        <v>61</v>
      </c>
      <c r="C4" s="179">
        <f>IF('DOE25'!F666+'DOE25'!F671=0,0,ROUND('DOE25'!F673,0))</f>
        <v>16545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16545</v>
      </c>
    </row>
    <row r="9" spans="1:4" x14ac:dyDescent="0.2">
      <c r="A9" s="187" t="s">
        <v>94</v>
      </c>
      <c r="B9" s="188" t="s">
        <v>1588</v>
      </c>
      <c r="C9" s="181" t="s">
        <v>720</v>
      </c>
      <c r="D9" s="181" t="s">
        <v>721</v>
      </c>
    </row>
    <row r="10" spans="1:4" x14ac:dyDescent="0.2">
      <c r="A10">
        <v>1100</v>
      </c>
      <c r="B10" t="s">
        <v>702</v>
      </c>
      <c r="C10" s="179">
        <f>ROUND('DOE25'!L198+'DOE25'!L216+'DOE25'!L234+'DOE25'!L277+'DOE25'!L296+'DOE25'!L315,0)</f>
        <v>7174875</v>
      </c>
      <c r="D10" s="182">
        <f>ROUND((C10/$C$28)*100,1)</f>
        <v>60.4</v>
      </c>
    </row>
    <row r="11" spans="1:4" x14ac:dyDescent="0.2">
      <c r="A11">
        <v>1200</v>
      </c>
      <c r="B11" t="s">
        <v>703</v>
      </c>
      <c r="C11" s="179">
        <f>ROUND('DOE25'!L199+'DOE25'!L217+'DOE25'!L235+'DOE25'!L278+'DOE25'!L297+'DOE25'!L316,0)</f>
        <v>1819811</v>
      </c>
      <c r="D11" s="182">
        <f>ROUND((C11/$C$28)*100,1)</f>
        <v>15.3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51860</v>
      </c>
      <c r="D13" s="182">
        <f>ROUND((C13/$C$28)*100,1)</f>
        <v>0.4</v>
      </c>
    </row>
    <row r="14" spans="1:4" x14ac:dyDescent="0.2">
      <c r="D14" s="182"/>
    </row>
    <row r="15" spans="1:4" x14ac:dyDescent="0.2">
      <c r="A15">
        <v>2100</v>
      </c>
      <c r="B15" t="s">
        <v>706</v>
      </c>
      <c r="C15" s="179">
        <f>ROUND('DOE25'!L203+'DOE25'!L221+'DOE25'!L239+'DOE25'!L282+'DOE25'!L301+'DOE25'!L320,0)</f>
        <v>651234</v>
      </c>
      <c r="D15" s="182">
        <f t="shared" ref="D15:D27" si="0">ROUND((C15/$C$28)*100,1)</f>
        <v>5.5</v>
      </c>
    </row>
    <row r="16" spans="1:4" x14ac:dyDescent="0.2">
      <c r="A16">
        <v>2200</v>
      </c>
      <c r="B16" t="s">
        <v>707</v>
      </c>
      <c r="C16" s="179">
        <f>ROUND('DOE25'!L204+'DOE25'!L222+'DOE25'!L240+'DOE25'!L283+'DOE25'!L302+'DOE25'!L321,0)</f>
        <v>182011</v>
      </c>
      <c r="D16" s="182">
        <f t="shared" si="0"/>
        <v>1.5</v>
      </c>
    </row>
    <row r="17" spans="1:4" x14ac:dyDescent="0.2">
      <c r="A17" s="183" t="s">
        <v>723</v>
      </c>
      <c r="B17" t="s">
        <v>738</v>
      </c>
      <c r="C17" s="179">
        <f>ROUND('DOE25'!L205+'DOE25'!L210+'DOE25'!L223+'DOE25'!L228+'DOE25'!L241+'DOE25'!L246+'DOE25'!L284+'DOE25'!L289+'DOE25'!L303+'DOE25'!L308+'DOE25'!L322+'DOE25'!L327,0)</f>
        <v>569269</v>
      </c>
      <c r="D17" s="182">
        <f t="shared" si="0"/>
        <v>4.8</v>
      </c>
    </row>
    <row r="18" spans="1:4" x14ac:dyDescent="0.2">
      <c r="A18">
        <v>2400</v>
      </c>
      <c r="B18" t="s">
        <v>711</v>
      </c>
      <c r="C18" s="179">
        <f>ROUND('DOE25'!L206+'DOE25'!L224+'DOE25'!L242+'DOE25'!L285+'DOE25'!L304+'DOE25'!L323,0)</f>
        <v>415954</v>
      </c>
      <c r="D18" s="182">
        <f t="shared" si="0"/>
        <v>3.5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452975</v>
      </c>
      <c r="D20" s="182">
        <f t="shared" si="0"/>
        <v>3.8</v>
      </c>
    </row>
    <row r="21" spans="1:4" x14ac:dyDescent="0.2">
      <c r="A21">
        <v>2700</v>
      </c>
      <c r="B21" t="s">
        <v>710</v>
      </c>
      <c r="C21" s="179">
        <f>ROUND('DOE25'!L209+'DOE25'!L227+'DOE25'!L245+'DOE25'!L288+'DOE25'!L307+'DOE25'!L326,0)</f>
        <v>519162</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36929.119999999995</v>
      </c>
      <c r="D27" s="182">
        <f t="shared" si="0"/>
        <v>0.3</v>
      </c>
    </row>
    <row r="28" spans="1:4" x14ac:dyDescent="0.2">
      <c r="B28" s="187" t="s">
        <v>719</v>
      </c>
      <c r="C28" s="180">
        <f>SUM(C10:C27)</f>
        <v>11874080.119999999</v>
      </c>
      <c r="D28" s="184">
        <f>ROUND(SUM(D10:D27),0)</f>
        <v>100</v>
      </c>
    </row>
    <row r="29" spans="1:4" x14ac:dyDescent="0.2">
      <c r="A29">
        <v>4000</v>
      </c>
      <c r="B29" t="s">
        <v>724</v>
      </c>
      <c r="C29" s="179">
        <f>ROUND('DOE25'!L256+'DOE25'!L337+'DOE25'!L375+'DOE25'!L376+'DOE25'!L377+'DOE25'!L378+'DOE25'!L379+'DOE25'!L380+'DOE25'!L381,0)</f>
        <v>587906</v>
      </c>
    </row>
    <row r="30" spans="1:4" x14ac:dyDescent="0.2">
      <c r="B30" s="187" t="s">
        <v>725</v>
      </c>
      <c r="C30" s="180">
        <f>SUM(C28:C29)</f>
        <v>12461986.119999999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9348456</v>
      </c>
      <c r="D35" s="182">
        <f t="shared" ref="D35:D40" si="1">ROUND((C35/$C$41)*100,1)</f>
        <v>73.099999999999994</v>
      </c>
    </row>
    <row r="36" spans="1:4" x14ac:dyDescent="0.2">
      <c r="B36" s="185" t="s">
        <v>739</v>
      </c>
      <c r="C36" s="179">
        <f>SUM('DOE25'!F112:J112)-SUM('DOE25'!G97:G110)+('DOE25'!F175+'DOE25'!F176+'DOE25'!I175+'DOE25'!I176)-C35</f>
        <v>146543.26999999955</v>
      </c>
      <c r="D36" s="182">
        <f t="shared" si="1"/>
        <v>1.1000000000000001</v>
      </c>
    </row>
    <row r="37" spans="1:4" x14ac:dyDescent="0.2">
      <c r="A37" s="183" t="s">
        <v>835</v>
      </c>
      <c r="B37" s="185" t="s">
        <v>728</v>
      </c>
      <c r="C37" s="179">
        <f>ROUND('DOE25'!F117+'DOE25'!F118,0)</f>
        <v>2649733</v>
      </c>
      <c r="D37" s="182">
        <f t="shared" si="1"/>
        <v>20.7</v>
      </c>
    </row>
    <row r="38" spans="1:4" x14ac:dyDescent="0.2">
      <c r="A38" s="183" t="s">
        <v>734</v>
      </c>
      <c r="B38" s="185" t="s">
        <v>729</v>
      </c>
      <c r="C38" s="179">
        <f>ROUND(SUM('DOE25'!F140:J140)-SUM('DOE25'!F117:F119),0)</f>
        <v>370530</v>
      </c>
      <c r="D38" s="182">
        <f t="shared" si="1"/>
        <v>2.9</v>
      </c>
    </row>
    <row r="39" spans="1:4" x14ac:dyDescent="0.2">
      <c r="A39">
        <v>4000</v>
      </c>
      <c r="B39" s="185" t="s">
        <v>730</v>
      </c>
      <c r="C39" s="179">
        <f>ROUND('DOE25'!F170+'DOE25'!G170+'DOE25'!H170+'DOE25'!I170,0)</f>
        <v>265064</v>
      </c>
      <c r="D39" s="182">
        <f t="shared" si="1"/>
        <v>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12780326.27</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9" sqref="C19:M19"/>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Fremont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t="s">
        <v>1645</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2020-10-16T16:49:44Z</cp:lastPrinted>
  <dcterms:created xsi:type="dcterms:W3CDTF">1997-12-04T19:04:30Z</dcterms:created>
  <dcterms:modified xsi:type="dcterms:W3CDTF">2020-12-09T18:27:01Z</dcterms:modified>
</cp:coreProperties>
</file>