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5" i="14" l="1"/>
  <c r="G204" i="1"/>
  <c r="G201" i="1"/>
  <c r="C11" i="12"/>
  <c r="C10" i="12"/>
  <c r="B12" i="12"/>
  <c r="F198" i="1"/>
  <c r="C20" i="12"/>
  <c r="B20" i="12"/>
  <c r="H605" i="1" l="1"/>
  <c r="J198" i="1"/>
  <c r="H377" i="1"/>
  <c r="H379" i="1" l="1"/>
  <c r="I379" i="1"/>
  <c r="I522" i="1"/>
  <c r="H522" i="1"/>
  <c r="G203" i="1" l="1"/>
  <c r="G199" i="1"/>
  <c r="F206" i="1"/>
  <c r="J473" i="1" l="1"/>
  <c r="I469" i="1"/>
  <c r="G180" i="1"/>
  <c r="G97" i="1"/>
  <c r="G110" i="1"/>
  <c r="H469" i="1"/>
  <c r="I278" i="1"/>
  <c r="G282" i="1"/>
  <c r="H278" i="1"/>
  <c r="I277" i="1"/>
  <c r="J277" i="1"/>
  <c r="F277" i="1"/>
  <c r="G277" i="1"/>
  <c r="H159" i="1"/>
  <c r="G473" i="1" l="1"/>
  <c r="J208" i="1" l="1"/>
  <c r="I208" i="1"/>
  <c r="H208" i="1"/>
  <c r="F208" i="1"/>
  <c r="H207" i="1"/>
  <c r="F207" i="1"/>
  <c r="K206" i="1"/>
  <c r="H206" i="1"/>
  <c r="K205" i="1"/>
  <c r="I205" i="1"/>
  <c r="H205" i="1"/>
  <c r="F205" i="1"/>
  <c r="I204" i="1"/>
  <c r="J204" i="1"/>
  <c r="H204" i="1"/>
  <c r="F204" i="1"/>
  <c r="H203" i="1"/>
  <c r="I203" i="1"/>
  <c r="F203" i="1"/>
  <c r="H235" i="1"/>
  <c r="H199" i="1"/>
  <c r="F199" i="1"/>
  <c r="H234" i="1"/>
  <c r="I198" i="1"/>
  <c r="H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3" i="10" s="1"/>
  <c r="L216" i="1"/>
  <c r="L217" i="1"/>
  <c r="L218" i="1"/>
  <c r="L219" i="1"/>
  <c r="L234" i="1"/>
  <c r="L235" i="1"/>
  <c r="C110" i="2" s="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F121" i="1"/>
  <c r="F136" i="1"/>
  <c r="G121" i="1"/>
  <c r="G136" i="1"/>
  <c r="H121" i="1"/>
  <c r="H136" i="1"/>
  <c r="I121" i="1"/>
  <c r="I136" i="1"/>
  <c r="J121" i="1"/>
  <c r="J136" i="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H471" i="1"/>
  <c r="I471" i="1"/>
  <c r="G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0" i="1"/>
  <c r="H631" i="1"/>
  <c r="G635" i="1"/>
  <c r="H636" i="1"/>
  <c r="H639" i="1"/>
  <c r="G644" i="1"/>
  <c r="G645" i="1"/>
  <c r="G651" i="1"/>
  <c r="G652" i="1"/>
  <c r="J652" i="1" s="1"/>
  <c r="G653" i="1"/>
  <c r="H653" i="1"/>
  <c r="G654" i="1"/>
  <c r="H654" i="1"/>
  <c r="G655" i="1"/>
  <c r="H655" i="1"/>
  <c r="H656" i="1"/>
  <c r="J656" i="1" s="1"/>
  <c r="A40" i="12"/>
  <c r="G62" i="2"/>
  <c r="J572" i="1"/>
  <c r="I170" i="1"/>
  <c r="J140" i="1"/>
  <c r="H140" i="1"/>
  <c r="G553" i="1" l="1"/>
  <c r="J112" i="1"/>
  <c r="H462" i="1"/>
  <c r="H642" i="1" s="1"/>
  <c r="C121" i="2"/>
  <c r="G646" i="1"/>
  <c r="G409" i="1"/>
  <c r="H646" i="1" s="1"/>
  <c r="L402" i="1"/>
  <c r="C139" i="2" s="1"/>
  <c r="G662" i="1"/>
  <c r="D15" i="13"/>
  <c r="C15" i="13" s="1"/>
  <c r="H663" i="1"/>
  <c r="C20" i="10"/>
  <c r="C120" i="2"/>
  <c r="C11" i="10"/>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E128" i="2" s="1"/>
  <c r="L248" i="1"/>
  <c r="H661" i="1" s="1"/>
  <c r="L212" i="1"/>
  <c r="H648" i="1"/>
  <c r="J645" i="1"/>
  <c r="J635"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C81" i="2" l="1"/>
  <c r="F194" i="1"/>
  <c r="F469" i="1" s="1"/>
  <c r="F471" i="1" s="1"/>
  <c r="G637" i="1"/>
  <c r="I473" i="1"/>
  <c r="H649" i="1"/>
  <c r="J649" i="1" s="1"/>
  <c r="F661" i="1"/>
  <c r="E145" i="2"/>
  <c r="E51" i="2"/>
  <c r="H665" i="1"/>
  <c r="H668" i="1" s="1"/>
  <c r="G36" i="14"/>
  <c r="H36" i="14" s="1"/>
  <c r="I36" i="14" s="1"/>
  <c r="E104" i="2"/>
  <c r="C36" i="10"/>
  <c r="L435" i="1"/>
  <c r="G639" i="1" s="1"/>
  <c r="J639" i="1" s="1"/>
  <c r="F665" i="1"/>
  <c r="F668" i="1" s="1"/>
  <c r="I662" i="1"/>
  <c r="G104" i="2"/>
  <c r="L339" i="1"/>
  <c r="L353" i="1" s="1"/>
  <c r="I194" i="1"/>
  <c r="G631" i="1" s="1"/>
  <c r="J631" i="1" s="1"/>
  <c r="G636" i="1"/>
  <c r="J636" i="1" s="1"/>
  <c r="G51" i="2"/>
  <c r="D104" i="2"/>
  <c r="L409" i="1"/>
  <c r="J469" i="1" s="1"/>
  <c r="C27" i="10"/>
  <c r="C28" i="10" s="1"/>
  <c r="D23" i="10" s="1"/>
  <c r="G4" i="14"/>
  <c r="H4" i="14" s="1"/>
  <c r="I4" i="14" s="1"/>
  <c r="L546" i="1"/>
  <c r="F104" i="2"/>
  <c r="B14" i="16"/>
  <c r="B22" i="16" s="1"/>
  <c r="G628" i="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G194" i="1"/>
  <c r="G627" i="1"/>
  <c r="J52" i="1"/>
  <c r="H622" i="1" s="1"/>
  <c r="J622" i="1" s="1"/>
  <c r="C38" i="10"/>
  <c r="G634" i="1" l="1"/>
  <c r="H473" i="1"/>
  <c r="H638" i="1"/>
  <c r="H632" i="1"/>
  <c r="J632" i="1" s="1"/>
  <c r="J471" i="1"/>
  <c r="J477" i="1" s="1"/>
  <c r="H627" i="1" s="1"/>
  <c r="J627" i="1" s="1"/>
  <c r="G633" i="1"/>
  <c r="F473" i="1"/>
  <c r="H628" i="1"/>
  <c r="J628" i="1" s="1"/>
  <c r="H637" i="1"/>
  <c r="J637" i="1" s="1"/>
  <c r="I475" i="1"/>
  <c r="I477" i="1" s="1"/>
  <c r="H626" i="1" s="1"/>
  <c r="J626" i="1" s="1"/>
  <c r="H673" i="1"/>
  <c r="C6" i="10" s="1"/>
  <c r="G629" i="1"/>
  <c r="G469" i="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4" i="1" l="1"/>
  <c r="H475" i="1"/>
  <c r="H477" i="1" s="1"/>
  <c r="H625" i="1" s="1"/>
  <c r="J625" i="1" s="1"/>
  <c r="J634" i="1"/>
  <c r="F475" i="1"/>
  <c r="F477" i="1" s="1"/>
  <c r="H623" i="1" s="1"/>
  <c r="J623" i="1" s="1"/>
  <c r="H633" i="1"/>
  <c r="I668" i="1"/>
  <c r="J633" i="1"/>
  <c r="G471" i="1"/>
  <c r="G477" i="1" s="1"/>
  <c r="H629" i="1"/>
  <c r="J629" i="1"/>
  <c r="D28" i="10"/>
  <c r="D37" i="10"/>
  <c r="D36" i="10"/>
  <c r="D35" i="10"/>
  <c r="D40" i="10"/>
  <c r="D39" i="10"/>
  <c r="B33" i="16" l="1"/>
  <c r="H624" i="1"/>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<sst xmlns="http://schemas.openxmlformats.org/spreadsheetml/2006/main" count="5548" uniqueCount="1647">
  <si>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</si>
  <si>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</si>
  <si>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</si>
  <si>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</si>
  <si>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</si>
  <si>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</si>
  <si>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</si>
  <si>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</si>
  <si>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</si>
  <si>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</si>
  <si>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</si>
  <si>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</si>
  <si>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</si>
  <si>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</si>
  <si>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</si>
  <si>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</si>
  <si>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</si>
  <si>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</si>
  <si>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</si>
  <si>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</si>
  <si>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</si>
  <si>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</si>
  <si>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</si>
  <si>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</si>
  <si>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</si>
  <si>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</si>
  <si>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</si>
  <si>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</si>
  <si>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</si>
  <si>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</si>
  <si>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</si>
  <si>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</si>
  <si>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</si>
  <si>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</si>
  <si>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</si>
  <si>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</si>
  <si>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</si>
  <si>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</si>
  <si>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</si>
  <si>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</si>
  <si>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</si>
  <si>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</si>
  <si>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</si>
  <si>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</si>
  <si>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</si>
  <si>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</si>
  <si>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</si>
  <si>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</si>
  <si>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</si>
  <si>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</si>
  <si>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</si>
  <si>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</si>
  <si>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</si>
  <si>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</si>
  <si>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</si>
  <si>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</si>
  <si>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</si>
  <si>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</si>
  <si>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</si>
  <si>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</si>
  <si>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</si>
  <si>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</si>
  <si>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</si>
  <si>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</si>
  <si>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</si>
  <si>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</si>
  <si>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</si>
  <si>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</si>
  <si>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</si>
  <si>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</si>
  <si>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</si>
  <si>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</si>
  <si>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</si>
  <si>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</si>
  <si>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</si>
  <si>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</si>
  <si>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</si>
  <si>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</si>
  <si>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</si>
  <si>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</si>
  <si>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</si>
  <si>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</si>
  <si>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</si>
  <si>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</si>
  <si>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</si>
  <si>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</si>
  <si>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</si>
  <si>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</si>
  <si>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</si>
  <si>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</si>
  <si>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</si>
  <si>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</si>
  <si>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</si>
  <si>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</si>
  <si>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</si>
  <si>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</si>
  <si>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</si>
  <si>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</si>
  <si>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</si>
  <si>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</si>
  <si>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</si>
  <si>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</si>
  <si>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</si>
  <si>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</si>
  <si>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</si>
  <si>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</si>
  <si>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</si>
  <si>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</si>
  <si>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</si>
  <si>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</si>
  <si>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</si>
  <si>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</si>
  <si>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</si>
  <si>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</si>
  <si>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</si>
  <si>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</si>
  <si>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</si>
  <si>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</si>
  <si>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</si>
  <si>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</si>
  <si>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</si>
  <si>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</si>
  <si>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</si>
  <si>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</si>
  <si>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</si>
  <si>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</si>
  <si>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</si>
  <si>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</si>
  <si>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</si>
  <si>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</si>
  <si>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</si>
  <si>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</si>
  <si>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</si>
  <si>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</si>
  <si>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</si>
  <si>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</si>
  <si>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</si>
  <si>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</si>
  <si>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</si>
  <si>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</si>
  <si>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</si>
  <si>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</si>
  <si>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</si>
  <si>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</si>
  <si>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</si>
  <si>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</si>
  <si>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</si>
  <si>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</si>
  <si>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</si>
  <si>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</si>
  <si>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</si>
  <si>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</si>
  <si>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</si>
  <si>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</si>
  <si>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</si>
  <si>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</si>
  <si>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</si>
  <si>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</si>
  <si>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</si>
  <si>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</si>
  <si>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</si>
  <si>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</si>
  <si>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</si>
  <si>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</si>
  <si>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</si>
  <si>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</si>
  <si>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</si>
  <si>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</si>
  <si>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</si>
  <si>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</si>
  <si>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</si>
  <si>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</si>
  <si>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</si>
  <si>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</si>
  <si>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</si>
  <si>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</si>
  <si>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</si>
  <si>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</si>
  <si>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</si>
  <si>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</si>
  <si>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</si>
  <si>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</si>
  <si>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</si>
  <si>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</si>
  <si>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</si>
  <si>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</si>
  <si>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</si>
  <si>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</si>
  <si>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</si>
  <si>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</si>
  <si>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</si>
  <si>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</si>
  <si>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</si>
  <si>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</si>
  <si>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</si>
  <si>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</si>
  <si>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</si>
  <si>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</si>
  <si>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</si>
  <si>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</si>
  <si>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</si>
  <si>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</si>
  <si>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</si>
  <si>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</si>
  <si>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</si>
  <si>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</si>
  <si>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</si>
  <si>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</si>
  <si>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</si>
  <si>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</si>
  <si>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</si>
  <si>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</si>
  <si>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</si>
  <si>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</si>
  <si>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</si>
  <si>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</si>
  <si>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</si>
  <si>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</si>
  <si>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</si>
  <si>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</si>
  <si>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</si>
  <si>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</si>
  <si>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</si>
  <si>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</si>
  <si>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</si>
  <si>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</si>
  <si>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</si>
  <si>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</si>
  <si>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</si>
  <si>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</si>
  <si>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</si>
  <si>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</si>
  <si>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</si>
  <si>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</si>
  <si>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</si>
  <si>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</si>
  <si>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</si>
  <si>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</si>
  <si>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</si>
  <si>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</si>
  <si>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</si>
  <si>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</si>
  <si>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</si>
  <si>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</si>
  <si>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</si>
  <si>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</si>
  <si>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</si>
  <si>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</si>
  <si>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</si>
  <si>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</si>
  <si>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</si>
  <si>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</si>
  <si>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</si>
  <si>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</si>
  <si>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</si>
  <si>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</si>
  <si>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</si>
  <si>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</si>
  <si>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</si>
  <si>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</si>
  <si>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</si>
  <si>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</si>
  <si>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</si>
  <si>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</si>
  <si>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</si>
  <si>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</si>
  <si>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</si>
  <si>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</si>
  <si>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</si>
  <si>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</si>
  <si>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</si>
  <si>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</si>
  <si>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</si>
  <si>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</si>
  <si>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</si>
  <si>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</si>
  <si>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</si>
  <si>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</si>
  <si>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</si>
  <si>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</si>
  <si>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</si>
  <si>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</si>
  <si>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</si>
  <si>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</si>
  <si>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</si>
  <si>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</si>
  <si>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</si>
  <si>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</si>
  <si>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</si>
  <si>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</si>
  <si>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</si>
  <si>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</si>
  <si>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</si>
  <si>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</si>
  <si>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</si>
  <si>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</si>
  <si>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</si>
  <si>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</si>
  <si>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</si>
  <si>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</si>
  <si>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</si>
  <si>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</si>
  <si>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</si>
  <si>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</si>
  <si>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</si>
  <si>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</si>
  <si>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</si>
  <si>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</si>
  <si>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</si>
  <si>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</si>
  <si>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</si>
  <si>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</si>
  <si>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</si>
  <si>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</si>
  <si>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</si>
  <si>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</si>
  <si>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</si>
  <si>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</si>
  <si>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</si>
  <si>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</si>
  <si>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</si>
  <si>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</si>
  <si>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</si>
  <si>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</si>
  <si>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</si>
  <si>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</si>
  <si>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</si>
  <si>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</si>
  <si>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</si>
  <si>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</si>
  <si>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</si>
  <si>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</si>
  <si>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</si>
  <si>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</si>
  <si>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</si>
  <si>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</si>
  <si>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</si>
  <si>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</si>
  <si>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</si>
  <si>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</si>
  <si>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</si>
  <si>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</si>
  <si>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</si>
  <si>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</si>
  <si>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</si>
  <si>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</si>
  <si>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</si>
  <si>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</si>
  <si>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</si>
  <si>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</si>
  <si>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</si>
  <si>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</si>
  <si>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</si>
  <si>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</si>
  <si>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</si>
  <si>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</si>
  <si>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</si>
  <si>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</si>
  <si>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</si>
  <si>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</si>
  <si>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</si>
  <si>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</si>
  <si>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</si>
  <si>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</si>
  <si>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</si>
  <si>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</si>
  <si>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</si>
  <si>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</si>
  <si>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</si>
  <si>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</si>
  <si>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</si>
  <si>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</si>
  <si>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</si>
  <si>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</si>
  <si>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</si>
  <si>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</si>
  <si>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</si>
  <si>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</si>
  <si>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</si>
  <si>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</si>
  <si>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</si>
  <si>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</si>
  <si>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</si>
  <si>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</si>
  <si>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</si>
  <si>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</si>
  <si>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</si>
  <si>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</si>
  <si>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</si>
  <si>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</si>
  <si>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</si>
  <si>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</si>
  <si>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</si>
  <si>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</si>
  <si>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</si>
  <si>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</si>
  <si>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</si>
  <si>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</si>
  <si>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</si>
  <si>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</si>
  <si>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</si>
  <si>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</si>
  <si>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</si>
  <si>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</si>
  <si>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</si>
  <si>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</si>
  <si>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</si>
  <si>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</si>
  <si>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</si>
  <si>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</si>
  <si>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</si>
  <si>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</si>
  <si>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</si>
  <si>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</si>
  <si>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</si>
  <si>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</si>
  <si>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</si>
  <si>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</si>
  <si>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</si>
  <si>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</si>
  <si>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</si>
  <si>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</si>
  <si>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</si>
  <si>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</si>
  <si>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</si>
  <si>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</si>
  <si>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</si>
  <si>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</si>
  <si>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</si>
  <si>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</si>
  <si>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</si>
  <si>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</si>
  <si>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</si>
  <si>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</si>
  <si>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</si>
  <si>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</si>
  <si>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</si>
  <si>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</si>
  <si>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</si>
  <si>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</si>
  <si>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</si>
  <si>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</si>
  <si>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</si>
  <si>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</si>
  <si>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</si>
  <si>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</si>
  <si>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</si>
  <si>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</si>
  <si>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</si>
  <si>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</si>
  <si>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</si>
  <si>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</si>
  <si>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</si>
  <si>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</si>
  <si>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</si>
  <si>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</si>
  <si>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</si>
  <si>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</si>
  <si>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</si>
  <si>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</si>
  <si>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</si>
  <si>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</si>
  <si>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</si>
  <si>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</si>
  <si>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</si>
  <si>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</si>
  <si>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</si>
  <si>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</si>
  <si>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</si>
  <si>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</si>
  <si>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</si>
  <si>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</si>
  <si>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</si>
  <si>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</si>
  <si>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</si>
  <si>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</si>
  <si>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</si>
  <si>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</si>
  <si>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</si>
  <si>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</si>
  <si>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</si>
  <si>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</si>
  <si>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</si>
  <si>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</si>
  <si>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</si>
  <si>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</si>
  <si>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</si>
  <si>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</si>
  <si>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</si>
  <si>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</si>
  <si>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</si>
  <si>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</si>
  <si>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</si>
  <si>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</si>
  <si>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</si>
  <si>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</si>
  <si>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</si>
  <si>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</si>
  <si>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</si>
  <si>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</si>
  <si>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</si>
  <si>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</si>
  <si>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</si>
  <si>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</si>
  <si>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</si>
  <si>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</si>
  <si>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</si>
  <si>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</si>
  <si>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</si>
  <si>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</si>
  <si>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</si>
  <si>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</si>
  <si>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</si>
  <si>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</si>
  <si>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</si>
  <si>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</si>
  <si>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</si>
  <si>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</si>
  <si>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</si>
  <si>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</si>
  <si>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</si>
  <si>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</si>
  <si>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</si>
  <si>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</si>
  <si>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</si>
  <si>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</si>
  <si>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</si>
  <si>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</si>
  <si>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</si>
  <si>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</si>
  <si>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</si>
  <si>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</si>
  <si>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</si>
  <si>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</si>
  <si>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</si>
  <si>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</si>
  <si>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</si>
  <si>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</si>
  <si>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</si>
  <si>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</si>
  <si>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</si>
  <si>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</si>
  <si>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</si>
  <si>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</si>
  <si>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</si>
  <si>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</si>
  <si>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</si>
  <si>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</si>
  <si>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</si>
  <si>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</si>
  <si>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</si>
  <si>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</si>
  <si>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</si>
  <si>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</si>
  <si>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</si>
  <si>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</si>
  <si>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</si>
  <si>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</si>
  <si>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</si>
  <si>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</si>
  <si>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</si>
  <si>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</si>
  <si>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</si>
  <si>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</si>
  <si>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</si>
  <si>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</si>
  <si>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</si>
  <si>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</si>
  <si>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</si>
  <si>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</si>
  <si>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</si>
  <si>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</si>
  <si>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</si>
  <si>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</si>
  <si>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</si>
  <si>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</si>
  <si>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</si>
  <si>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</si>
  <si>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</si>
  <si>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</si>
  <si>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</si>
  <si>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</si>
  <si>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</si>
  <si>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</si>
  <si>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</si>
  <si>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</si>
  <si>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</si>
  <si>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</si>
  <si>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</si>
  <si>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</si>
  <si>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</si>
  <si>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</si>
  <si>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</si>
  <si>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</si>
  <si>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</si>
  <si>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</si>
  <si>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</si>
  <si>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</si>
  <si>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</si>
  <si>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</si>
  <si>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</si>
  <si>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</si>
  <si>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</si>
  <si>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</si>
  <si>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</si>
  <si>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</si>
  <si>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</si>
  <si>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</si>
  <si>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</si>
  <si>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</si>
  <si>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</si>
  <si>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</si>
  <si>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</si>
  <si>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</si>
  <si>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</si>
  <si>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</si>
  <si>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</si>
  <si>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</si>
  <si>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</si>
  <si>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</si>
  <si>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</si>
  <si>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</si>
  <si>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</si>
  <si>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</si>
  <si>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</si>
  <si>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</si>
  <si>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</si>
  <si>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</si>
  <si>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</si>
  <si>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</si>
  <si>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</si>
  <si>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</si>
  <si>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</si>
  <si>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</si>
  <si>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</si>
  <si>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</si>
  <si>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</si>
  <si>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</si>
  <si>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</si>
  <si>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</si>
  <si>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</si>
  <si>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</si>
  <si>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</si>
  <si>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</si>
  <si>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</si>
  <si>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</si>
  <si>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</si>
  <si>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</si>
  <si>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</si>
  <si>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</si>
  <si>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</si>
  <si>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</si>
  <si>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</si>
  <si>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</si>
  <si>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</si>
  <si>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</si>
  <si>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</si>
  <si>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</si>
  <si>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</si>
  <si>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</si>
  <si>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</si>
  <si>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</si>
  <si>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</si>
  <si>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</si>
  <si>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</si>
  <si>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</si>
  <si>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</si>
  <si>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</si>
  <si>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</si>
  <si>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</si>
  <si>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</si>
  <si>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</si>
  <si>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</si>
  <si>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</si>
  <si>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</si>
  <si>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</si>
  <si>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</si>
  <si>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</si>
  <si>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</si>
  <si>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</si>
  <si>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</si>
  <si>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</si>
  <si>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</si>
  <si>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</si>
  <si>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</si>
  <si>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</si>
  <si>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</si>
  <si>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</si>
  <si>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</si>
  <si>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</si>
  <si>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</si>
  <si>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</si>
  <si>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</si>
  <si>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</si>
  <si>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</si>
  <si>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</si>
  <si>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</si>
  <si>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</si>
  <si>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</si>
  <si>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</si>
  <si>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</si>
  <si>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</si>
  <si>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</si>
  <si>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</si>
  <si>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</si>
  <si>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</si>
  <si>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</si>
  <si>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</si>
  <si>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</si>
  <si>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</si>
  <si>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</si>
  <si>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</si>
  <si>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</si>
  <si>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</si>
  <si>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</si>
  <si>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</si>
  <si>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</si>
  <si>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</si>
  <si>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</si>
  <si>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</si>
  <si>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</si>
  <si>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</si>
  <si>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</si>
  <si>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</si>
  <si>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</si>
  <si>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</si>
  <si>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</si>
  <si>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</si>
  <si>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</si>
  <si>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</si>
  <si>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</si>
  <si>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</si>
  <si>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</si>
  <si>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</si>
  <si>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</si>
  <si>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</si>
  <si>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</si>
  <si>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</si>
  <si>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</si>
  <si>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</si>
  <si>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</si>
  <si>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</si>
  <si>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</si>
  <si>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</si>
  <si>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</si>
  <si>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</si>
  <si>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</si>
  <si>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</si>
  <si>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</si>
  <si>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</si>
  <si>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</si>
  <si>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</si>
  <si>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</si>
  <si>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</si>
  <si>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</si>
  <si>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</si>
  <si>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</si>
  <si>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</si>
  <si>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</si>
  <si>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</si>
  <si>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</si>
  <si>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</si>
  <si>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</si>
  <si>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</si>
  <si>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</si>
  <si>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</si>
  <si>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</si>
  <si>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</si>
  <si>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</si>
  <si>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</si>
  <si>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</si>
  <si>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</si>
  <si>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</si>
  <si>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</si>
  <si>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</si>
  <si>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</si>
  <si>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</si>
  <si>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</si>
  <si>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</si>
  <si>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</si>
  <si>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</si>
  <si>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</si>
  <si>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</si>
  <si>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</si>
  <si>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</si>
  <si>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</si>
  <si>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</si>
  <si>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</si>
  <si>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</si>
  <si>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</si>
  <si>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</si>
  <si>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</si>
  <si>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</si>
  <si>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</si>
  <si>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</si>
  <si>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</si>
  <si>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</si>
  <si>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</si>
  <si>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</si>
  <si>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</si>
  <si>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</si>
  <si>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</si>
  <si>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</si>
  <si>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</si>
  <si>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</si>
  <si>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</si>
  <si>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</si>
  <si>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</si>
  <si>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</si>
  <si>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</si>
  <si>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</si>
  <si>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</si>
  <si>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</si>
  <si>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</si>
  <si>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</si>
  <si>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</si>
  <si>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</si>
  <si>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</si>
  <si>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</si>
  <si>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</si>
  <si>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</si>
  <si>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</si>
  <si>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</si>
  <si>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</si>
  <si>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</si>
  <si>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</si>
  <si>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</si>
  <si>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</si>
  <si>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</si>
  <si>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</si>
  <si>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</si>
  <si>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</si>
  <si>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</si>
  <si>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</si>
  <si>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</si>
  <si>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</si>
  <si>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</si>
  <si>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</si>
  <si>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</si>
  <si>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</si>
  <si>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</si>
  <si>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</si>
  <si>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</si>
  <si>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</si>
  <si>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</si>
  <si>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</si>
  <si>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</si>
  <si>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</si>
  <si>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</si>
  <si>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</si>
  <si>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</si>
  <si>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</si>
  <si>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</si>
  <si>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</si>
  <si>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</si>
  <si>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</si>
  <si>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</si>
  <si>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</si>
  <si>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</si>
  <si>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</si>
  <si>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</si>
  <si>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</si>
  <si>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</si>
  <si>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</si>
  <si>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</si>
  <si>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</si>
  <si>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</si>
  <si>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</si>
  <si>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</si>
  <si>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</si>
  <si>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</si>
  <si>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</si>
  <si>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</si>
  <si>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</si>
  <si>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</si>
  <si>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</si>
  <si>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</si>
  <si>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</si>
  <si>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</si>
  <si>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</si>
  <si>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</si>
  <si>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</si>
  <si>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</si>
  <si>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</si>
  <si>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</si>
  <si>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</si>
  <si>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</si>
  <si>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</si>
  <si>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</si>
  <si>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</si>
  <si>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</si>
  <si>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</si>
  <si>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</si>
  <si>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</si>
  <si>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</si>
  <si>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</si>
  <si>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</si>
  <si>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</si>
  <si>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</si>
  <si>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</si>
  <si>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</si>
  <si>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</si>
  <si>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</si>
  <si>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</si>
  <si>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</si>
  <si>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</si>
  <si>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</si>
  <si>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</si>
  <si>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</si>
  <si>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</si>
  <si>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</si>
  <si>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</si>
  <si>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</si>
  <si>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</si>
  <si>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</si>
  <si>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</si>
  <si>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</si>
  <si>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</si>
  <si>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</si>
  <si>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</si>
  <si>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</si>
  <si>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</si>
  <si>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</si>
  <si>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</si>
  <si>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</si>
  <si>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</si>
  <si>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</si>
  <si>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</si>
  <si>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</si>
  <si>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</si>
  <si>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</si>
  <si>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</si>
  <si>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</si>
  <si>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</si>
  <si>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</si>
  <si>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</si>
  <si>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</si>
  <si>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</si>
  <si>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</si>
  <si>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</si>
  <si>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</si>
  <si>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</si>
  <si>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</si>
  <si>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</si>
  <si>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</si>
  <si>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</si>
  <si>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</si>
  <si>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</si>
  <si>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</si>
  <si>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</si>
  <si>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</si>
  <si>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</si>
  <si>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</si>
  <si>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</si>
  <si>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</si>
  <si>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</si>
  <si>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</si>
  <si>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</si>
  <si>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</si>
  <si>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</si>
  <si>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</si>
  <si>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</si>
  <si>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</si>
  <si>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</si>
  <si>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</si>
  <si>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</si>
  <si>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</si>
  <si>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</si>
  <si>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</si>
  <si>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</si>
  <si>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</si>
  <si>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</si>
  <si>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</si>
  <si>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</si>
  <si>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</si>
  <si>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</si>
  <si>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</si>
  <si>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</si>
  <si>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</si>
  <si>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</si>
  <si>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</si>
  <si>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</si>
  <si>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</si>
  <si>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</si>
  <si>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</si>
  <si>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</si>
  <si>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</si>
  <si>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</si>
  <si>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</si>
  <si>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</si>
  <si>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</si>
  <si>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</si>
  <si>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</si>
  <si>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</si>
  <si>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</si>
  <si>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</si>
  <si>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</si>
  <si>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</si>
  <si>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</si>
  <si>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</si>
  <si>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</si>
  <si>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</si>
  <si>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</si>
  <si>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</si>
  <si>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</si>
  <si>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</si>
  <si>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</si>
  <si>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</si>
  <si>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</si>
  <si>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</si>
  <si>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</si>
  <si>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</si>
  <si>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</si>
  <si>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</si>
  <si>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</si>
  <si>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</si>
  <si>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</si>
  <si>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</si>
  <si>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</si>
  <si>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</si>
  <si>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</si>
  <si>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</si>
  <si>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</si>
  <si>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</si>
  <si>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</si>
  <si>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</si>
  <si>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</si>
  <si>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</si>
  <si>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</si>
  <si>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</si>
  <si>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</si>
  <si>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</si>
  <si>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</si>
  <si>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</si>
  <si>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</si>
  <si>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</si>
  <si>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</si>
  <si>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</si>
  <si>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</si>
  <si>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</si>
  <si>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</si>
  <si>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</si>
  <si>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</si>
  <si>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</si>
  <si>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</si>
  <si>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</si>
  <si>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</si>
  <si>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</si>
  <si>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</si>
  <si>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</si>
  <si>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</si>
  <si>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</si>
  <si>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</si>
  <si>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</si>
  <si>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</si>
  <si>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</si>
  <si>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</si>
  <si>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</si>
  <si>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</si>
  <si>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</si>
  <si>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</si>
  <si>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</si>
  <si>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</si>
  <si>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</si>
  <si>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</si>
  <si>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</si>
  <si>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</si>
  <si>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</si>
  <si>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</si>
  <si>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</si>
  <si>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</si>
  <si>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</si>
  <si>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</si>
  <si>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</si>
  <si>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</si>
  <si>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</si>
  <si>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</si>
  <si>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</si>
  <si>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</si>
  <si>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</si>
  <si>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</si>
  <si>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</si>
  <si>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</si>
  <si>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</si>
  <si>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</si>
  <si>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</si>
  <si>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</si>
  <si>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</si>
  <si>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</si>
  <si>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</si>
  <si>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</si>
  <si>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</si>
  <si>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</si>
  <si>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</si>
  <si>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</si>
  <si>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</si>
  <si>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</si>
  <si>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</si>
  <si>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</si>
  <si>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</si>
  <si>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</si>
  <si>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</si>
  <si>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</si>
  <si>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</si>
  <si>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</si>
  <si>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</si>
  <si>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</si>
  <si>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</si>
  <si>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</si>
  <si>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</si>
  <si>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</si>
  <si>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</si>
  <si>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</si>
  <si>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</si>
  <si>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</si>
  <si>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</si>
  <si>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</si>
  <si>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</si>
  <si>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</si>
  <si>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</si>
  <si>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</si>
  <si>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</si>
  <si>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</si>
  <si>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</si>
  <si>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</si>
  <si>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</si>
  <si>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</si>
  <si>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</si>
  <si>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</si>
  <si>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</si>
  <si>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</si>
  <si>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</si>
  <si>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</si>
  <si>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</si>
  <si>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</si>
  <si>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</si>
  <si>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</si>
  <si>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</si>
  <si>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</si>
  <si>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</si>
  <si>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</si>
  <si>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</si>
  <si>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</si>
  <si>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</si>
  <si>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</si>
  <si>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</si>
  <si>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</si>
  <si>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</si>
  <si>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</si>
  <si>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</si>
  <si>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</si>
  <si>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</si>
  <si>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</si>
  <si>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</si>
  <si>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</si>
  <si>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</si>
  <si>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</si>
  <si>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</si>
  <si>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</si>
  <si>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</si>
  <si>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</si>
  <si>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</si>
  <si>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</si>
  <si>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</si>
  <si>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</si>
  <si>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</si>
  <si>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</si>
  <si>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</si>
  <si>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</si>
  <si>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</si>
  <si>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</si>
  <si>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</si>
  <si>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</si>
  <si>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</si>
  <si>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</si>
  <si>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</si>
  <si>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</si>
  <si>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</si>
  <si>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</si>
  <si>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</si>
  <si>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</si>
  <si>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</si>
  <si>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</si>
  <si>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</si>
  <si>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</si>
  <si>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</si>
  <si>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</si>
  <si>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</si>
  <si>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</si>
  <si>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</si>
  <si>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</si>
  <si>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</si>
  <si>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</si>
  <si>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</si>
  <si>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</si>
  <si>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</si>
  <si>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</si>
  <si>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</si>
  <si>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</si>
  <si>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</si>
  <si>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</si>
  <si>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</si>
  <si>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</si>
  <si>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</si>
  <si>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</si>
  <si>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</si>
  <si>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</si>
  <si>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</si>
  <si>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</si>
  <si>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</si>
  <si>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</si>
  <si>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</si>
  <si>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</si>
  <si>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</si>
  <si>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</si>
  <si>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</si>
  <si>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</si>
  <si>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</si>
  <si>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</si>
  <si>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</si>
  <si>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</si>
  <si>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</si>
  <si>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</si>
  <si>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</si>
  <si>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</si>
  <si>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</si>
  <si>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</si>
  <si>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</si>
  <si>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</si>
  <si>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</si>
  <si>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</si>
  <si>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</si>
  <si>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</si>
  <si>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</si>
  <si>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</si>
  <si>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</si>
  <si>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</si>
  <si>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</si>
  <si>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</si>
  <si>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</si>
  <si>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</si>
  <si>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</si>
  <si>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</si>
  <si>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</si>
  <si>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</si>
  <si>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</si>
  <si>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</si>
  <si>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</si>
  <si>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</si>
  <si>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</si>
  <si>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</si>
  <si>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</si>
  <si>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</si>
  <si>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</si>
  <si>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</si>
  <si>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</si>
  <si>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</si>
  <si>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</si>
  <si>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</si>
  <si>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</si>
  <si>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</si>
  <si>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</si>
  <si>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</si>
  <si>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</si>
  <si>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</si>
  <si>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</si>
  <si>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</si>
  <si>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</si>
  <si>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</si>
  <si>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</si>
  <si>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</si>
  <si>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</si>
  <si>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</si>
  <si>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</si>
  <si>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</si>
  <si>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</si>
  <si>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</si>
  <si>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</si>
  <si>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</si>
  <si>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</si>
  <si>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</si>
  <si>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</si>
  <si>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</si>
  <si>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</si>
  <si>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</si>
  <si>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</si>
  <si>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</si>
  <si>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</si>
  <si>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</si>
  <si>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</si>
  <si>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</si>
  <si>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</si>
  <si>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</si>
  <si>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</si>
  <si>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</si>
  <si>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</si>
  <si>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</si>
  <si>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</si>
  <si>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</si>
  <si>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</si>
  <si>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</si>
  <si>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</si>
  <si>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</si>
  <si>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</si>
  <si>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</si>
  <si>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</si>
  <si>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</si>
  <si>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</si>
  <si>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</si>
  <si>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</si>
  <si>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</si>
  <si>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</si>
  <si>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</si>
  <si>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</si>
  <si>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</si>
  <si>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</si>
  <si>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</si>
  <si>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</si>
  <si>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</si>
  <si>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</si>
  <si>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</si>
  <si>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</si>
  <si>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</si>
  <si>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</si>
  <si>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</si>
  <si>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</si>
  <si>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</si>
  <si>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</si>
  <si>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</si>
  <si>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</si>
  <si>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</si>
  <si>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</si>
  <si>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</si>
  <si>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</si>
  <si>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</si>
  <si>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</si>
  <si>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</si>
  <si>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</si>
  <si>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</si>
  <si>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</si>
  <si>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</si>
  <si>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</si>
  <si>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</si>
  <si>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</si>
  <si>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</si>
  <si>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</si>
  <si>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</si>
  <si>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</si>
  <si>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</si>
  <si>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</si>
  <si>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</si>
  <si>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</si>
  <si>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</si>
  <si>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</si>
  <si>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</si>
  <si>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</si>
  <si>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</si>
  <si>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</si>
  <si>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</si>
  <si>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</si>
  <si>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</si>
  <si>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</si>
  <si>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</si>
  <si>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</si>
  <si>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</si>
  <si>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</si>
  <si>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</si>
  <si>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</si>
  <si>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</si>
  <si>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</si>
  <si>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</si>
  <si>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</si>
  <si>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</si>
  <si>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</si>
  <si>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</si>
  <si>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</si>
  <si>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</si>
  <si>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</si>
  <si>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</si>
  <si>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</si>
  <si>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</si>
  <si>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</si>
  <si>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</si>
  <si>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</si>
  <si>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</si>
  <si>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</si>
  <si>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</si>
  <si>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</si>
  <si>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</si>
  <si>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</si>
  <si>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</si>
  <si>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</si>
  <si>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</si>
  <si>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</si>
  <si>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</si>
  <si>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</si>
  <si>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</si>
  <si>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</si>
  <si>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</si>
  <si>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</si>
  <si>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</si>
  <si>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</si>
  <si>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</si>
  <si>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</si>
  <si>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</si>
  <si>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</si>
  <si>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</si>
  <si>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</si>
  <si>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</si>
  <si>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</si>
  <si>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</si>
  <si>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</si>
  <si>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</si>
  <si>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</si>
  <si>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</si>
  <si>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</si>
  <si>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</si>
  <si>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</si>
  <si>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</si>
  <si>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</si>
  <si>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</si>
  <si>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</si>
  <si>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</si>
  <si>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</si>
  <si>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</si>
  <si>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</si>
  <si>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</si>
  <si>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</si>
  <si>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</si>
  <si>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</si>
  <si>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</si>
  <si>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</si>
  <si>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</si>
  <si>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</si>
  <si>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</si>
  <si>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</si>
  <si>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</si>
  <si>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</si>
  <si>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</si>
  <si>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</si>
  <si>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</si>
  <si>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</si>
  <si>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</si>
  <si>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</si>
  <si>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</si>
  <si>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</si>
  <si>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</si>
  <si>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</si>
  <si>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</si>
  <si>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</si>
  <si>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</si>
  <si>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</si>
  <si>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</si>
  <si>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</si>
  <si>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</si>
  <si>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</si>
  <si>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</si>
  <si>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</si>
  <si>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</si>
  <si>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</si>
  <si>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</si>
  <si>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</si>
  <si>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</si>
  <si>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</si>
  <si>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</si>
  <si>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</si>
  <si>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</si>
  <si>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</si>
  <si>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</si>
  <si>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</si>
  <si>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</si>
  <si>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</si>
  <si>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</si>
  <si>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</si>
  <si>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</si>
  <si>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</si>
  <si>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</si>
  <si>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</si>
  <si>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</si>
  <si>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</si>
  <si>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</si>
  <si>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</si>
  <si>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</si>
  <si>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</si>
  <si>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</si>
  <si>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</si>
  <si>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</si>
  <si>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</si>
  <si>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</si>
  <si>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</si>
  <si>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</si>
  <si>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</si>
  <si>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</si>
  <si>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</si>
  <si>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</si>
  <si>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</si>
  <si>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</si>
  <si>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</si>
  <si>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</si>
  <si>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</si>
  <si>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</si>
  <si>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</si>
  <si>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</si>
  <si>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</si>
  <si>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</si>
  <si>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</si>
  <si>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</si>
  <si>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</si>
  <si>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</si>
  <si>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</si>
  <si>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</si>
  <si>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</si>
  <si>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</si>
  <si>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</si>
  <si>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</si>
  <si>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</si>
  <si>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</si>
  <si>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</si>
  <si>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</si>
  <si>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</si>
  <si>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</si>
  <si>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</si>
  <si>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</si>
  <si>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</si>
  <si>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</si>
  <si>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</si>
  <si>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</si>
  <si>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</si>
  <si>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</si>
  <si>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</si>
  <si>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</si>
  <si>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</si>
  <si>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</si>
  <si>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</si>
  <si>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</si>
  <si>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</si>
  <si>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</si>
  <si>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</si>
  <si>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</si>
  <si>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</si>
  <si>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</si>
  <si>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</si>
  <si>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</si>
  <si>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</si>
  <si>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</si>
  <si>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</si>
  <si>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</si>
  <si>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</si>
  <si>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</si>
  <si>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</si>
  <si>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</si>
  <si>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</si>
  <si>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</si>
  <si>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</si>
  <si>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</si>
  <si>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</si>
  <si>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</si>
  <si>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</si>
  <si>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</si>
  <si>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</si>
  <si>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</si>
  <si>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</si>
  <si>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</si>
  <si>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</si>
  <si>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</si>
  <si>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</si>
  <si>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</si>
  <si>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</si>
  <si>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</si>
  <si>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</si>
  <si>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</si>
  <si>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</si>
  <si>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</si>
  <si>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</si>
  <si>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</si>
  <si>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</si>
  <si>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</si>
  <si>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</si>
  <si>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</si>
  <si>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</si>
  <si>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</si>
  <si>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</si>
  <si>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</si>
  <si>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</si>
  <si>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</si>
  <si>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</si>
  <si>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</si>
  <si>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</si>
  <si>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</si>
  <si>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</si>
  <si>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</si>
  <si>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</si>
  <si>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</si>
  <si>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</si>
  <si>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</si>
  <si>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</si>
  <si>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</si>
  <si>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</si>
  <si>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</si>
  <si>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</si>
  <si>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</si>
  <si>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</si>
  <si>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</si>
  <si>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</si>
  <si>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</si>
  <si>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</si>
  <si>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</si>
  <si>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</si>
  <si>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</si>
  <si>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</si>
  <si>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</si>
  <si>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</si>
  <si>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</si>
  <si>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</si>
  <si>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</si>
  <si>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</si>
  <si>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</si>
  <si>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</si>
  <si>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</si>
  <si>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</si>
  <si>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</si>
  <si>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</si>
  <si>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</si>
  <si>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</si>
  <si>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</si>
  <si>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</si>
  <si>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</si>
  <si>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</si>
  <si>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</si>
  <si>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</si>
  <si>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</si>
  <si>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</si>
  <si>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</si>
  <si>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</si>
  <si>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</si>
  <si>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</si>
  <si>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</si>
  <si>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</si>
  <si>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</si>
  <si>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</si>
  <si>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</si>
  <si>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</si>
  <si>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Scholarship Funds</t>
  </si>
  <si>
    <t>10/19</t>
  </si>
  <si>
    <t>08/19</t>
  </si>
  <si>
    <t>08/34</t>
  </si>
  <si>
    <t>Other District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</si>
</sst>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1"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1066</v>
      </c>
      <c r="B2" s="21">
        <v>195</v>
      </c>
      <c r="C2" s="21">
        <v>195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965780.65</v>
      </c>
      <c r="G9" s="18">
        <v>75</v>
      </c>
      <c r="H9" s="18"/>
      <c r="I9" s="18">
        <v>31671.25</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1031519.01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113975.09</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150110.81</v>
      </c>
      <c r="G13" s="18">
        <v>14484.62</v>
      </c>
      <c r="H13" s="18">
        <v>66188.800000000003</v>
      </c>
      <c r="I13" s="18">
        <v>54507</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577</v>
      </c>
      <c r="G14" s="18">
        <v>4952.99</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3356.99</v>
      </c>
      <c r="G17" s="18"/>
      <c r="H17" s="18">
        <v>379.05</v>
      </c>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1233800.54</v>
      </c>
      <c r="G19" s="41">
        <f>SUM(G9:G18)</f>
        <v>19512.61</v>
      </c>
      <c r="H19" s="41">
        <f>SUM(H9:H18)</f>
        <v>66567.850000000006</v>
      </c>
      <c r="I19" s="41">
        <f>SUM(I9:I18)</f>
        <v>86178.25</v>
      </c>
      <c r="J19" s="41">
        <f>SUM(J9:J18)</f>
        <v>1031519.01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4725.29</v>
      </c>
      <c r="H22" s="18">
        <v>59908.14</v>
      </c>
      <c r="I22" s="18">
        <v>49342.1</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30354.15</v>
      </c>
      <c r="G24" s="18">
        <v>1384.77</v>
      </c>
      <c r="H24" s="18">
        <v>1179.96</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269649.99</v>
      </c>
      <c r="G25" s="145">
        <v>5153.88</v>
      </c>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v>5156.84</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6019.09</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300004.14</v>
      </c>
      <c r="G32" s="41">
        <f>SUM(G22:G31)</f>
        <v>17283.03</v>
      </c>
      <c r="H32" s="41">
        <f>SUM(H22:H31)</f>
        <v>66244.94</v>
      </c>
      <c r="I32" s="41">
        <f>SUM(I22:I31)</f>
        <v>49342.1</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3356.99</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9020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3731.5</v>
      </c>
      <c r="K39" s="24" t="s">
        <v>288</v>
      </c>
      <c r="L39" s="24" t="s">
        <v>288</v>
      </c>
      <c r="M39" s="8"/>
      <c r="N39" s="266"/>
    </row>
    <row r="40" spans="1:14" s="3" customFormat="1" ht="12.2" customHeight="1" x14ac:dyDescent="0.15">
      <c r="A40" s="1" t="s">
        <v>860</v>
      </c>
      <c r="B40" s="6">
        <v>1</v>
      </c>
      <c r="C40" s="6">
        <v>27</v>
      </c>
      <c r="D40" s="2"/>
      <c r="E40" s="6"/>
      <c r="F40" s="24" t="s">
        <v>288</v>
      </c>
      <c r="G40" s="18">
        <v>2229.58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18786.150000000001</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322.91000000000003</v>
      </c>
      <c r="I48" s="18">
        <v>4000</v>
      </c>
      <c r="J48" s="13">
        <f>SUM(I460)</f>
        <v>1018767.51</v>
      </c>
      <c r="K48" s="24" t="s">
        <v>288</v>
      </c>
      <c r="L48" s="24" t="s">
        <v>288</v>
      </c>
      <c r="M48" s="8"/>
      <c r="N48" s="266"/>
    </row>
    <row r="49" spans="1:14" s="3" customFormat="1" ht="12.2" customHeight="1" x14ac:dyDescent="0.15">
      <c r="A49" s="1" t="s">
        <v>859</v>
      </c>
      <c r="B49" s="2" t="s">
        <v>289</v>
      </c>
      <c r="C49" s="6">
        <v>34</v>
      </c>
      <c r="D49" s="2"/>
      <c r="E49" s="6">
        <v>753</v>
      </c>
      <c r="F49" s="18">
        <v>276946.71999999997</v>
      </c>
      <c r="G49" s="18"/>
      <c r="H49" s="18"/>
      <c r="I49" s="18">
        <v>14050</v>
      </c>
      <c r="J49" s="13">
        <f>I455</f>
        <v>0</v>
      </c>
      <c r="K49" s="24"/>
      <c r="L49" s="24"/>
      <c r="M49" s="8"/>
      <c r="N49" s="266"/>
    </row>
    <row r="50" spans="1:14" s="3" customFormat="1" ht="12.2" customHeight="1" thickBot="1" x14ac:dyDescent="0.2">
      <c r="A50" s="29" t="s">
        <v>840</v>
      </c>
      <c r="B50" s="2" t="s">
        <v>289</v>
      </c>
      <c r="C50" s="71">
        <v>35</v>
      </c>
      <c r="D50" s="2" t="s">
        <v>653</v>
      </c>
      <c r="E50" s="6">
        <v>770</v>
      </c>
      <c r="F50" s="18">
        <v>653492.68999999994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933796.39999999991</v>
      </c>
      <c r="G51" s="41">
        <f>SUM(G35:G50)</f>
        <v>2229.58</v>
      </c>
      <c r="H51" s="41">
        <f>SUM(H35:H50)</f>
        <v>322.91000000000003</v>
      </c>
      <c r="I51" s="41">
        <f>SUM(I35:I50)</f>
        <v>36836.15</v>
      </c>
      <c r="J51" s="41">
        <f>SUM(J35:J50)</f>
        <v>1031519.01</v>
      </c>
      <c r="K51" s="45" t="s">
        <v>288</v>
      </c>
      <c r="L51" s="45" t="s">
        <v>288</v>
      </c>
      <c r="N51" s="264"/>
    </row>
    <row r="52" spans="1:14" s="3" customFormat="1" ht="12.2" customHeight="1" thickTop="1" x14ac:dyDescent="0.15">
      <c r="A52" s="38" t="s">
        <v>455</v>
      </c>
      <c r="B52" s="39" t="s">
        <v>289</v>
      </c>
      <c r="C52" s="6">
        <v>37</v>
      </c>
      <c r="D52" s="39" t="s">
        <v>653</v>
      </c>
      <c r="E52" s="39"/>
      <c r="F52" s="41">
        <f>F51+F32</f>
        <v>1233800.54</v>
      </c>
      <c r="G52" s="41">
        <f>G51+G32</f>
        <v>19512.61</v>
      </c>
      <c r="H52" s="41">
        <f>H51+H32</f>
        <v>66567.850000000006</v>
      </c>
      <c r="I52" s="41">
        <f>I51+I32</f>
        <v>86178.25</v>
      </c>
      <c r="J52" s="41">
        <f>J51+J32</f>
        <v>1031519.01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7659365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7659365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29298.62</v>
      </c>
      <c r="G96" s="18"/>
      <c r="H96" s="18"/>
      <c r="I96" s="18"/>
      <c r="J96" s="18">
        <v>23526.68</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28003.25+7346.15+116.16+1824.8+197.4</f>
        <v>37487.760000000009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4491.47</v>
      </c>
      <c r="G110" s="18">
        <f>512.41</f>
        <v>512.41</v>
      </c>
      <c r="H110" s="18"/>
      <c r="I110" s="18">
        <v>4000</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33790.089999999997</v>
      </c>
      <c r="G111" s="41">
        <f>SUM(G96:G110)</f>
        <v>38000.170000000013</v>
      </c>
      <c r="H111" s="41">
        <f>SUM(H96:H110)</f>
        <v>0</v>
      </c>
      <c r="I111" s="41">
        <f>SUM(I96:I110)</f>
        <v>4000</v>
      </c>
      <c r="J111" s="41">
        <f>SUM(J96:J110)</f>
        <v>23526.68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7693155.0899999999</v>
      </c>
      <c r="G112" s="41">
        <f>G60+G111</f>
        <v>38000.170000000013</v>
      </c>
      <c r="H112" s="41">
        <f>H60+H79+H94+H111</f>
        <v>0</v>
      </c>
      <c r="I112" s="41">
        <f>I60+I111</f>
        <v>4000</v>
      </c>
      <c r="J112" s="41">
        <f>J60+J111</f>
        <v>23526.68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1361347.06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983074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2344421.06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21540.04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1852.65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21540.04</v>
      </c>
      <c r="G136" s="41">
        <f>SUM(G123:G135)</f>
        <v>1852.65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2365961.1</v>
      </c>
      <c r="G140" s="41">
        <f>G121+SUM(G136:G137)</f>
        <v>1852.65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28184</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v>8708.11</v>
      </c>
      <c r="H146" s="18"/>
      <c r="I146" s="18">
        <v>54507</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8708.11</v>
      </c>
      <c r="H147" s="41">
        <f>SUM(H145:H146)</f>
        <v>28184</v>
      </c>
      <c r="I147" s="41">
        <f>SUM(I145:I146)</f>
        <v>54507</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37930.620000000003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28463.32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36745.31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98120.3+328.51</f>
        <v>98448.81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5305.41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5305.41</v>
      </c>
      <c r="G163" s="41">
        <f>SUM(G150:G162)</f>
        <v>36745.31</v>
      </c>
      <c r="H163" s="41">
        <f>SUM(H150:H162)</f>
        <v>164842.75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5305.41</v>
      </c>
      <c r="G170" s="41">
        <f>G147+G163+SUM(G164:G169)</f>
        <v>45453.42</v>
      </c>
      <c r="H170" s="41">
        <f>H147+H163+SUM(H164:H169)</f>
        <v>193026.75</v>
      </c>
      <c r="I170" s="41">
        <f>I147+I163+SUM(I164:I169)</f>
        <v>54507</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v>1330000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1330000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46005+5800</f>
        <v>51805</v>
      </c>
      <c r="H180" s="18"/>
      <c r="I180" s="18"/>
      <c r="J180" s="18">
        <v>122828</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v>862.52</v>
      </c>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862.52</v>
      </c>
      <c r="G184" s="41">
        <f>SUM(G180:G183)</f>
        <v>51805</v>
      </c>
      <c r="H184" s="41">
        <f>SUM(H180:H183)</f>
        <v>0</v>
      </c>
      <c r="I184" s="41">
        <f>SUM(I180:I183)</f>
        <v>0</v>
      </c>
      <c r="J184" s="41">
        <f>SUM(J180:J183)</f>
        <v>122828</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862.52</v>
      </c>
      <c r="G193" s="41">
        <f>G184+SUM(G189:G192)</f>
        <v>51805</v>
      </c>
      <c r="H193" s="41">
        <f>+H184+SUM(H189:H192)</f>
        <v>0</v>
      </c>
      <c r="I193" s="41">
        <f>I178+I184+SUM(I189:I192)</f>
        <v>1330000</v>
      </c>
      <c r="J193" s="41">
        <f>J184</f>
        <v>122828</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10065284.119999999</v>
      </c>
      <c r="G194" s="47">
        <f>G112+G140+G170+G193</f>
        <v>137111.24000000002</v>
      </c>
      <c r="H194" s="47">
        <f>H112+H140+H170+H193</f>
        <v>193026.75</v>
      </c>
      <c r="I194" s="47">
        <f>I112+I140+I170+I193</f>
        <v>1388507</v>
      </c>
      <c r="J194" s="47">
        <f>J112+J140+J193</f>
        <v>146354.68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1739735.12+368351.95+31260.91+1112.5+36316.72</f>
        <v>2176777.2000000007</v>
      </c>
      <c r="G198" s="18">
        <v>1033064.68</v>
      </c>
      <c r="H198" s="18">
        <f>72938+1612.5+19924.89</f>
        <v>94475.39</v>
      </c>
      <c r="I198" s="18">
        <f>34957.22+20376.04</f>
        <v>55333.26</v>
      </c>
      <c r="J198" s="18">
        <f>429+6195.01-391.2</f>
        <v>6232.81</v>
      </c>
      <c r="K198" s="18"/>
      <c r="L198" s="19">
        <f>SUM(F198:K198)</f>
        <v>3365883.3400000008</v>
      </c>
      <c r="M198" s="8"/>
      <c r="N198" s="266"/>
    </row>
    <row r="199" spans="1:14" s="3" customFormat="1" ht="12.2" customHeight="1" x14ac:dyDescent="0.15">
      <c r="A199" s="1" t="s">
        <v>439</v>
      </c>
      <c r="B199" s="2" t="s">
        <v>341</v>
      </c>
      <c r="C199" s="2" t="s">
        <v>291</v>
      </c>
      <c r="D199" s="2" t="s">
        <v>431</v>
      </c>
      <c r="E199" s="6">
        <v>1200</v>
      </c>
      <c r="F199" s="18">
        <f>195770+110518.4</f>
        <v>306288.40000000002</v>
      </c>
      <c r="G199" s="18">
        <f>139258.47+4128.55</f>
        <v>143387.01999999999</v>
      </c>
      <c r="H199" s="18">
        <f>38085.42+70429.81</f>
        <v>108515.23</v>
      </c>
      <c r="I199" s="18">
        <v>5632.32</v>
      </c>
      <c r="J199" s="18"/>
      <c r="K199" s="18"/>
      <c r="L199" s="19">
        <f>SUM(F199:K199)</f>
        <v>563822.97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35955</v>
      </c>
      <c r="G201" s="18">
        <f>10807.63-3092.59</f>
        <v>7715.0399999999991</v>
      </c>
      <c r="H201" s="18">
        <v>9125.5</v>
      </c>
      <c r="I201" s="18">
        <v>11442.6</v>
      </c>
      <c r="J201" s="18"/>
      <c r="K201" s="18">
        <v>12464.61</v>
      </c>
      <c r="L201" s="19">
        <f>SUM(F201:K201)</f>
        <v>76702.75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125474+42704.79+13477.75+49131+41053.56+55649.49</f>
        <v>327490.58999999997</v>
      </c>
      <c r="G203" s="18">
        <f>138875.13+12649.52</f>
        <v>151524.65</v>
      </c>
      <c r="H203" s="18">
        <f>100+327.31+3841.65+6294.58-312.51+49214.03</f>
        <v>59465.06</v>
      </c>
      <c r="I203" s="18">
        <f>3864.1+1013.82+498.26+229.08</f>
        <v>5605.26</v>
      </c>
      <c r="J203" s="18"/>
      <c r="K203" s="18">
        <v>495</v>
      </c>
      <c r="L203" s="19">
        <f t="shared" ref="L203:L209" si="0">SUM(F203:K203)</f>
        <v>544580.56000000006</v>
      </c>
      <c r="M203" s="8"/>
      <c r="N203" s="266"/>
    </row>
    <row r="204" spans="1:14" s="3" customFormat="1" ht="12.2" customHeight="1" x14ac:dyDescent="0.15">
      <c r="A204" s="1" t="s">
        <v>443</v>
      </c>
      <c r="B204" s="2" t="s">
        <v>341</v>
      </c>
      <c r="C204" s="2" t="s">
        <v>295</v>
      </c>
      <c r="D204" s="2" t="s">
        <v>431</v>
      </c>
      <c r="E204" s="6">
        <v>2200</v>
      </c>
      <c r="F204" s="18">
        <f>7562.97+66193+50495.43+11485.64</f>
        <v>135737.03999999998</v>
      </c>
      <c r="G204" s="18">
        <f>58223.57+3092.59</f>
        <v>61316.160000000003</v>
      </c>
      <c r="H204" s="18">
        <f>12230.99+2377.5+5948.63+2421.78</f>
        <v>22978.899999999998</v>
      </c>
      <c r="I204" s="18">
        <f>1707.89+33852.63+8078.4+5535.47</f>
        <v>49174.39</v>
      </c>
      <c r="J204" s="18">
        <f>440.29+63917.68</f>
        <v>64357.97</v>
      </c>
      <c r="K204" s="18"/>
      <c r="L204" s="19">
        <f t="shared" si="0"/>
        <v>333564.45999999996</v>
      </c>
      <c r="M204" s="8"/>
      <c r="N204" s="266"/>
    </row>
    <row r="205" spans="1:14" s="3" customFormat="1" ht="12.2" customHeight="1" x14ac:dyDescent="0.15">
      <c r="A205" s="1" t="s">
        <v>444</v>
      </c>
      <c r="B205" s="2" t="s">
        <v>341</v>
      </c>
      <c r="C205" s="2" t="s">
        <v>296</v>
      </c>
      <c r="D205" s="2" t="s">
        <v>431</v>
      </c>
      <c r="E205" s="6">
        <v>2300</v>
      </c>
      <c r="F205" s="18">
        <f>7900.5+3090.62+1800+70262.4+48674.18+74137+42244.8</f>
        <v>248109.5</v>
      </c>
      <c r="G205" s="18">
        <v>91998.61</v>
      </c>
      <c r="H205" s="18">
        <f>12750+1200+28840.83+10611.16+1290+14267.51+1646.9+2580.49+1028.4+1606.54+1497.11+4167.8</f>
        <v>81486.739999999991</v>
      </c>
      <c r="I205" s="18">
        <f>126.99+2264.03+680.73</f>
        <v>3071.75</v>
      </c>
      <c r="J205" s="18">
        <v>1633.54</v>
      </c>
      <c r="K205" s="18">
        <f>31765.8+5144.25+5888</f>
        <v>42798.05</v>
      </c>
      <c r="L205" s="19">
        <f t="shared" si="0"/>
        <v>469098.18999999994</v>
      </c>
      <c r="M205" s="8"/>
      <c r="N205" s="266"/>
    </row>
    <row r="206" spans="1:14" s="3" customFormat="1" ht="12.2" customHeight="1" x14ac:dyDescent="0.15">
      <c r="A206" s="1" t="s">
        <v>445</v>
      </c>
      <c r="B206" s="2" t="s">
        <v>341</v>
      </c>
      <c r="C206" s="2" t="s">
        <v>297</v>
      </c>
      <c r="D206" s="2" t="s">
        <v>431</v>
      </c>
      <c r="E206" s="6">
        <v>2400</v>
      </c>
      <c r="F206" s="18">
        <f>91441.11+82314.42+69786+34717.36</f>
        <v>278258.89</v>
      </c>
      <c r="G206" s="18">
        <v>111598.52</v>
      </c>
      <c r="H206" s="18">
        <f>3848.02+2755.57+2409.07+1250+680.13</f>
        <v>10942.789999999999</v>
      </c>
      <c r="I206" s="18">
        <v>1070.78</v>
      </c>
      <c r="J206" s="18"/>
      <c r="K206" s="18">
        <f>2384+3147.52</f>
        <v>5531.52</v>
      </c>
      <c r="L206" s="19">
        <f t="shared" si="0"/>
        <v>407402.50000000006</v>
      </c>
      <c r="M206" s="8"/>
      <c r="N206" s="266"/>
    </row>
    <row r="207" spans="1:14" s="3" customFormat="1" ht="12.2" customHeight="1" x14ac:dyDescent="0.15">
      <c r="A207" s="1" t="s">
        <v>446</v>
      </c>
      <c r="B207" s="2" t="s">
        <v>341</v>
      </c>
      <c r="C207" s="2" t="s">
        <v>298</v>
      </c>
      <c r="D207" s="2" t="s">
        <v>431</v>
      </c>
      <c r="E207" s="6">
        <v>2500</v>
      </c>
      <c r="F207" s="18">
        <f>48299+50157</f>
        <v>98456</v>
      </c>
      <c r="G207" s="18">
        <v>35197.199999999997</v>
      </c>
      <c r="H207" s="18">
        <f>11441.16+409.05</f>
        <v>11850.21</v>
      </c>
      <c r="I207" s="18">
        <v>1617.22</v>
      </c>
      <c r="J207" s="18">
        <v>729.96</v>
      </c>
      <c r="K207" s="18">
        <v>309.64</v>
      </c>
      <c r="L207" s="19">
        <f t="shared" si="0"/>
        <v>148160.23000000001</v>
      </c>
      <c r="M207" s="8"/>
      <c r="N207" s="266"/>
    </row>
    <row r="208" spans="1:14" s="3" customFormat="1" ht="12.2" customHeight="1" x14ac:dyDescent="0.15">
      <c r="A208" s="1" t="s">
        <v>447</v>
      </c>
      <c r="B208" s="2" t="s">
        <v>341</v>
      </c>
      <c r="C208" s="2" t="s">
        <v>299</v>
      </c>
      <c r="D208" s="2" t="s">
        <v>431</v>
      </c>
      <c r="E208" s="6">
        <v>2600</v>
      </c>
      <c r="F208" s="18">
        <f>150474.99+13438.51</f>
        <v>163913.5</v>
      </c>
      <c r="G208" s="18">
        <v>66078.429999999993</v>
      </c>
      <c r="H208" s="18">
        <f>19823.43+2283.84+15847.07+7304.77+10500+34508.5+603.04+7830.36+1583.47+59588.76</f>
        <v>159873.24</v>
      </c>
      <c r="I208" s="18">
        <f>32709.8+4619.21+55227.53+912.74+43225.81</f>
        <v>136695.09000000003</v>
      </c>
      <c r="J208" s="18">
        <f>1500+8978</f>
        <v>10478</v>
      </c>
      <c r="K208" s="18"/>
      <c r="L208" s="19">
        <f t="shared" si="0"/>
        <v>537038.26</v>
      </c>
      <c r="M208" s="8"/>
      <c r="N208" s="266"/>
    </row>
    <row r="209" spans="1:14" s="3" customFormat="1" ht="12.2" customHeight="1" x14ac:dyDescent="0.15">
      <c r="A209" s="1" t="s">
        <v>448</v>
      </c>
      <c r="B209" s="2" t="s">
        <v>341</v>
      </c>
      <c r="C209" s="2" t="s">
        <v>300</v>
      </c>
      <c r="D209" s="2" t="s">
        <v>431</v>
      </c>
      <c r="E209" s="6">
        <v>2700</v>
      </c>
      <c r="F209" s="18"/>
      <c r="G209" s="18"/>
      <c r="H209" s="18">
        <v>249378.86</v>
      </c>
      <c r="I209" s="18"/>
      <c r="J209" s="18"/>
      <c r="K209" s="18"/>
      <c r="L209" s="19">
        <f t="shared" si="0"/>
        <v>249378.86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3770986.1200000006</v>
      </c>
      <c r="G212" s="41">
        <f t="shared" si="1"/>
        <v>1701880.3099999998</v>
      </c>
      <c r="H212" s="41">
        <f t="shared" si="1"/>
        <v>808091.92</v>
      </c>
      <c r="I212" s="41">
        <f t="shared" si="1"/>
        <v>269642.67000000004</v>
      </c>
      <c r="J212" s="41">
        <f t="shared" si="1"/>
        <v>83432.28</v>
      </c>
      <c r="K212" s="41">
        <f t="shared" si="1"/>
        <v>61598.820000000007</v>
      </c>
      <c r="L212" s="41">
        <f t="shared" si="1"/>
        <v>6695632.120000002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2780540.13+100613</f>
        <v>2881153.13</v>
      </c>
      <c r="I234" s="18"/>
      <c r="J234" s="18"/>
      <c r="K234" s="18"/>
      <c r="L234" s="19">
        <f>SUM(F234:K234)</f>
        <v>2881153.13</v>
      </c>
      <c r="M234" s="8"/>
      <c r="N234" s="266"/>
    </row>
    <row r="235" spans="1:14" s="3" customFormat="1" ht="12.2" customHeight="1" x14ac:dyDescent="0.15">
      <c r="A235" s="1" t="s">
        <v>439</v>
      </c>
      <c r="B235" s="2" t="s">
        <v>350</v>
      </c>
      <c r="C235" s="2" t="s">
        <v>291</v>
      </c>
      <c r="D235" s="2" t="s">
        <v>431</v>
      </c>
      <c r="E235" s="6">
        <v>1200</v>
      </c>
      <c r="F235" s="18"/>
      <c r="G235" s="18"/>
      <c r="H235" s="18">
        <f>143047.02+50162.51</f>
        <v>193209.53</v>
      </c>
      <c r="I235" s="18"/>
      <c r="J235" s="18"/>
      <c r="K235" s="18"/>
      <c r="L235" s="19">
        <f>SUM(F235:K235)</f>
        <v>193209.53</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86695.21</v>
      </c>
      <c r="I245" s="18"/>
      <c r="J245" s="18"/>
      <c r="K245" s="18"/>
      <c r="L245" s="19">
        <f t="shared" si="4"/>
        <v>86695.21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3161057.8699999996</v>
      </c>
      <c r="I248" s="41">
        <f t="shared" si="5"/>
        <v>0</v>
      </c>
      <c r="J248" s="41">
        <f t="shared" si="5"/>
        <v>0</v>
      </c>
      <c r="K248" s="41">
        <f t="shared" si="5"/>
        <v>0</v>
      </c>
      <c r="L248" s="41">
        <f t="shared" si="5"/>
        <v>3161057.8699999996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3770986.1200000006</v>
      </c>
      <c r="G258" s="41">
        <f t="shared" si="8"/>
        <v>1701880.3099999998</v>
      </c>
      <c r="H258" s="41">
        <f t="shared" si="8"/>
        <v>3969149.7899999996</v>
      </c>
      <c r="I258" s="41">
        <f t="shared" si="8"/>
        <v>269642.67000000004</v>
      </c>
      <c r="J258" s="41">
        <f t="shared" si="8"/>
        <v>83432.28</v>
      </c>
      <c r="K258" s="41">
        <f t="shared" si="8"/>
        <v>61598.820000000007</v>
      </c>
      <c r="L258" s="41">
        <f t="shared" si="8"/>
        <v>9856689.9900000021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36400</v>
      </c>
      <c r="L261" s="19">
        <f>SUM(F261:K261)</f>
        <v>36400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31568.68</v>
      </c>
      <c r="L262" s="19">
        <f>SUM(F262:K262)</f>
        <v>31568.68</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51805</v>
      </c>
      <c r="L264" s="19">
        <f>SUM(F264:K264)</f>
        <v>51805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122828</v>
      </c>
      <c r="L267" s="19">
        <f t="shared" si="9"/>
        <v>122828</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242601.68</v>
      </c>
      <c r="L271" s="41">
        <f t="shared" si="9"/>
        <v>242601.68</v>
      </c>
      <c r="M271" s="8"/>
      <c r="N271" s="266"/>
    </row>
    <row r="272" spans="1:14" s="34" customFormat="1" ht="12.2" customHeight="1" thickTop="1" x14ac:dyDescent="0.2">
      <c r="A272" s="43" t="s">
        <v>464</v>
      </c>
      <c r="B272" s="40">
        <v>10</v>
      </c>
      <c r="C272" s="40">
        <v>18</v>
      </c>
      <c r="D272" s="39" t="s">
        <v>431</v>
      </c>
      <c r="E272" s="40"/>
      <c r="F272" s="42">
        <f t="shared" ref="F272:L272" si="11">F258+F271</f>
        <v>3770986.1200000006</v>
      </c>
      <c r="G272" s="42">
        <f t="shared" si="11"/>
        <v>1701880.3099999998</v>
      </c>
      <c r="H272" s="42">
        <f t="shared" si="11"/>
        <v>3969149.7899999996</v>
      </c>
      <c r="I272" s="42">
        <f t="shared" si="11"/>
        <v>269642.67000000004</v>
      </c>
      <c r="J272" s="42">
        <f t="shared" si="11"/>
        <v>83432.28</v>
      </c>
      <c r="K272" s="42">
        <f t="shared" si="11"/>
        <v>304200.5</v>
      </c>
      <c r="L272" s="42">
        <f t="shared" si="11"/>
        <v>10099291.670000002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56953.38+1500</f>
        <v>58453.38</v>
      </c>
      <c r="G277" s="18">
        <f>343.34+255.82</f>
        <v>599.16</v>
      </c>
      <c r="H277" s="18"/>
      <c r="I277" s="18">
        <f>1472.4</f>
        <v>1472.4</v>
      </c>
      <c r="J277" s="18">
        <f>23564.5+468</f>
        <v>24032.5</v>
      </c>
      <c r="K277" s="18"/>
      <c r="L277" s="19">
        <f>SUM(F277:K277)</f>
        <v>84557.440000000002</v>
      </c>
      <c r="M277" s="8"/>
      <c r="N277" s="266"/>
    </row>
    <row r="278" spans="1:14" s="3" customFormat="1" ht="12.2" customHeight="1" x14ac:dyDescent="0.15">
      <c r="A278" s="1" t="s">
        <v>439</v>
      </c>
      <c r="B278" s="2" t="s">
        <v>357</v>
      </c>
      <c r="C278" s="2" t="s">
        <v>291</v>
      </c>
      <c r="D278" s="2" t="s">
        <v>431</v>
      </c>
      <c r="E278" s="6">
        <v>1200</v>
      </c>
      <c r="F278" s="18">
        <v>44442.82</v>
      </c>
      <c r="G278" s="18">
        <v>18985.919999999998</v>
      </c>
      <c r="H278" s="18">
        <f>1814.76+4134+1500+725.4+1662.24+1707</f>
        <v>11543.4</v>
      </c>
      <c r="I278" s="18">
        <f>3048.77+820.25</f>
        <v>3869.02</v>
      </c>
      <c r="J278" s="18">
        <v>2759.34</v>
      </c>
      <c r="K278" s="18"/>
      <c r="L278" s="19">
        <f>SUM(F278:K278)</f>
        <v>81600.5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5459</v>
      </c>
      <c r="G282" s="18">
        <f>417.61+971.7</f>
        <v>1389.31</v>
      </c>
      <c r="H282" s="18">
        <v>10000</v>
      </c>
      <c r="I282" s="18"/>
      <c r="J282" s="18"/>
      <c r="K282" s="18"/>
      <c r="L282" s="19">
        <f t="shared" ref="L282:L288" si="12">SUM(F282:K282)</f>
        <v>16848.309999999998</v>
      </c>
      <c r="M282" s="8"/>
      <c r="N282" s="266"/>
    </row>
    <row r="283" spans="1:14" s="3" customFormat="1" ht="12.2" customHeight="1" x14ac:dyDescent="0.15">
      <c r="A283" s="1" t="s">
        <v>443</v>
      </c>
      <c r="B283" s="2" t="s">
        <v>357</v>
      </c>
      <c r="C283" s="2" t="s">
        <v>295</v>
      </c>
      <c r="D283" s="2" t="s">
        <v>431</v>
      </c>
      <c r="E283" s="6">
        <v>2200</v>
      </c>
      <c r="F283" s="18"/>
      <c r="G283" s="18"/>
      <c r="H283" s="18"/>
      <c r="I283" s="18">
        <v>1299</v>
      </c>
      <c r="J283" s="18"/>
      <c r="K283" s="18"/>
      <c r="L283" s="19">
        <f t="shared" si="12"/>
        <v>1299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630.64</v>
      </c>
      <c r="J287" s="18"/>
      <c r="K287" s="18"/>
      <c r="L287" s="19">
        <f t="shared" si="12"/>
        <v>630.64</v>
      </c>
      <c r="M287" s="8"/>
      <c r="N287" s="266"/>
    </row>
    <row r="288" spans="1:14" s="3" customFormat="1" ht="12.2" customHeight="1" x14ac:dyDescent="0.15">
      <c r="A288" s="1" t="s">
        <v>448</v>
      </c>
      <c r="B288" s="2" t="s">
        <v>357</v>
      </c>
      <c r="C288" s="2" t="s">
        <v>300</v>
      </c>
      <c r="D288" s="2" t="s">
        <v>431</v>
      </c>
      <c r="E288" s="6">
        <v>2700</v>
      </c>
      <c r="F288" s="18"/>
      <c r="G288" s="18"/>
      <c r="H288" s="18">
        <v>8721.5</v>
      </c>
      <c r="I288" s="18"/>
      <c r="J288" s="18"/>
      <c r="K288" s="18"/>
      <c r="L288" s="19">
        <f t="shared" si="12"/>
        <v>8721.5</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108355.2</v>
      </c>
      <c r="G291" s="42">
        <f t="shared" si="13"/>
        <v>20974.39</v>
      </c>
      <c r="H291" s="42">
        <f t="shared" si="13"/>
        <v>30264.9</v>
      </c>
      <c r="I291" s="42">
        <f t="shared" si="13"/>
        <v>7271.06</v>
      </c>
      <c r="J291" s="42">
        <f t="shared" si="13"/>
        <v>26791.84</v>
      </c>
      <c r="K291" s="42">
        <f t="shared" si="13"/>
        <v>0</v>
      </c>
      <c r="L291" s="41">
        <f t="shared" si="13"/>
        <v>193657.39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108355.2</v>
      </c>
      <c r="G339" s="41">
        <f t="shared" si="20"/>
        <v>20974.39</v>
      </c>
      <c r="H339" s="41">
        <f t="shared" si="20"/>
        <v>30264.9</v>
      </c>
      <c r="I339" s="41">
        <f t="shared" si="20"/>
        <v>7271.06</v>
      </c>
      <c r="J339" s="41">
        <f t="shared" si="20"/>
        <v>26791.84</v>
      </c>
      <c r="K339" s="41">
        <f t="shared" si="20"/>
        <v>0</v>
      </c>
      <c r="L339" s="41">
        <f t="shared" si="20"/>
        <v>193657.39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108355.2</v>
      </c>
      <c r="G353" s="41">
        <f>G339</f>
        <v>20974.39</v>
      </c>
      <c r="H353" s="41">
        <f>H339</f>
        <v>30264.9</v>
      </c>
      <c r="I353" s="41">
        <f>I339</f>
        <v>7271.06</v>
      </c>
      <c r="J353" s="41">
        <f>J339</f>
        <v>26791.84</v>
      </c>
      <c r="K353" s="47">
        <f>K339+K352</f>
        <v>0</v>
      </c>
      <c r="L353" s="41">
        <f>L339+L352</f>
        <v>193657.39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65548.570000000007</v>
      </c>
      <c r="G359" s="18">
        <v>19785.419999999998</v>
      </c>
      <c r="H359" s="18">
        <v>337.69</v>
      </c>
      <c r="I359" s="18">
        <v>49691.85</v>
      </c>
      <c r="J359" s="18">
        <v>4514.22</v>
      </c>
      <c r="K359" s="18"/>
      <c r="L359" s="13">
        <f>SUM(F359:K359)</f>
        <v>139877.75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65548.570000000007</v>
      </c>
      <c r="G363" s="47">
        <f t="shared" si="22"/>
        <v>19785.419999999998</v>
      </c>
      <c r="H363" s="47">
        <f t="shared" si="22"/>
        <v>337.69</v>
      </c>
      <c r="I363" s="47">
        <f t="shared" si="22"/>
        <v>49691.85</v>
      </c>
      <c r="J363" s="47">
        <f t="shared" si="22"/>
        <v>4514.22</v>
      </c>
      <c r="K363" s="47">
        <f t="shared" si="22"/>
        <v>0</v>
      </c>
      <c r="L363" s="47">
        <f t="shared" si="22"/>
        <v>139877.75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46393.36</v>
      </c>
      <c r="G368" s="18">
        <v>3298.49</v>
      </c>
      <c r="H368" s="18"/>
      <c r="I368" s="56">
        <f>SUM(F368:H368)</f>
        <v>49691.85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46393.36</v>
      </c>
      <c r="G370" s="47">
        <f>SUM(G368:G369)</f>
        <v>3298.49</v>
      </c>
      <c r="H370" s="47">
        <f>SUM(H368:H369)</f>
        <v>0</v>
      </c>
      <c r="I370" s="47">
        <f>SUM(I368:I369)</f>
        <v>49691.85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f>11330.1+1807.66</f>
        <v>13137.76</v>
      </c>
      <c r="I377" s="18"/>
      <c r="J377" s="18"/>
      <c r="K377" s="18"/>
      <c r="L377" s="13">
        <f t="shared" si="23"/>
        <v>13137.76</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f>1133824+55669</f>
        <v>1189493</v>
      </c>
      <c r="I379" s="18">
        <f>40026.09</f>
        <v>40026.089999999997</v>
      </c>
      <c r="J379" s="18"/>
      <c r="K379" s="18"/>
      <c r="L379" s="13">
        <f t="shared" si="23"/>
        <v>1229519.0900000001</v>
      </c>
      <c r="M379" s="8"/>
      <c r="N379" s="266"/>
    </row>
    <row r="380" spans="1:14" s="3" customFormat="1" ht="12.2" customHeight="1" x14ac:dyDescent="0.15">
      <c r="A380" s="1" t="s">
        <v>549</v>
      </c>
      <c r="B380" s="2" t="s">
        <v>366</v>
      </c>
      <c r="C380" s="2" t="s">
        <v>345</v>
      </c>
      <c r="D380" s="2" t="s">
        <v>431</v>
      </c>
      <c r="E380" s="6">
        <v>4600</v>
      </c>
      <c r="F380" s="18"/>
      <c r="G380" s="18"/>
      <c r="H380" s="18"/>
      <c r="I380" s="18"/>
      <c r="J380" s="18">
        <v>109014</v>
      </c>
      <c r="K380" s="18"/>
      <c r="L380" s="13">
        <f t="shared" si="23"/>
        <v>109014</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862.52</v>
      </c>
      <c r="L382" s="13">
        <f t="shared" si="23"/>
        <v>862.52</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1202630.76</v>
      </c>
      <c r="I383" s="41">
        <f t="shared" si="24"/>
        <v>40026.089999999997</v>
      </c>
      <c r="J383" s="47">
        <f t="shared" si="24"/>
        <v>109014</v>
      </c>
      <c r="K383" s="47">
        <f t="shared" si="24"/>
        <v>862.52</v>
      </c>
      <c r="L383" s="47">
        <f t="shared" si="24"/>
        <v>1352533.37</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v>35717</v>
      </c>
      <c r="H393" s="18">
        <v>5597.17</v>
      </c>
      <c r="I393" s="18"/>
      <c r="J393" s="24" t="s">
        <v>288</v>
      </c>
      <c r="K393" s="24" t="s">
        <v>288</v>
      </c>
      <c r="L393" s="56">
        <f t="shared" si="25"/>
        <v>41314.17</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35717</v>
      </c>
      <c r="H394" s="139">
        <f>SUM(H388:H393)</f>
        <v>5597.17</v>
      </c>
      <c r="I394" s="65">
        <f>SUM(I388:I393)</f>
        <v>0</v>
      </c>
      <c r="J394" s="45" t="s">
        <v>288</v>
      </c>
      <c r="K394" s="45" t="s">
        <v>288</v>
      </c>
      <c r="L394" s="47">
        <f>SUM(L388:L393)</f>
        <v>41314.17</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74611</v>
      </c>
      <c r="H397" s="18">
        <v>17016.96</v>
      </c>
      <c r="I397" s="18"/>
      <c r="J397" s="24" t="s">
        <v>288</v>
      </c>
      <c r="K397" s="24" t="s">
        <v>288</v>
      </c>
      <c r="L397" s="56">
        <f t="shared" si="26"/>
        <v>91627.959999999992</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v>10000</v>
      </c>
      <c r="H400" s="18">
        <v>472.91</v>
      </c>
      <c r="I400" s="18"/>
      <c r="J400" s="24" t="s">
        <v>288</v>
      </c>
      <c r="K400" s="24" t="s">
        <v>288</v>
      </c>
      <c r="L400" s="56">
        <f t="shared" si="26"/>
        <v>10472.91</v>
      </c>
      <c r="M400" s="8"/>
      <c r="N400" s="266"/>
    </row>
    <row r="401" spans="1:21" s="3" customFormat="1" ht="12.2" customHeight="1" thickBot="1" x14ac:dyDescent="0.2">
      <c r="A401" s="79" t="s">
        <v>510</v>
      </c>
      <c r="B401" s="2" t="s">
        <v>381</v>
      </c>
      <c r="C401" s="6">
        <v>13</v>
      </c>
      <c r="D401" s="2" t="s">
        <v>432</v>
      </c>
      <c r="E401" s="6"/>
      <c r="F401" s="18"/>
      <c r="G401" s="18">
        <v>2500</v>
      </c>
      <c r="H401" s="18">
        <v>132.54</v>
      </c>
      <c r="I401" s="18"/>
      <c r="J401" s="24" t="s">
        <v>288</v>
      </c>
      <c r="K401" s="24" t="s">
        <v>288</v>
      </c>
      <c r="L401" s="56">
        <f t="shared" si="26"/>
        <v>2632.54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87111</v>
      </c>
      <c r="H402" s="47">
        <f>SUM(H396:H401)</f>
        <v>17622.41</v>
      </c>
      <c r="I402" s="47">
        <f>SUM(I396:I401)</f>
        <v>0</v>
      </c>
      <c r="J402" s="45" t="s">
        <v>288</v>
      </c>
      <c r="K402" s="45" t="s">
        <v>288</v>
      </c>
      <c r="L402" s="47">
        <f>SUM(L396:L401)</f>
        <v>104733.40999999999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t="s">
        <v>1642</v>
      </c>
      <c r="B404" s="2" t="s">
        <v>381</v>
      </c>
      <c r="C404" s="6">
        <v>15</v>
      </c>
      <c r="D404" s="2" t="s">
        <v>432</v>
      </c>
      <c r="E404" s="6"/>
      <c r="F404" s="18"/>
      <c r="G404" s="18"/>
      <c r="H404" s="18">
        <v>307.10000000000002</v>
      </c>
      <c r="I404" s="18"/>
      <c r="J404" s="24" t="s">
        <v>288</v>
      </c>
      <c r="K404" s="24" t="s">
        <v>288</v>
      </c>
      <c r="L404" s="56">
        <f>SUM(F404:K404)</f>
        <v>307.10000000000002</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307.10000000000002</v>
      </c>
      <c r="I408" s="47">
        <f>SUM(I404:I407)</f>
        <v>0</v>
      </c>
      <c r="J408" s="49" t="s">
        <v>288</v>
      </c>
      <c r="K408" s="49" t="s">
        <v>288</v>
      </c>
      <c r="L408" s="47">
        <f>SUM(L404:L407)</f>
        <v>307.10000000000002</v>
      </c>
      <c r="M408" s="8"/>
      <c r="N408" s="266"/>
    </row>
    <row r="409" spans="1:21" s="3" customFormat="1" ht="12.2" customHeight="1" thickTop="1" x14ac:dyDescent="0.15">
      <c r="A409" s="78" t="s">
        <v>421</v>
      </c>
      <c r="B409" s="2" t="s">
        <v>381</v>
      </c>
      <c r="C409" s="6">
        <v>20</v>
      </c>
      <c r="D409" s="6"/>
      <c r="E409" s="40"/>
      <c r="F409" s="47">
        <f>F394+F402+F408</f>
        <v>0</v>
      </c>
      <c r="G409" s="47">
        <f>G394+G402+G408</f>
        <v>122828</v>
      </c>
      <c r="H409" s="47">
        <f>H394+H402+H408</f>
        <v>23526.68</v>
      </c>
      <c r="I409" s="47">
        <f>I394+I402+I408</f>
        <v>0</v>
      </c>
      <c r="J409" s="24" t="s">
        <v>288</v>
      </c>
      <c r="K409" s="24" t="s">
        <v>288</v>
      </c>
      <c r="L409" s="47">
        <f>L394+L402+L408</f>
        <v>146354.68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v>0</v>
      </c>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247974.14</v>
      </c>
      <c r="G441" s="18">
        <v>770793.37</v>
      </c>
      <c r="H441" s="18">
        <v>12751.5</v>
      </c>
      <c r="I441" s="56">
        <f t="shared" si="33"/>
        <v>1031519.01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247974.14</v>
      </c>
      <c r="G447" s="13">
        <f>SUM(G440:G446)</f>
        <v>770793.37</v>
      </c>
      <c r="H447" s="13">
        <f>SUM(H440:H446)</f>
        <v>12751.5</v>
      </c>
      <c r="I447" s="13">
        <f>SUM(I440:I446)</f>
        <v>1031519.01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9020</v>
      </c>
      <c r="I458" s="56">
        <f t="shared" si="34"/>
        <v>9020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v>3731.5</v>
      </c>
      <c r="I459" s="56">
        <f t="shared" si="34"/>
        <v>3731.5</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247974.14</v>
      </c>
      <c r="G460" s="18">
        <v>770793.37</v>
      </c>
      <c r="H460" s="18"/>
      <c r="I460" s="56">
        <f t="shared" si="34"/>
        <v>1018767.51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247974.14</v>
      </c>
      <c r="G461" s="83">
        <f>SUM(G455:G460)</f>
        <v>770793.37</v>
      </c>
      <c r="H461" s="83">
        <f>SUM(H455:H460)</f>
        <v>12751.5</v>
      </c>
      <c r="I461" s="83">
        <f>SUM(I455:I460)</f>
        <v>1031519.01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247974.14</v>
      </c>
      <c r="G462" s="42">
        <f>G453+G461</f>
        <v>770793.37</v>
      </c>
      <c r="H462" s="42">
        <f>H453+H461</f>
        <v>12751.5</v>
      </c>
      <c r="I462" s="42">
        <f>I453+I461</f>
        <v>1031519.01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967803.95</v>
      </c>
      <c r="G466" s="18">
        <v>4996.09</v>
      </c>
      <c r="H466" s="18">
        <v>953.55</v>
      </c>
      <c r="I466" s="18">
        <v>862.52</v>
      </c>
      <c r="J466" s="18">
        <v>885164.33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10065284.119999999</v>
      </c>
      <c r="G469" s="18">
        <f>G194</f>
        <v>137111.24000000002</v>
      </c>
      <c r="H469" s="18">
        <f>H194</f>
        <v>193026.75</v>
      </c>
      <c r="I469" s="18">
        <f>I194</f>
        <v>1388507</v>
      </c>
      <c r="J469" s="18">
        <f>L409</f>
        <v>146354.68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10065284.119999999</v>
      </c>
      <c r="G471" s="53">
        <f>SUM(G469:G470)</f>
        <v>137111.24000000002</v>
      </c>
      <c r="H471" s="53">
        <f>SUM(H469:H470)</f>
        <v>193026.75</v>
      </c>
      <c r="I471" s="53">
        <f>SUM(I469:I470)</f>
        <v>1388507</v>
      </c>
      <c r="J471" s="53">
        <f>SUM(J469:J470)</f>
        <v>146354.68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10099291.670000002</v>
      </c>
      <c r="G473" s="18">
        <f>L363</f>
        <v>139877.75</v>
      </c>
      <c r="H473" s="18">
        <f>L353</f>
        <v>193657.39</v>
      </c>
      <c r="I473" s="18">
        <f>L383</f>
        <v>1352533.37</v>
      </c>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10099291.670000002</v>
      </c>
      <c r="G475" s="53">
        <f>SUM(G473:G474)</f>
        <v>139877.75</v>
      </c>
      <c r="H475" s="53">
        <f>SUM(H473:H474)</f>
        <v>193657.39</v>
      </c>
      <c r="I475" s="53">
        <f>SUM(I473:I474)</f>
        <v>1352533.37</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933796.39999999665</v>
      </c>
      <c r="G477" s="53">
        <f>(G466+G471)- G475</f>
        <v>2229.5800000000163</v>
      </c>
      <c r="H477" s="53">
        <f>(H466+H471)- H475</f>
        <v>322.90999999997439</v>
      </c>
      <c r="I477" s="53">
        <f>(I466+I471)- I475</f>
        <v>36836.149999999907</v>
      </c>
      <c r="J477" s="53">
        <f>(J466+J471)- J475</f>
        <v>1031519.01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v>15</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t="s">
        <v>1644</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t="s">
        <v>1645</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182000</v>
      </c>
      <c r="G494" s="18">
        <v>1171400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1.2</v>
      </c>
      <c r="G495" s="18">
        <v>5.0999999999999996</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36400</v>
      </c>
      <c r="G496" s="18">
        <v>1171400</v>
      </c>
      <c r="H496" s="18"/>
      <c r="I496" s="18"/>
      <c r="J496" s="18"/>
      <c r="K496" s="53">
        <f>SUM(F496:J496)</f>
        <v>1207800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36400</v>
      </c>
      <c r="G498" s="18">
        <v>0</v>
      </c>
      <c r="H498" s="18"/>
      <c r="I498" s="18"/>
      <c r="J498" s="18"/>
      <c r="K498" s="53">
        <f t="shared" si="35"/>
        <v>36400</v>
      </c>
      <c r="L498" s="24" t="s">
        <v>288</v>
      </c>
      <c r="N498" s="265"/>
    </row>
    <row r="499" spans="1:14" s="52" customFormat="1" ht="12.2" customHeight="1" x14ac:dyDescent="0.2">
      <c r="A499" s="200" t="s">
        <v>622</v>
      </c>
      <c r="B499" s="201">
        <v>20</v>
      </c>
      <c r="C499" s="202">
        <v>9</v>
      </c>
      <c r="D499" s="203" t="s">
        <v>432</v>
      </c>
      <c r="E499" s="202"/>
      <c r="F499" s="204">
        <v>0</v>
      </c>
      <c r="G499" s="204">
        <v>1171400</v>
      </c>
      <c r="H499" s="204"/>
      <c r="I499" s="204"/>
      <c r="J499" s="204"/>
      <c r="K499" s="205">
        <f t="shared" si="35"/>
        <v>1171400</v>
      </c>
      <c r="L499" s="206" t="s">
        <v>288</v>
      </c>
      <c r="N499" s="265"/>
    </row>
    <row r="500" spans="1:14" s="52" customFormat="1" ht="12.2" customHeight="1" thickBot="1" x14ac:dyDescent="0.25">
      <c r="A500" s="22" t="s">
        <v>623</v>
      </c>
      <c r="B500" s="75">
        <v>20</v>
      </c>
      <c r="C500" s="115">
        <v>10</v>
      </c>
      <c r="D500" s="2" t="s">
        <v>432</v>
      </c>
      <c r="E500" s="115"/>
      <c r="F500" s="18">
        <v>0</v>
      </c>
      <c r="G500" s="18">
        <v>373727.73</v>
      </c>
      <c r="H500" s="18"/>
      <c r="I500" s="18"/>
      <c r="J500" s="18"/>
      <c r="K500" s="53">
        <f t="shared" si="35"/>
        <v>373727.73</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1545127.73</v>
      </c>
      <c r="H501" s="42">
        <f>SUM(H499:H500)</f>
        <v>0</v>
      </c>
      <c r="I501" s="42">
        <f>SUM(I499:I500)</f>
        <v>0</v>
      </c>
      <c r="J501" s="42">
        <f>SUM(J499:J500)</f>
        <v>0</v>
      </c>
      <c r="K501" s="42">
        <f t="shared" si="35"/>
        <v>1545127.73</v>
      </c>
      <c r="L501" s="45" t="s">
        <v>288</v>
      </c>
      <c r="N501" s="265"/>
    </row>
    <row r="502" spans="1:14" s="52" customFormat="1" ht="12.2" customHeight="1" x14ac:dyDescent="0.2">
      <c r="A502" s="200" t="s">
        <v>651</v>
      </c>
      <c r="B502" s="201">
        <v>20</v>
      </c>
      <c r="C502" s="202">
        <v>12</v>
      </c>
      <c r="D502" s="203" t="s">
        <v>432</v>
      </c>
      <c r="E502" s="202"/>
      <c r="F502" s="204">
        <v>0</v>
      </c>
      <c r="G502" s="204">
        <v>76400</v>
      </c>
      <c r="H502" s="204"/>
      <c r="I502" s="204"/>
      <c r="J502" s="204"/>
      <c r="K502" s="205">
        <f t="shared" si="35"/>
        <v>76400</v>
      </c>
      <c r="L502" s="206" t="s">
        <v>288</v>
      </c>
      <c r="N502" s="265"/>
    </row>
    <row r="503" spans="1:14" s="52" customFormat="1" ht="12.2" customHeight="1" thickBot="1" x14ac:dyDescent="0.25">
      <c r="A503" s="22" t="s">
        <v>625</v>
      </c>
      <c r="B503" s="75">
        <v>20</v>
      </c>
      <c r="C503" s="115">
        <v>13</v>
      </c>
      <c r="D503" s="2" t="s">
        <v>432</v>
      </c>
      <c r="E503" s="115"/>
      <c r="F503" s="18">
        <v>0</v>
      </c>
      <c r="G503" s="18">
        <v>49918.2</v>
      </c>
      <c r="H503" s="18"/>
      <c r="I503" s="18"/>
      <c r="J503" s="18"/>
      <c r="K503" s="53">
        <f t="shared" si="35"/>
        <v>49918.2</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126318.2</v>
      </c>
      <c r="H504" s="42">
        <f>SUM(H502:H503)</f>
        <v>0</v>
      </c>
      <c r="I504" s="42">
        <f>SUM(I502:I503)</f>
        <v>0</v>
      </c>
      <c r="J504" s="42">
        <f>SUM(J502:J503)</f>
        <v>0</v>
      </c>
      <c r="K504" s="42">
        <f t="shared" si="35"/>
        <v>126318.2</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22428.91</v>
      </c>
      <c r="G508" s="144">
        <v>16526.830000000002</v>
      </c>
      <c r="H508" s="144">
        <v>22428.91</v>
      </c>
      <c r="I508" s="144">
        <v>16526.830000000002</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350731.23</v>
      </c>
      <c r="G522" s="18">
        <v>162372.94</v>
      </c>
      <c r="H522" s="18">
        <f>108515.25+11543.4</f>
        <v>120058.65</v>
      </c>
      <c r="I522" s="18">
        <f>5632.32+3869.02</f>
        <v>9501.34</v>
      </c>
      <c r="J522" s="18">
        <v>2759.34</v>
      </c>
      <c r="K522" s="18"/>
      <c r="L522" s="88">
        <f>SUM(F522:K522)</f>
        <v>645423.49999999988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193209.53</v>
      </c>
      <c r="I524" s="18"/>
      <c r="J524" s="18"/>
      <c r="K524" s="18"/>
      <c r="L524" s="88">
        <f>SUM(F524:K524)</f>
        <v>193209.53</v>
      </c>
      <c r="N524" s="265"/>
    </row>
    <row r="525" spans="1:14" s="52" customFormat="1" ht="12.2" customHeight="1" thickTop="1" x14ac:dyDescent="0.2">
      <c r="A525" s="139" t="s">
        <v>63</v>
      </c>
      <c r="B525" s="107">
        <v>21</v>
      </c>
      <c r="C525" s="195">
        <v>4</v>
      </c>
      <c r="D525" s="196" t="s">
        <v>432</v>
      </c>
      <c r="E525" s="195"/>
      <c r="F525" s="108">
        <f>SUM(F522:F524)</f>
        <v>350731.23</v>
      </c>
      <c r="G525" s="108">
        <f t="shared" ref="G525:L525" si="36">SUM(G522:G524)</f>
        <v>162372.94</v>
      </c>
      <c r="H525" s="108">
        <f t="shared" si="36"/>
        <v>313268.18</v>
      </c>
      <c r="I525" s="108">
        <f t="shared" si="36"/>
        <v>9501.34</v>
      </c>
      <c r="J525" s="108">
        <f t="shared" si="36"/>
        <v>2759.34</v>
      </c>
      <c r="K525" s="108">
        <f t="shared" si="36"/>
        <v>0</v>
      </c>
      <c r="L525" s="89">
        <f t="shared" si="36"/>
        <v>838633.02999999991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145834.04999999999</v>
      </c>
      <c r="G527" s="18">
        <v>110613</v>
      </c>
      <c r="H527" s="18">
        <v>59037.75</v>
      </c>
      <c r="I527" s="18">
        <v>1054.6500000000001</v>
      </c>
      <c r="J527" s="18"/>
      <c r="K527" s="18"/>
      <c r="L527" s="88">
        <f>SUM(F527:K527)</f>
        <v>316539.45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145834.04999999999</v>
      </c>
      <c r="G530" s="89">
        <f t="shared" ref="G530:L530" si="37">SUM(G527:G529)</f>
        <v>110613</v>
      </c>
      <c r="H530" s="89">
        <f t="shared" si="37"/>
        <v>59037.75</v>
      </c>
      <c r="I530" s="89">
        <f t="shared" si="37"/>
        <v>1054.6500000000001</v>
      </c>
      <c r="J530" s="89">
        <f t="shared" si="37"/>
        <v>0</v>
      </c>
      <c r="K530" s="89">
        <f t="shared" si="37"/>
        <v>0</v>
      </c>
      <c r="L530" s="89">
        <f t="shared" si="37"/>
        <v>316539.45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116381.8</v>
      </c>
      <c r="G532" s="18">
        <v>45994.31</v>
      </c>
      <c r="H532" s="18">
        <v>5664.91</v>
      </c>
      <c r="I532" s="18"/>
      <c r="J532" s="18"/>
      <c r="K532" s="18"/>
      <c r="L532" s="88">
        <f>SUM(F532:K532)</f>
        <v>168041.02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116381.8</v>
      </c>
      <c r="G535" s="89">
        <f t="shared" ref="G535:L535" si="38">SUM(G532:G534)</f>
        <v>45994.31</v>
      </c>
      <c r="H535" s="89">
        <f t="shared" si="38"/>
        <v>5664.91</v>
      </c>
      <c r="I535" s="89">
        <f t="shared" si="38"/>
        <v>0</v>
      </c>
      <c r="J535" s="89">
        <f t="shared" si="38"/>
        <v>0</v>
      </c>
      <c r="K535" s="89">
        <f t="shared" si="38"/>
        <v>0</v>
      </c>
      <c r="L535" s="89">
        <f t="shared" si="38"/>
        <v>168041.02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32434.97</v>
      </c>
      <c r="I542" s="18"/>
      <c r="J542" s="18"/>
      <c r="K542" s="18"/>
      <c r="L542" s="88">
        <f>SUM(F542:K542)</f>
        <v>32434.97</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32434.97</v>
      </c>
      <c r="I545" s="193">
        <f t="shared" si="40"/>
        <v>0</v>
      </c>
      <c r="J545" s="193">
        <f t="shared" si="40"/>
        <v>0</v>
      </c>
      <c r="K545" s="193">
        <f t="shared" si="40"/>
        <v>0</v>
      </c>
      <c r="L545" s="193">
        <f t="shared" si="40"/>
        <v>32434.97</v>
      </c>
      <c r="M545" s="8"/>
      <c r="N545" s="266"/>
    </row>
    <row r="546" spans="1:14" s="3" customFormat="1" ht="12.2" customHeight="1" thickTop="1" x14ac:dyDescent="0.15">
      <c r="A546" s="98" t="s">
        <v>72</v>
      </c>
      <c r="B546" s="107">
        <v>21</v>
      </c>
      <c r="C546" s="107">
        <v>21</v>
      </c>
      <c r="D546" s="158" t="s">
        <v>432</v>
      </c>
      <c r="E546" s="107"/>
      <c r="F546" s="89">
        <f>F525+F530+F535+F540+F545</f>
        <v>612947.07999999996</v>
      </c>
      <c r="G546" s="89">
        <f t="shared" ref="G546:L546" si="41">G525+G530+G535+G540+G545</f>
        <v>318980.25</v>
      </c>
      <c r="H546" s="89">
        <f t="shared" si="41"/>
        <v>410405.80999999994</v>
      </c>
      <c r="I546" s="89">
        <f t="shared" si="41"/>
        <v>10555.99</v>
      </c>
      <c r="J546" s="89">
        <f t="shared" si="41"/>
        <v>2759.34</v>
      </c>
      <c r="K546" s="89">
        <f t="shared" si="41"/>
        <v>0</v>
      </c>
      <c r="L546" s="89">
        <f t="shared" si="41"/>
        <v>1355648.47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645423.49999999988</v>
      </c>
      <c r="G550" s="87">
        <f>L527</f>
        <v>316539.45</v>
      </c>
      <c r="H550" s="87">
        <f>L532</f>
        <v>168041.02</v>
      </c>
      <c r="I550" s="87">
        <f>L537</f>
        <v>0</v>
      </c>
      <c r="J550" s="87">
        <f>L542</f>
        <v>32434.97</v>
      </c>
      <c r="K550" s="87">
        <f>SUM(F550:J550)</f>
        <v>1162438.94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193209.53</v>
      </c>
      <c r="G552" s="87">
        <f>L529</f>
        <v>0</v>
      </c>
      <c r="H552" s="87">
        <f>L534</f>
        <v>0</v>
      </c>
      <c r="I552" s="87">
        <f>L539</f>
        <v>0</v>
      </c>
      <c r="J552" s="87">
        <f>L544</f>
        <v>0</v>
      </c>
      <c r="K552" s="87">
        <f>SUM(F552:J552)</f>
        <v>193209.53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838633.02999999991</v>
      </c>
      <c r="G553" s="89">
        <f t="shared" si="42"/>
        <v>316539.45</v>
      </c>
      <c r="H553" s="89">
        <f t="shared" si="42"/>
        <v>168041.02</v>
      </c>
      <c r="I553" s="89">
        <f t="shared" si="42"/>
        <v>0</v>
      </c>
      <c r="J553" s="89">
        <f t="shared" si="42"/>
        <v>32434.97</v>
      </c>
      <c r="K553" s="89">
        <f t="shared" si="42"/>
        <v>1355648.47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2870540.13</v>
      </c>
      <c r="I576" s="87">
        <f>SUM(F576:H576)</f>
        <v>2870540.13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1662.24</v>
      </c>
      <c r="G580" s="18"/>
      <c r="H580" s="18"/>
      <c r="I580" s="87">
        <f t="shared" si="47"/>
        <v>1662.24</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70429.81</v>
      </c>
      <c r="G583" s="18"/>
      <c r="H583" s="18">
        <v>50162.51</v>
      </c>
      <c r="I583" s="87">
        <f t="shared" si="47"/>
        <v>120592.32000000001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202288.81</v>
      </c>
      <c r="I592" s="18"/>
      <c r="J592" s="18">
        <v>86695.21</v>
      </c>
      <c r="K592" s="104">
        <f t="shared" ref="K592:K598" si="48">SUM(H592:J592)</f>
        <v>288984.02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32434.97</v>
      </c>
      <c r="I593" s="18"/>
      <c r="J593" s="18"/>
      <c r="K593" s="104">
        <f t="shared" si="48"/>
        <v>32434.97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7998.51</v>
      </c>
      <c r="I595" s="18"/>
      <c r="J595" s="18"/>
      <c r="K595" s="104">
        <f t="shared" si="48"/>
        <v>7998.51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6656.57</v>
      </c>
      <c r="I596" s="18"/>
      <c r="J596" s="18"/>
      <c r="K596" s="104">
        <f t="shared" si="48"/>
        <v>6656.57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249378.86000000002</v>
      </c>
      <c r="I599" s="108">
        <f>SUM(I592:I598)</f>
        <v>0</v>
      </c>
      <c r="J599" s="108">
        <f>SUM(J592:J598)</f>
        <v>86695.21</v>
      </c>
      <c r="K599" s="108">
        <f>SUM(K592:K598)</f>
        <v>336074.07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110615.32-391.2</f>
        <v>110224.12000000001</v>
      </c>
      <c r="I605" s="18"/>
      <c r="J605" s="18"/>
      <c r="K605" s="104">
        <f>SUM(H605:J605)</f>
        <v>110224.12000000001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110224.12000000001</v>
      </c>
      <c r="I606" s="108">
        <f>SUM(I603:I605)</f>
        <v>0</v>
      </c>
      <c r="J606" s="108">
        <f>SUM(J603:J605)</f>
        <v>0</v>
      </c>
      <c r="K606" s="108">
        <f>SUM(K603:K605)</f>
        <v>110224.12000000001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1233800.54</v>
      </c>
      <c r="H618" s="109">
        <f>SUM(F52)</f>
        <v>1233800.54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19512.61</v>
      </c>
      <c r="H619" s="109">
        <f>SUM(G52)</f>
        <v>19512.61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66567.850000000006</v>
      </c>
      <c r="H620" s="109">
        <f>SUM(H52)</f>
        <v>66567.850000000006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86178.25</v>
      </c>
      <c r="H621" s="109">
        <f>SUM(I52)</f>
        <v>86178.25</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1031519.01</v>
      </c>
      <c r="H622" s="109">
        <f>SUM(J52)</f>
        <v>1031519.01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933796.39999999991</v>
      </c>
      <c r="H623" s="109">
        <f>F477</f>
        <v>933796.39999999665</v>
      </c>
      <c r="I623" s="121" t="s">
        <v>101</v>
      </c>
      <c r="J623" s="109">
        <f t="shared" ref="J623:J656" si="50">G623-H623</f>
        <v>3.2596290111541748E-9</v>
      </c>
      <c r="K623" s="109"/>
      <c r="L623" s="109"/>
      <c r="M623" s="8"/>
    </row>
    <row r="624" spans="1:14" s="3" customFormat="1" ht="12.2" customHeight="1" x14ac:dyDescent="0.15">
      <c r="A624" s="97"/>
      <c r="B624" s="105"/>
      <c r="C624" s="119"/>
      <c r="D624" s="119"/>
      <c r="E624" s="119"/>
      <c r="F624" s="119" t="s">
        <v>866</v>
      </c>
      <c r="G624" s="109">
        <f>G51</f>
        <v>2229.58</v>
      </c>
      <c r="H624" s="109">
        <f>G477</f>
        <v>2229.5800000000163</v>
      </c>
      <c r="I624" s="121" t="s">
        <v>102</v>
      </c>
      <c r="J624" s="109">
        <f t="shared" si="50"/>
        <v>-1.6370904631912708E-11</v>
      </c>
      <c r="K624" s="109"/>
      <c r="L624" s="109"/>
      <c r="M624" s="8"/>
    </row>
    <row r="625" spans="1:13" s="3" customFormat="1" ht="12.2" customHeight="1" x14ac:dyDescent="0.15">
      <c r="A625" s="97"/>
      <c r="B625" s="105"/>
      <c r="C625" s="105"/>
      <c r="D625" s="105"/>
      <c r="E625" s="105"/>
      <c r="F625" s="120" t="s">
        <v>867</v>
      </c>
      <c r="G625" s="109">
        <f>H51</f>
        <v>322.91000000000003</v>
      </c>
      <c r="H625" s="109">
        <f>H477</f>
        <v>322.90999999997439</v>
      </c>
      <c r="I625" s="121" t="s">
        <v>103</v>
      </c>
      <c r="J625" s="109">
        <f t="shared" si="50"/>
        <v>2.5636381906224415E-11</v>
      </c>
      <c r="K625" s="109"/>
      <c r="L625" s="109"/>
      <c r="M625" s="8"/>
    </row>
    <row r="626" spans="1:13" s="3" customFormat="1" ht="12.2" customHeight="1" x14ac:dyDescent="0.15">
      <c r="A626" s="97"/>
      <c r="B626" s="105"/>
      <c r="C626" s="105"/>
      <c r="D626" s="105"/>
      <c r="E626" s="105"/>
      <c r="F626" s="120" t="s">
        <v>868</v>
      </c>
      <c r="G626" s="109">
        <f>I51</f>
        <v>36836.15</v>
      </c>
      <c r="H626" s="109">
        <f>I477</f>
        <v>36836.149999999907</v>
      </c>
      <c r="I626" s="121" t="s">
        <v>104</v>
      </c>
      <c r="J626" s="109">
        <f t="shared" si="50"/>
        <v>9.4587448984384537E-11</v>
      </c>
      <c r="K626" s="109"/>
      <c r="L626" s="109"/>
      <c r="M626" s="8"/>
    </row>
    <row r="627" spans="1:13" s="3" customFormat="1" ht="12.2" customHeight="1" x14ac:dyDescent="0.15">
      <c r="A627" s="22"/>
      <c r="B627" s="105"/>
      <c r="C627" s="105"/>
      <c r="D627" s="105"/>
      <c r="E627" s="105"/>
      <c r="F627" s="120" t="s">
        <v>869</v>
      </c>
      <c r="G627" s="109">
        <f>J51</f>
        <v>1031519.01</v>
      </c>
      <c r="H627" s="109">
        <f>J477</f>
        <v>1031519.01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10065284.119999999</v>
      </c>
      <c r="H628" s="104">
        <f>SUM(F469)</f>
        <v>10065284.119999999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137111.24000000002</v>
      </c>
      <c r="H629" s="104">
        <f>SUM(G469)</f>
        <v>137111.24000000002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193026.75</v>
      </c>
      <c r="H630" s="104">
        <f>SUM(H469)</f>
        <v>193026.75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1388507</v>
      </c>
      <c r="H631" s="104">
        <f>SUM(I469)</f>
        <v>1388507</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146354.68</v>
      </c>
      <c r="H632" s="104">
        <f>SUM(J469)</f>
        <v>146354.68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10099291.670000002</v>
      </c>
      <c r="H633" s="104">
        <f>SUM(F473)</f>
        <v>10099291.670000002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193657.39</v>
      </c>
      <c r="H634" s="104">
        <f>SUM(H473)</f>
        <v>193657.39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49691.85</v>
      </c>
      <c r="H635" s="104">
        <f>I370</f>
        <v>49691.85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139877.75</v>
      </c>
      <c r="H636" s="104">
        <f>SUM(G473)</f>
        <v>139877.75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1352533.37</v>
      </c>
      <c r="H637" s="104">
        <f>SUM(I473)</f>
        <v>1352533.37</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146354.68</v>
      </c>
      <c r="H638" s="164">
        <f>SUM(J469)</f>
        <v>146354.68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247974.14</v>
      </c>
      <c r="H640" s="104">
        <f>SUM(F462)</f>
        <v>247974.14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770793.37</v>
      </c>
      <c r="H641" s="104">
        <f>SUM(G462)</f>
        <v>770793.37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12751.5</v>
      </c>
      <c r="H642" s="104">
        <f>SUM(H462)</f>
        <v>12751.5</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1031519.01</v>
      </c>
      <c r="H643" s="104">
        <f>SUM(I462)</f>
        <v>1031519.01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23526.68</v>
      </c>
      <c r="H645" s="104">
        <f>H409</f>
        <v>23526.68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122828</v>
      </c>
      <c r="H646" s="104">
        <f>G409</f>
        <v>122828</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146354.68</v>
      </c>
      <c r="H647" s="104">
        <f>L409</f>
        <v>146354.68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336074.07</v>
      </c>
      <c r="H648" s="104">
        <f>L209+L227+L245</f>
        <v>336074.07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110224.12000000001</v>
      </c>
      <c r="H649" s="104">
        <f>(J258+J339)-(J256+J337)</f>
        <v>110224.12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249378.86</v>
      </c>
      <c r="H650" s="104">
        <f>H599</f>
        <v>249378.86000000002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86695.21</v>
      </c>
      <c r="H652" s="104">
        <f>J599</f>
        <v>86695.21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51805</v>
      </c>
      <c r="H653" s="104">
        <f>K264+K346</f>
        <v>51805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122828</v>
      </c>
      <c r="H656" s="104">
        <f>K267+K348</f>
        <v>122828</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7029167.2600000016</v>
      </c>
      <c r="G661" s="19">
        <f>(L230+L310+L360)</f>
        <v>0</v>
      </c>
      <c r="H661" s="19">
        <f>(L248+L329+L361)</f>
        <v>3161057.8699999996</v>
      </c>
      <c r="I661" s="19">
        <f>SUM(F661:H661)</f>
        <v>10190225.130000001</v>
      </c>
      <c r="J661" s="13"/>
      <c r="K661" s="13"/>
      <c r="L661" s="13"/>
      <c r="M661" s="9"/>
    </row>
    <row r="662" spans="1:13" s="3" customFormat="1" ht="12.2" customHeight="1" x14ac:dyDescent="0.2">
      <c r="A662" s="1" t="s">
        <v>127</v>
      </c>
      <c r="F662" s="19">
        <f>(L359/IF(SUM(L359:L361)=0,1,SUM(L359:L361))*(SUM(G97:G110)))</f>
        <v>38000.170000000013</v>
      </c>
      <c r="G662" s="19">
        <f>(L360/IF(SUM(L359:L361)=0,1,SUM(L359:L361))*(SUM(G97:G110)))</f>
        <v>0</v>
      </c>
      <c r="H662" s="19">
        <f>(L361/IF(SUM(L359:L361)=0,1,SUM(L359:L361))*(SUM(G97:G110)))</f>
        <v>0</v>
      </c>
      <c r="I662" s="19">
        <f>SUM(F662:H662)</f>
        <v>38000.170000000013</v>
      </c>
      <c r="J662"/>
      <c r="K662" s="13"/>
      <c r="L662" s="13"/>
      <c r="M662" s="8"/>
    </row>
    <row r="663" spans="1:13" s="3" customFormat="1" ht="12.2" customHeight="1" x14ac:dyDescent="0.2">
      <c r="A663" s="1" t="s">
        <v>128</v>
      </c>
      <c r="F663" s="19">
        <f>(L209+L288)-(J209+J288)</f>
        <v>258100.36</v>
      </c>
      <c r="G663" s="19">
        <f>(L227+L307)-(J227+J307)</f>
        <v>0</v>
      </c>
      <c r="H663" s="19">
        <f>(L245+L326)-(J245+J326)</f>
        <v>86695.21</v>
      </c>
      <c r="I663" s="19">
        <f>SUM(F663:H663)</f>
        <v>344795.57</v>
      </c>
      <c r="J663"/>
      <c r="K663" s="13"/>
      <c r="L663" s="13"/>
      <c r="M663" s="9"/>
    </row>
    <row r="664" spans="1:13" s="3" customFormat="1" ht="12.2" customHeight="1" x14ac:dyDescent="0.15">
      <c r="A664" s="198" t="s">
        <v>129</v>
      </c>
      <c r="B664" s="169"/>
      <c r="C664" s="169"/>
      <c r="D664" s="169"/>
      <c r="E664" s="169"/>
      <c r="F664" s="199">
        <f>SUM(F576:F588)+SUM(H603:H605)+SUM(L612)</f>
        <v>182316.17</v>
      </c>
      <c r="G664" s="199">
        <f>SUM(G576:G588)+SUM(I603:I605)+L613</f>
        <v>0</v>
      </c>
      <c r="H664" s="199">
        <f>SUM(H576:H588)+SUM(J603:J605)+L614</f>
        <v>2920702.6399999997</v>
      </c>
      <c r="I664" s="19">
        <f>SUM(F664:H664)</f>
        <v>3103018.8099999996</v>
      </c>
      <c r="J664" s="13"/>
      <c r="K664" s="13"/>
      <c r="L664" s="13"/>
      <c r="M664" s="9"/>
    </row>
    <row r="665" spans="1:13" s="3" customFormat="1" ht="12.2" customHeight="1" x14ac:dyDescent="0.15">
      <c r="A665" s="1" t="s">
        <v>130</v>
      </c>
      <c r="F665" s="19">
        <f>F661-SUM(F662:F664)</f>
        <v>6550750.5600000015</v>
      </c>
      <c r="G665" s="19">
        <f>G661-SUM(G662:G664)</f>
        <v>0</v>
      </c>
      <c r="H665" s="19">
        <f>H661-SUM(H662:H664)</f>
        <v>153660.02000000002</v>
      </c>
      <c r="I665" s="19">
        <f>I661-SUM(I662:I664)</f>
        <v>6704410.580000001</v>
      </c>
      <c r="J665" s="13"/>
      <c r="K665" s="13"/>
      <c r="L665" s="13"/>
      <c r="M665" s="8"/>
    </row>
    <row r="666" spans="1:13" s="3" customFormat="1" ht="12.2" customHeight="1" x14ac:dyDescent="0.2">
      <c r="A666" s="1" t="s">
        <v>131</v>
      </c>
      <c r="F666" s="246">
        <v>416.2</v>
      </c>
      <c r="G666" s="247"/>
      <c r="H666" s="247"/>
      <c r="I666" s="19">
        <f>SUM(F666:H666)</f>
        <v>416.2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15739.43</v>
      </c>
      <c r="G668" s="19" t="e">
        <f>ROUND(G665/G666,2)</f>
        <v>#DIV/0!</v>
      </c>
      <c r="H668" s="19" t="e">
        <f>ROUND(H665/H666,2)</f>
        <v>#DIV/0!</v>
      </c>
      <c r="I668" s="19">
        <f>ROUND(I665/I666,2)</f>
        <v>16108.63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-153660.01999999999</v>
      </c>
      <c r="I670" s="19">
        <f>SUM(F670:H670)</f>
        <v>-153660.01999999999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15739.43</v>
      </c>
      <c r="G673" s="19" t="e">
        <f>ROUND((G665+G670)/(G666+G671),2)</f>
        <v>#DIV/0!</v>
      </c>
      <c r="H673" s="19" t="e">
        <f>ROUND((H665+H670)/(H666+H671),2)</f>
        <v>#DIV/0!</v>
      </c>
      <c r="I673" s="19">
        <f>ROUND((I665+I670)/(I666+I671),2)</f>
        <v>15739.43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Gilmanton</v>
      </c>
      <c r="C5" s="344"/>
      <c r="D5" s="344"/>
      <c r="E5" s="344"/>
      <c r="F5" s="344"/>
    </row>
    <row r="8" spans="1:9" ht="18" x14ac:dyDescent="0.25">
      <c r="A8" s="323" t="s">
        <v>1591</v>
      </c>
      <c r="F8" s="330" t="s">
        <v>1609</v>
      </c>
    </row>
    <row r="9" spans="1:9" ht="15" x14ac:dyDescent="0.2">
      <c r="A9" s="321" t="s">
        <v>1592</v>
      </c>
      <c r="B9" s="324">
        <f>'DOE25'!G97</f>
        <v>37487.760000000009</v>
      </c>
      <c r="F9" s="321" t="s">
        <v>1605</v>
      </c>
    </row>
    <row r="10" spans="1:9" ht="15" x14ac:dyDescent="0.2">
      <c r="A10" s="321" t="s">
        <v>1593</v>
      </c>
      <c r="B10" s="324">
        <f>'DOE25'!G112-'DOE25'!G97</f>
        <v>512.41000000000349</v>
      </c>
      <c r="F10" s="321" t="s">
        <v>1606</v>
      </c>
    </row>
    <row r="11" spans="1:9" ht="15" x14ac:dyDescent="0.2">
      <c r="A11" s="321" t="s">
        <v>1594</v>
      </c>
      <c r="B11" s="324">
        <f>'DOE25'!G140</f>
        <v>1852.65</v>
      </c>
      <c r="F11" s="321" t="s">
        <v>1607</v>
      </c>
    </row>
    <row r="12" spans="1:9" ht="15" x14ac:dyDescent="0.2">
      <c r="A12" s="321" t="s">
        <v>1595</v>
      </c>
      <c r="B12" s="324">
        <f>'DOE25'!G170</f>
        <v>45453.42</v>
      </c>
      <c r="F12" s="321" t="s">
        <v>1608</v>
      </c>
    </row>
    <row r="13" spans="1:9" ht="15" x14ac:dyDescent="0.2">
      <c r="A13" s="321" t="s">
        <v>1596</v>
      </c>
      <c r="B13" s="324">
        <f>'DOE25'!G193-'DOE25'!G180</f>
        <v>0</v>
      </c>
      <c r="F13" s="321" t="s">
        <v>1618</v>
      </c>
    </row>
    <row r="14" spans="1:9" ht="18" x14ac:dyDescent="0.25">
      <c r="A14" s="323" t="s">
        <v>732</v>
      </c>
      <c r="B14" s="325">
        <f>SUM(B9:B13)</f>
        <v>85306.24000000002</v>
      </c>
    </row>
    <row r="16" spans="1:9" ht="18" x14ac:dyDescent="0.25">
      <c r="A16" s="323" t="s">
        <v>786</v>
      </c>
      <c r="F16" s="330" t="s">
        <v>1610</v>
      </c>
    </row>
    <row r="17" spans="1:6" ht="15" x14ac:dyDescent="0.2">
      <c r="A17" s="321" t="s">
        <v>1597</v>
      </c>
      <c r="B17" s="324">
        <f>'DOE25'!L363-'DOE25'!L362</f>
        <v>139877.75</v>
      </c>
      <c r="F17" s="321" t="s">
        <v>1611</v>
      </c>
    </row>
    <row r="18" spans="1:6" ht="15" x14ac:dyDescent="0.2">
      <c r="A18" s="321" t="s">
        <v>1598</v>
      </c>
      <c r="B18" s="338"/>
      <c r="F18" s="330" t="s">
        <v>1637</v>
      </c>
    </row>
    <row r="19" spans="1:6" ht="18" x14ac:dyDescent="0.25">
      <c r="A19" s="323" t="s">
        <v>725</v>
      </c>
      <c r="B19" s="325">
        <f>SUM(B17:B18)</f>
        <v>139877.75</v>
      </c>
    </row>
    <row r="21" spans="1:6" ht="18.75" thickBot="1" x14ac:dyDescent="0.3">
      <c r="A21" s="323" t="s">
        <v>1599</v>
      </c>
    </row>
    <row r="22" spans="1:6" ht="18.75" thickTop="1" x14ac:dyDescent="0.25">
      <c r="A22" s="323" t="s">
        <v>1600</v>
      </c>
      <c r="B22" s="329">
        <f>B14-B19</f>
        <v>-54571.50999999998</v>
      </c>
      <c r="F22" s="321" t="s">
        <v>1612</v>
      </c>
    </row>
    <row r="26" spans="1:6" ht="18" x14ac:dyDescent="0.25">
      <c r="A26" s="323" t="s">
        <v>186</v>
      </c>
    </row>
    <row r="27" spans="1:6" ht="15" x14ac:dyDescent="0.2">
      <c r="A27" s="321" t="s">
        <v>1601</v>
      </c>
      <c r="B27" s="324">
        <f>'DOE25'!G180</f>
        <v>51805</v>
      </c>
      <c r="F27" s="321" t="s">
        <v>1613</v>
      </c>
    </row>
    <row r="28" spans="1:6" ht="15" x14ac:dyDescent="0.2">
      <c r="A28" s="321" t="s">
        <v>1603</v>
      </c>
      <c r="B28" s="324">
        <f>'DOE25'!L362</f>
        <v>0</v>
      </c>
      <c r="F28" s="321" t="s">
        <v>1614</v>
      </c>
    </row>
    <row r="31" spans="1:6" ht="15" x14ac:dyDescent="0.2">
      <c r="A31" s="321" t="s">
        <v>1640</v>
      </c>
      <c r="B31" s="324">
        <f>'DOE25'!G466</f>
        <v>4996.09</v>
      </c>
      <c r="F31" s="321" t="s">
        <v>1615</v>
      </c>
    </row>
    <row r="33" spans="1:6" ht="15" x14ac:dyDescent="0.2">
      <c r="A33" s="321" t="s">
        <v>1641</v>
      </c>
      <c r="B33" s="324">
        <f>'DOE25'!G477</f>
        <v>2229.5800000000163</v>
      </c>
      <c r="F33" s="321" t="s">
        <v>1616</v>
      </c>
    </row>
    <row r="36" spans="1:6" ht="15" x14ac:dyDescent="0.2">
      <c r="A36" s="321" t="s">
        <v>1602</v>
      </c>
      <c r="B36" s="339">
        <v>8708.11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2"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Gilmanton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2235230.5800000005</v>
      </c>
      <c r="C9" s="229">
        <f>'DOE25'!G198+'DOE25'!G216+'DOE25'!G234+'DOE25'!G277+'DOE25'!G296+'DOE25'!G315</f>
        <v>1033663.8400000001</v>
      </c>
    </row>
    <row r="10" spans="1:3" x14ac:dyDescent="0.2">
      <c r="A10" t="s">
        <v>775</v>
      </c>
      <c r="B10" s="240">
        <v>1770894</v>
      </c>
      <c r="C10" s="240">
        <f>445146.24+412520.68</f>
        <v>857666.91999999993</v>
      </c>
    </row>
    <row r="11" spans="1:3" x14ac:dyDescent="0.2">
      <c r="A11" t="s">
        <v>776</v>
      </c>
      <c r="B11" s="240">
        <v>376193.95</v>
      </c>
      <c r="C11" s="240">
        <f>70799.7+87625.64</f>
        <v>158425.34</v>
      </c>
    </row>
    <row r="12" spans="1:3" x14ac:dyDescent="0.2">
      <c r="A12" t="s">
        <v>777</v>
      </c>
      <c r="B12" s="240">
        <f>51825.91+36316.72</f>
        <v>88142.63</v>
      </c>
      <c r="C12" s="240">
        <v>17571.580000000002</v>
      </c>
    </row>
    <row r="13" spans="1:3" x14ac:dyDescent="0.2">
      <c r="A13" t="str">
        <f>IF(B9=B13,IF(C9=C13,"Check Total OK","Check Total Error"),"Check Total Error")</f>
        <v>Check Total OK</v>
      </c>
      <c r="B13" s="231">
        <f>SUM(B10:B12)</f>
        <v>2235230.58</v>
      </c>
      <c r="C13" s="231">
        <f>SUM(C10:C12)</f>
        <v>1033663.8399999999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350731.22000000003</v>
      </c>
      <c r="C18" s="229">
        <f>'DOE25'!G199+'DOE25'!G217+'DOE25'!G235+'DOE25'!G278+'DOE25'!G297+'DOE25'!G316</f>
        <v>162372.94</v>
      </c>
    </row>
    <row r="19" spans="1:3" x14ac:dyDescent="0.2">
      <c r="A19" t="s">
        <v>775</v>
      </c>
      <c r="B19" s="240">
        <v>195770</v>
      </c>
      <c r="C19" s="240">
        <v>91652.98</v>
      </c>
    </row>
    <row r="20" spans="1:3" x14ac:dyDescent="0.2">
      <c r="A20" t="s">
        <v>776</v>
      </c>
      <c r="B20" s="240">
        <f>110518.4+22849.65+21593.17</f>
        <v>154961.21999999997</v>
      </c>
      <c r="C20" s="240">
        <f>18985.92+51734.04</f>
        <v>70719.959999999992</v>
      </c>
    </row>
    <row r="21" spans="1:3" x14ac:dyDescent="0.2">
      <c r="A21" t="s">
        <v>777</v>
      </c>
      <c r="B21" s="240"/>
      <c r="C21" s="240"/>
    </row>
    <row r="22" spans="1:3" x14ac:dyDescent="0.2">
      <c r="A22" t="str">
        <f>IF(B18=B22,IF(C18=C22,"Check Total OK","Check Total Error"),"Check Total Error")</f>
        <v>Check Total OK</v>
      </c>
      <c r="B22" s="231">
        <f>SUM(B19:B21)</f>
        <v>350731.22</v>
      </c>
      <c r="C22" s="231">
        <f>SUM(C19:C21)</f>
        <v>162372.94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35955</v>
      </c>
      <c r="C36" s="235">
        <f>'DOE25'!G201+'DOE25'!G219+'DOE25'!G237+'DOE25'!G280+'DOE25'!G299+'DOE25'!G318</f>
        <v>7715.0399999999991</v>
      </c>
    </row>
    <row r="37" spans="1:3" x14ac:dyDescent="0.2">
      <c r="A37" t="s">
        <v>775</v>
      </c>
      <c r="B37" s="240">
        <v>21573</v>
      </c>
      <c r="C37" s="240">
        <v>5490.33</v>
      </c>
    </row>
    <row r="38" spans="1:3" x14ac:dyDescent="0.2">
      <c r="A38" t="s">
        <v>776</v>
      </c>
      <c r="B38" s="240">
        <v>10067</v>
      </c>
      <c r="C38" s="240">
        <v>1894.61</v>
      </c>
    </row>
    <row r="39" spans="1:3" x14ac:dyDescent="0.2">
      <c r="A39" t="s">
        <v>777</v>
      </c>
      <c r="B39" s="240">
        <v>4315</v>
      </c>
      <c r="C39" s="240">
        <v>330.1</v>
      </c>
    </row>
    <row r="40" spans="1:3" x14ac:dyDescent="0.2">
      <c r="A40" t="str">
        <f>IF(B36=B40,IF(C36=C40,"Check Total OK","Check Total Error"),"Check Total Error")</f>
        <v>Check Total OK</v>
      </c>
      <c r="B40" s="231">
        <f>SUM(B37:B39)</f>
        <v>35955</v>
      </c>
      <c r="C40" s="231">
        <f>SUM(C37:C39)</f>
        <v>7715.04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Gilmanton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7080771.7200000007</v>
      </c>
      <c r="D5" s="20">
        <f>SUM('DOE25'!L198:L201)+SUM('DOE25'!L216:L219)+SUM('DOE25'!L234:L237)-F5-G5-H5</f>
        <v>7062074.3000000007</v>
      </c>
      <c r="E5" s="243"/>
      <c r="F5" s="244"/>
      <c r="G5" s="53">
        <f>SUM('DOE25'!J198:J201)+SUM('DOE25'!J216:J219)+SUM('DOE25'!J234:J237)</f>
        <v>6232.81</v>
      </c>
      <c r="H5" s="53">
        <f>SUM('DOE25'!K198:K201)+SUM('DOE25'!K216:K219)+SUM('DOE25'!K234:K237)</f>
        <v>12464.61</v>
      </c>
      <c r="I5" s="256"/>
    </row>
    <row r="6" spans="1:9" x14ac:dyDescent="0.2">
      <c r="A6" s="32">
        <v>2100</v>
      </c>
      <c r="B6" t="s">
        <v>796</v>
      </c>
      <c r="C6" s="276">
        <f t="shared" si="0"/>
        <v>544580.56000000006</v>
      </c>
      <c r="D6" s="20">
        <f>'DOE25'!L203+'DOE25'!L221+'DOE25'!L239-F6-G6-H6</f>
        <v>484871.53</v>
      </c>
      <c r="E6" s="243"/>
      <c r="F6" s="244">
        <v>59214.03</v>
      </c>
      <c r="G6" s="53">
        <f>'DOE25'!J203+'DOE25'!J221+'DOE25'!J239</f>
        <v>0</v>
      </c>
      <c r="H6" s="53">
        <f>'DOE25'!K203+'DOE25'!K221+'DOE25'!K239</f>
        <v>495</v>
      </c>
      <c r="I6" s="256"/>
    </row>
    <row r="7" spans="1:9" x14ac:dyDescent="0.2">
      <c r="A7" s="32">
        <v>2200</v>
      </c>
      <c r="B7" t="s">
        <v>821</v>
      </c>
      <c r="C7" s="276">
        <f t="shared" si="0"/>
        <v>333564.45999999996</v>
      </c>
      <c r="D7" s="20">
        <f>'DOE25'!L204+'DOE25'!L222+'DOE25'!L240-F7-G7-H7</f>
        <v>269206.49</v>
      </c>
      <c r="E7" s="243"/>
      <c r="F7" s="244"/>
      <c r="G7" s="53">
        <f>'DOE25'!J204+'DOE25'!J222+'DOE25'!J240</f>
        <v>64357.97</v>
      </c>
      <c r="H7" s="53">
        <f>'DOE25'!K204+'DOE25'!K222+'DOE25'!K240</f>
        <v>0</v>
      </c>
      <c r="I7" s="256"/>
    </row>
    <row r="8" spans="1:9" x14ac:dyDescent="0.2">
      <c r="A8" s="32">
        <v>2300</v>
      </c>
      <c r="B8" t="s">
        <v>797</v>
      </c>
      <c r="C8" s="276">
        <f t="shared" si="0"/>
        <v>231105.86999999994</v>
      </c>
      <c r="D8" s="243"/>
      <c r="E8" s="20">
        <f>'DOE25'!L205+'DOE25'!L223+'DOE25'!L241-F8-G8-H8-D9-D11</f>
        <v>186674.27999999994</v>
      </c>
      <c r="F8" s="244"/>
      <c r="G8" s="53">
        <f>'DOE25'!J205+'DOE25'!J223+'DOE25'!J241</f>
        <v>1633.54</v>
      </c>
      <c r="H8" s="53">
        <f>'DOE25'!K205+'DOE25'!K223+'DOE25'!K241</f>
        <v>42798.05</v>
      </c>
      <c r="I8" s="256"/>
    </row>
    <row r="9" spans="1:9" ht="14.25" x14ac:dyDescent="0.2">
      <c r="A9" s="32">
        <v>2310</v>
      </c>
      <c r="B9" s="185" t="s">
        <v>890</v>
      </c>
      <c r="C9" s="276">
        <f t="shared" si="0"/>
        <v>104520.15</v>
      </c>
      <c r="D9" s="244">
        <v>104520.15</v>
      </c>
      <c r="E9" s="243"/>
      <c r="F9" s="253"/>
      <c r="G9" s="253"/>
      <c r="H9" s="253"/>
      <c r="I9" s="256"/>
    </row>
    <row r="10" spans="1:9" ht="14.25" x14ac:dyDescent="0.2">
      <c r="A10" s="32">
        <v>2317</v>
      </c>
      <c r="B10" s="185" t="s">
        <v>891</v>
      </c>
      <c r="C10" s="276">
        <f t="shared" si="0"/>
        <v>12750</v>
      </c>
      <c r="D10" s="243"/>
      <c r="E10" s="244">
        <v>12750</v>
      </c>
      <c r="F10" s="253"/>
      <c r="G10" s="253"/>
      <c r="H10" s="253"/>
      <c r="I10" s="256"/>
    </row>
    <row r="11" spans="1:9" ht="14.25" x14ac:dyDescent="0.2">
      <c r="A11" s="32">
        <v>2321</v>
      </c>
      <c r="B11" s="185" t="s">
        <v>892</v>
      </c>
      <c r="C11" s="276">
        <f t="shared" si="0"/>
        <v>133472.17000000001</v>
      </c>
      <c r="D11" s="244">
        <v>133472.17000000001</v>
      </c>
      <c r="E11" s="243"/>
      <c r="F11" s="253"/>
      <c r="G11" s="253"/>
      <c r="H11" s="253"/>
      <c r="I11" s="256"/>
    </row>
    <row r="12" spans="1:9" x14ac:dyDescent="0.2">
      <c r="A12" s="32">
        <v>2400</v>
      </c>
      <c r="B12" t="s">
        <v>711</v>
      </c>
      <c r="C12" s="276">
        <f t="shared" si="0"/>
        <v>407402.50000000006</v>
      </c>
      <c r="D12" s="20">
        <f>'DOE25'!L206+'DOE25'!L224+'DOE25'!L242-F12-G12-H12</f>
        <v>401870.98000000004</v>
      </c>
      <c r="E12" s="243"/>
      <c r="F12" s="244"/>
      <c r="G12" s="53">
        <f>'DOE25'!J206+'DOE25'!J224+'DOE25'!J242</f>
        <v>0</v>
      </c>
      <c r="H12" s="53">
        <f>'DOE25'!K206+'DOE25'!K224+'DOE25'!K242</f>
        <v>5531.52</v>
      </c>
      <c r="I12" s="256"/>
    </row>
    <row r="13" spans="1:9" x14ac:dyDescent="0.2">
      <c r="A13" s="32">
        <v>2500</v>
      </c>
      <c r="B13" t="s">
        <v>798</v>
      </c>
      <c r="C13" s="276">
        <f t="shared" si="0"/>
        <v>148160.23000000001</v>
      </c>
      <c r="D13" s="243"/>
      <c r="E13" s="20">
        <f>'DOE25'!L207+'DOE25'!L225+'DOE25'!L243-F13-G13-H13</f>
        <v>147120.63</v>
      </c>
      <c r="F13" s="244"/>
      <c r="G13" s="53">
        <f>'DOE25'!J207+'DOE25'!J225+'DOE25'!J243</f>
        <v>729.96</v>
      </c>
      <c r="H13" s="53">
        <f>'DOE25'!K207+'DOE25'!K225+'DOE25'!K243</f>
        <v>309.64</v>
      </c>
      <c r="I13" s="256"/>
    </row>
    <row r="14" spans="1:9" x14ac:dyDescent="0.2">
      <c r="A14" s="32">
        <v>2600</v>
      </c>
      <c r="B14" t="s">
        <v>819</v>
      </c>
      <c r="C14" s="276">
        <f t="shared" si="0"/>
        <v>537038.26</v>
      </c>
      <c r="D14" s="20">
        <f>'DOE25'!L208+'DOE25'!L226+'DOE25'!L244-F14-G14-H14</f>
        <v>526560.26</v>
      </c>
      <c r="E14" s="243"/>
      <c r="F14" s="244"/>
      <c r="G14" s="53">
        <f>'DOE25'!J208+'DOE25'!J226+'DOE25'!J244</f>
        <v>10478</v>
      </c>
      <c r="H14" s="53">
        <f>'DOE25'!K208+'DOE25'!K226+'DOE25'!K244</f>
        <v>0</v>
      </c>
      <c r="I14" s="256"/>
    </row>
    <row r="15" spans="1:9" x14ac:dyDescent="0.2">
      <c r="A15" s="32">
        <v>2700</v>
      </c>
      <c r="B15" t="s">
        <v>799</v>
      </c>
      <c r="C15" s="276">
        <f t="shared" si="0"/>
        <v>336074.07</v>
      </c>
      <c r="D15" s="20">
        <f>'DOE25'!L209+'DOE25'!L227+'DOE25'!L245-F15-G15-H15</f>
        <v>0</v>
      </c>
      <c r="E15" s="243"/>
      <c r="F15" s="244">
        <v>336074.07</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67968.679999999993</v>
      </c>
      <c r="D25" s="243"/>
      <c r="E25" s="243"/>
      <c r="F25" s="255"/>
      <c r="G25" s="253"/>
      <c r="H25" s="253"/>
      <c r="I25" s="254">
        <f>'DOE25'!L261+'DOE25'!L262+'DOE25'!L342+'DOE25'!L343</f>
        <v>67968.679999999993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90185.9</v>
      </c>
      <c r="D29" s="284">
        <f>'DOE25'!L359+'DOE25'!L360+'DOE25'!L361-'DOE25'!I368-F29-G29-H29</f>
        <v>85671.679999999993</v>
      </c>
      <c r="E29" s="243"/>
      <c r="F29" s="244"/>
      <c r="G29" s="53">
        <f>'DOE25'!J359+'DOE25'!J360+'DOE25'!J361</f>
        <v>4514.22</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193657.39</v>
      </c>
      <c r="D31" s="20">
        <f>'DOE25'!L291+'DOE25'!L310+'DOE25'!L329+'DOE25'!L334+'DOE25'!L335+'DOE25'!L336-F31-G31-H31</f>
        <v>166865.55000000002</v>
      </c>
      <c r="E31" s="243"/>
      <c r="F31" s="244"/>
      <c r="G31" s="53">
        <f>'DOE25'!J291+'DOE25'!J310+'DOE25'!J329+'DOE25'!J334+'DOE25'!J335+'DOE25'!J336</f>
        <v>26791.84</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9235113.1100000013</v>
      </c>
      <c r="E33" s="245">
        <f t="shared" si="1"/>
        <v>346544.90999999992</v>
      </c>
      <c r="F33" s="245">
        <f t="shared" si="1"/>
        <v>395288.1</v>
      </c>
      <c r="G33" s="245">
        <f t="shared" si="1"/>
        <v>114738.34</v>
      </c>
      <c r="H33" s="245">
        <f t="shared" si="1"/>
        <v>61598.820000000007</v>
      </c>
      <c r="I33" s="245">
        <f t="shared" si="1"/>
        <v>67968.679999999993</v>
      </c>
    </row>
    <row r="35" spans="1:9" ht="12" thickBot="1" x14ac:dyDescent="0.25">
      <c r="B35" s="251" t="s">
        <v>831</v>
      </c>
      <c r="D35" s="252">
        <f>E33</f>
        <v>346544.90999999992</v>
      </c>
      <c r="E35" s="248"/>
    </row>
    <row r="36" spans="1:9" ht="12" thickTop="1" x14ac:dyDescent="0.2">
      <c r="B36" t="s">
        <v>810</v>
      </c>
      <c r="D36" s="20">
        <f>D33</f>
        <v>9235113.1100000013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31"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Gilmanton</v>
      </c>
      <c r="B2" s="126">
        <f>'DOE25'!B2</f>
        <v>195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6889289.5100000016</v>
      </c>
      <c r="G4" s="303">
        <f>'DOE25'!L212+'DOE25'!L291</f>
        <v>6889289.5100000016</v>
      </c>
      <c r="H4" s="337">
        <f>F4-G4</f>
        <v>0</v>
      </c>
      <c r="I4" s="309" t="str">
        <f>IF(H4=0,"","Does not match DOE25 page 7 and 11 Totals!!")</f>
        <v/>
      </c>
      <c r="N4"/>
    </row>
    <row r="5" spans="1:18" x14ac:dyDescent="0.2">
      <c r="A5" s="21" t="s">
        <v>1067</v>
      </c>
      <c r="B5" s="304">
        <f>IFERROR(VLOOKUP(A5,'School Tables'!$C$3:$D$365,2,FALSE),"")</f>
        <v>21250</v>
      </c>
      <c r="C5" s="297" t="str">
        <f>IFERROR(INDEX('School Tables'!$B$3:$B$365,MATCH('School Level Expenditures'!B5,'School Tables'!$D$3:$D$365,0)),"")</f>
        <v>Gilmanton</v>
      </c>
      <c r="D5" s="294">
        <f>'DOE25'!L212+'DOE25'!L291</f>
        <v>6889289.5100000016</v>
      </c>
      <c r="E5" s="294"/>
      <c r="F5" s="312">
        <f>D5+E5</f>
        <v>6889289.5100000016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3161057.87</v>
      </c>
      <c r="G36" s="303">
        <f>'DOE25'!L248+'DOE25'!L329</f>
        <v>3161057.8699999996</v>
      </c>
      <c r="H36" s="337">
        <f>F36-G36</f>
        <v>0</v>
      </c>
      <c r="I36" s="309" t="str">
        <f>IF(H36=0,"","Does not match DOE25 page 9 and 13 Totals!!")</f>
        <v/>
      </c>
      <c r="N36"/>
    </row>
    <row r="37" spans="1:14" x14ac:dyDescent="0.2">
      <c r="A37" s="21" t="s">
        <v>1646</v>
      </c>
      <c r="B37" s="304">
        <f>IFERROR(VLOOKUP(A37,'School Tables'!$O$3:$P$118,2,FALSE),"")</f>
        <v>99999</v>
      </c>
      <c r="C37" s="297" t="str">
        <f t="array" ref="C37">IFERROR(INDEX('School Tables'!$N$3:$N$118,MATCH('School Level Expenditures'!B37,'School Tables'!$P$3:$P$118,0)),"")</f>
        <v>Other District Expenditures</v>
      </c>
      <c r="D37" s="294">
        <v>3161057.87</v>
      </c>
      <c r="E37" s="294"/>
      <c r="F37" s="307">
        <f>D37+E37</f>
        <v>3161057.87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M18" sqref="M1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Gilmanton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965780.65</v>
      </c>
      <c r="D8" s="95">
        <f>'DOE25'!G9</f>
        <v>75</v>
      </c>
      <c r="E8" s="95">
        <f>'DOE25'!H9</f>
        <v>0</v>
      </c>
      <c r="F8" s="95">
        <f>'DOE25'!I9</f>
        <v>31671.25</v>
      </c>
      <c r="G8" s="95">
        <f>'DOE25'!J9</f>
        <v>0</v>
      </c>
      <c r="H8" s="124"/>
      <c r="I8" s="124"/>
    </row>
    <row r="9" spans="1:9" x14ac:dyDescent="0.2">
      <c r="A9" s="1" t="s">
        <v>140</v>
      </c>
      <c r="B9" s="6">
        <v>110</v>
      </c>
      <c r="C9" s="95">
        <f>'DOE25'!F10</f>
        <v>0</v>
      </c>
      <c r="D9" s="95">
        <f>'DOE25'!G10</f>
        <v>0</v>
      </c>
      <c r="E9" s="95">
        <f>'DOE25'!H10</f>
        <v>0</v>
      </c>
      <c r="F9" s="95">
        <f>'DOE25'!I10</f>
        <v>0</v>
      </c>
      <c r="G9" s="95">
        <f>'DOE25'!J10</f>
        <v>1031519.01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113975.09</v>
      </c>
      <c r="D11" s="95">
        <f>'DOE25'!G12</f>
        <v>0</v>
      </c>
      <c r="E11" s="95">
        <f>'DOE25'!H12</f>
        <v>0</v>
      </c>
      <c r="F11" s="95">
        <f>'DOE25'!I12</f>
        <v>0</v>
      </c>
      <c r="G11" s="95">
        <f>'DOE25'!J12</f>
        <v>0</v>
      </c>
      <c r="H11" s="124"/>
      <c r="I11" s="124"/>
    </row>
    <row r="12" spans="1:9" x14ac:dyDescent="0.2">
      <c r="A12" s="1" t="s">
        <v>143</v>
      </c>
      <c r="B12" s="6">
        <v>140</v>
      </c>
      <c r="C12" s="95">
        <f>'DOE25'!F13</f>
        <v>150110.81</v>
      </c>
      <c r="D12" s="95">
        <f>'DOE25'!G13</f>
        <v>14484.62</v>
      </c>
      <c r="E12" s="95">
        <f>'DOE25'!H13</f>
        <v>66188.800000000003</v>
      </c>
      <c r="F12" s="95">
        <f>'DOE25'!I13</f>
        <v>54507</v>
      </c>
      <c r="G12" s="95">
        <f>'DOE25'!J13</f>
        <v>0</v>
      </c>
      <c r="H12" s="124"/>
      <c r="I12" s="124"/>
    </row>
    <row r="13" spans="1:9" x14ac:dyDescent="0.2">
      <c r="A13" s="1" t="s">
        <v>144</v>
      </c>
      <c r="B13" s="6">
        <v>150</v>
      </c>
      <c r="C13" s="95">
        <f>'DOE25'!F14</f>
        <v>577</v>
      </c>
      <c r="D13" s="95">
        <f>'DOE25'!G14</f>
        <v>4952.99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3356.99</v>
      </c>
      <c r="D16" s="95">
        <f>'DOE25'!G17</f>
        <v>0</v>
      </c>
      <c r="E16" s="95">
        <f>'DOE25'!H17</f>
        <v>379.05</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1233800.54</v>
      </c>
      <c r="D18" s="41">
        <f>SUM(D8:D17)</f>
        <v>19512.61</v>
      </c>
      <c r="E18" s="41">
        <f>SUM(E8:E17)</f>
        <v>66567.850000000006</v>
      </c>
      <c r="F18" s="41">
        <f>SUM(F8:F17)</f>
        <v>86178.25</v>
      </c>
      <c r="G18" s="41">
        <f>SUM(G8:G17)</f>
        <v>1031519.01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4725.29</v>
      </c>
      <c r="E21" s="95">
        <f>'DOE25'!H22</f>
        <v>59908.14</v>
      </c>
      <c r="F21" s="95">
        <f>'DOE25'!I22</f>
        <v>49342.1</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30354.15</v>
      </c>
      <c r="D23" s="95">
        <f>'DOE25'!G24</f>
        <v>1384.77</v>
      </c>
      <c r="E23" s="95">
        <f>'DOE25'!H24</f>
        <v>1179.96</v>
      </c>
      <c r="F23" s="95">
        <f>'DOE25'!I24</f>
        <v>0</v>
      </c>
      <c r="G23" s="95">
        <f>'DOE25'!J24</f>
        <v>0</v>
      </c>
      <c r="H23" s="124"/>
      <c r="I23" s="124"/>
    </row>
    <row r="24" spans="1:9" x14ac:dyDescent="0.2">
      <c r="A24" s="1" t="s">
        <v>153</v>
      </c>
      <c r="B24" s="6">
        <v>430</v>
      </c>
      <c r="C24" s="95">
        <f>'DOE25'!F25</f>
        <v>269649.99</v>
      </c>
      <c r="D24" s="95">
        <f>'DOE25'!G25</f>
        <v>5153.88</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5156.84</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6019.09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300004.14</v>
      </c>
      <c r="D31" s="41">
        <f>SUM(D21:D30)</f>
        <v>17283.03</v>
      </c>
      <c r="E31" s="41">
        <f>SUM(E21:E30)</f>
        <v>66244.94</v>
      </c>
      <c r="F31" s="41">
        <f>SUM(F21:F30)</f>
        <v>49342.1</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3356.99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9020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3731.5</v>
      </c>
      <c r="H38" s="124"/>
      <c r="I38" s="124"/>
    </row>
    <row r="39" spans="1:9" x14ac:dyDescent="0.2">
      <c r="A39" s="1" t="s">
        <v>861</v>
      </c>
      <c r="B39" s="6"/>
      <c r="C39" s="24" t="s">
        <v>288</v>
      </c>
      <c r="D39" s="95">
        <f>'DOE25'!G40</f>
        <v>2229.58</v>
      </c>
      <c r="E39" s="24" t="s">
        <v>288</v>
      </c>
      <c r="F39" s="24" t="s">
        <v>288</v>
      </c>
      <c r="G39" s="24" t="s">
        <v>288</v>
      </c>
      <c r="H39" s="124"/>
      <c r="I39" s="124"/>
    </row>
    <row r="40" spans="1:9" x14ac:dyDescent="0.2">
      <c r="A40" s="1" t="s">
        <v>871</v>
      </c>
      <c r="B40" s="6"/>
      <c r="C40" s="24" t="s">
        <v>288</v>
      </c>
      <c r="D40" s="24" t="s">
        <v>288</v>
      </c>
      <c r="E40" s="24" t="s">
        <v>288</v>
      </c>
      <c r="F40" s="95">
        <f>'DOE25'!I41</f>
        <v>18786.150000000001</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322.91000000000003</v>
      </c>
      <c r="F47" s="95">
        <f>'DOE25'!I48</f>
        <v>4000</v>
      </c>
      <c r="G47" s="95">
        <f>'DOE25'!J48</f>
        <v>1018767.51</v>
      </c>
      <c r="H47" s="124"/>
      <c r="I47" s="124"/>
    </row>
    <row r="48" spans="1:9" x14ac:dyDescent="0.2">
      <c r="A48" s="1" t="s">
        <v>882</v>
      </c>
      <c r="B48" s="6">
        <v>753</v>
      </c>
      <c r="C48" s="95">
        <f>'DOE25'!F49</f>
        <v>276946.71999999997</v>
      </c>
      <c r="D48" s="95">
        <f>'DOE25'!G49</f>
        <v>0</v>
      </c>
      <c r="E48" s="95">
        <f>'DOE25'!H49</f>
        <v>0</v>
      </c>
      <c r="F48" s="95">
        <f>'DOE25'!I49</f>
        <v>14050</v>
      </c>
      <c r="G48" s="95">
        <f>'DOE25'!J49</f>
        <v>0</v>
      </c>
      <c r="H48" s="124"/>
      <c r="I48" s="124"/>
    </row>
    <row r="49" spans="1:9" ht="12" thickBot="1" x14ac:dyDescent="0.25">
      <c r="A49" s="29" t="s">
        <v>883</v>
      </c>
      <c r="B49" s="71">
        <v>770</v>
      </c>
      <c r="C49" s="95">
        <f>'DOE25'!F50</f>
        <v>653492.68999999994</v>
      </c>
      <c r="D49" s="24" t="s">
        <v>288</v>
      </c>
      <c r="E49" s="24" t="s">
        <v>288</v>
      </c>
      <c r="F49" s="24" t="s">
        <v>288</v>
      </c>
      <c r="G49" s="24" t="s">
        <v>288</v>
      </c>
      <c r="H49" s="124"/>
      <c r="I49" s="124"/>
    </row>
    <row r="50" spans="1:9" ht="12.75" thickTop="1" thickBot="1" x14ac:dyDescent="0.25">
      <c r="A50" s="38" t="s">
        <v>884</v>
      </c>
      <c r="B50" s="48"/>
      <c r="C50" s="41">
        <f>SUM(C34:C49)</f>
        <v>933796.39999999991</v>
      </c>
      <c r="D50" s="41">
        <f>SUM(D34:D49)</f>
        <v>2229.58</v>
      </c>
      <c r="E50" s="41">
        <f>SUM(E34:E49)</f>
        <v>322.91000000000003</v>
      </c>
      <c r="F50" s="41">
        <f>SUM(F34:F49)</f>
        <v>36836.15</v>
      </c>
      <c r="G50" s="41">
        <f>SUM(G34:G49)</f>
        <v>1031519.01</v>
      </c>
      <c r="H50" s="124"/>
      <c r="I50" s="124"/>
    </row>
    <row r="51" spans="1:9" ht="12" thickTop="1" x14ac:dyDescent="0.2">
      <c r="A51" s="38" t="s">
        <v>885</v>
      </c>
      <c r="B51" s="2"/>
      <c r="C51" s="41">
        <f>C50+C31</f>
        <v>1233800.54</v>
      </c>
      <c r="D51" s="41">
        <f>D50+D31</f>
        <v>19512.61</v>
      </c>
      <c r="E51" s="41">
        <f>E50+E31</f>
        <v>66567.850000000006</v>
      </c>
      <c r="F51" s="41">
        <f>F50+F31</f>
        <v>86178.25</v>
      </c>
      <c r="G51" s="41">
        <f>G50+G31</f>
        <v>1031519.01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7659365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29298.62</v>
      </c>
      <c r="D59" s="95">
        <f>'DOE25'!G96</f>
        <v>0</v>
      </c>
      <c r="E59" s="95">
        <f>'DOE25'!H96</f>
        <v>0</v>
      </c>
      <c r="F59" s="95">
        <f>'DOE25'!I96</f>
        <v>0</v>
      </c>
      <c r="G59" s="95">
        <f>'DOE25'!J96</f>
        <v>23526.68</v>
      </c>
      <c r="H59"/>
      <c r="I59"/>
    </row>
    <row r="60" spans="1:9" x14ac:dyDescent="0.2">
      <c r="A60" s="1" t="s">
        <v>170</v>
      </c>
      <c r="B60" s="118" t="s">
        <v>171</v>
      </c>
      <c r="C60" s="24" t="s">
        <v>288</v>
      </c>
      <c r="D60" s="95">
        <f>'DOE25'!G97</f>
        <v>37487.760000000009</v>
      </c>
      <c r="E60" s="24" t="s">
        <v>288</v>
      </c>
      <c r="F60" s="24" t="s">
        <v>288</v>
      </c>
      <c r="G60" s="24" t="s">
        <v>288</v>
      </c>
      <c r="H60"/>
      <c r="I60"/>
    </row>
    <row r="61" spans="1:9" ht="12" thickBot="1" x14ac:dyDescent="0.25">
      <c r="A61" s="1" t="s">
        <v>172</v>
      </c>
      <c r="B61" s="118" t="s">
        <v>173</v>
      </c>
      <c r="C61" s="95">
        <f>SUM('DOE25'!F98:F110)</f>
        <v>4491.47</v>
      </c>
      <c r="D61" s="95">
        <f>SUM('DOE25'!G98:G110)</f>
        <v>512.41</v>
      </c>
      <c r="E61" s="95">
        <f>SUM('DOE25'!H98:H110)</f>
        <v>0</v>
      </c>
      <c r="F61" s="95">
        <f>SUM('DOE25'!I98:I110)</f>
        <v>4000</v>
      </c>
      <c r="G61" s="95">
        <f>SUM('DOE25'!J98:J110)</f>
        <v>0</v>
      </c>
      <c r="H61"/>
      <c r="I61"/>
    </row>
    <row r="62" spans="1:9" ht="12.75" thickTop="1" thickBot="1" x14ac:dyDescent="0.25">
      <c r="A62" s="29" t="s">
        <v>174</v>
      </c>
      <c r="B62" s="6"/>
      <c r="C62" s="130">
        <f>SUM(C57:C61)</f>
        <v>33790.089999999997</v>
      </c>
      <c r="D62" s="130">
        <f>SUM(D57:D61)</f>
        <v>38000.170000000013</v>
      </c>
      <c r="E62" s="130">
        <f>SUM(E57:E61)</f>
        <v>0</v>
      </c>
      <c r="F62" s="130">
        <f>SUM(F57:F61)</f>
        <v>4000</v>
      </c>
      <c r="G62" s="130">
        <f>SUM(G57:G61)</f>
        <v>23526.68</v>
      </c>
      <c r="H62"/>
      <c r="I62"/>
    </row>
    <row r="63" spans="1:9" ht="12" thickTop="1" x14ac:dyDescent="0.2">
      <c r="A63" s="29" t="s">
        <v>175</v>
      </c>
      <c r="B63" s="6"/>
      <c r="C63" s="22">
        <f>C56+C62</f>
        <v>7693155.0899999999</v>
      </c>
      <c r="D63" s="22">
        <f>D56+D62</f>
        <v>38000.170000000013</v>
      </c>
      <c r="E63" s="22">
        <f>E56+E62</f>
        <v>0</v>
      </c>
      <c r="F63" s="22">
        <f>F56+F62</f>
        <v>4000</v>
      </c>
      <c r="G63" s="22">
        <f>G56+G62</f>
        <v>23526.68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1361347.06</v>
      </c>
      <c r="D66" s="24" t="s">
        <v>288</v>
      </c>
      <c r="E66" s="24" t="s">
        <v>288</v>
      </c>
      <c r="F66" s="24" t="s">
        <v>288</v>
      </c>
      <c r="G66" s="24" t="s">
        <v>288</v>
      </c>
      <c r="H66"/>
      <c r="I66"/>
    </row>
    <row r="67" spans="1:9" x14ac:dyDescent="0.2">
      <c r="A67" s="1" t="s">
        <v>770</v>
      </c>
      <c r="B67" s="6">
        <v>3112</v>
      </c>
      <c r="C67" s="95">
        <f>'DOE25'!F118</f>
        <v>983074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2344421.06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21540.04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1852.65</v>
      </c>
      <c r="E77" s="95">
        <f>SUM('DOE25'!H131:H135)</f>
        <v>0</v>
      </c>
      <c r="F77" s="95">
        <f>SUM('DOE25'!I131:I135)</f>
        <v>0</v>
      </c>
      <c r="G77" s="95">
        <f>SUM('DOE25'!J131:J135)</f>
        <v>0</v>
      </c>
      <c r="H77"/>
      <c r="I77"/>
    </row>
    <row r="78" spans="1:9" ht="12.75" thickTop="1" thickBot="1" x14ac:dyDescent="0.25">
      <c r="A78" s="29" t="s">
        <v>259</v>
      </c>
      <c r="B78" s="6"/>
      <c r="C78" s="130">
        <f>SUM(C72:C77)</f>
        <v>21540.04</v>
      </c>
      <c r="D78" s="130">
        <f>SUM(D72:D77)</f>
        <v>1852.65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2365961.1</v>
      </c>
      <c r="D81" s="130">
        <f>SUM(D79:D80)+D78+D70</f>
        <v>1852.65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8708.11</v>
      </c>
      <c r="E85" s="95">
        <f>'DOE25'!H147</f>
        <v>28184</v>
      </c>
      <c r="F85" s="95">
        <f>'DOE25'!I147</f>
        <v>54507</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5305.41</v>
      </c>
      <c r="D88" s="341">
        <f>SUM('DOE25'!G153:G162)</f>
        <v>36745.31</v>
      </c>
      <c r="E88" s="341">
        <f>SUM('DOE25'!H153:H162)</f>
        <v>164842.75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5305.41</v>
      </c>
      <c r="D91" s="131">
        <f>SUM(D85:D90)</f>
        <v>45453.42</v>
      </c>
      <c r="E91" s="131">
        <f>SUM(E85:E90)</f>
        <v>193026.75</v>
      </c>
      <c r="F91" s="131">
        <f>SUM(F85:F90)</f>
        <v>54507</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1330000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51805</v>
      </c>
      <c r="E96" s="95">
        <f>'DOE25'!H180</f>
        <v>0</v>
      </c>
      <c r="F96" s="95">
        <f>'DOE25'!I180</f>
        <v>0</v>
      </c>
      <c r="G96" s="95">
        <f>'DOE25'!J180</f>
        <v>122828</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862.52</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862.52</v>
      </c>
      <c r="D103" s="86">
        <f>SUM(D93:D102)</f>
        <v>51805</v>
      </c>
      <c r="E103" s="86">
        <f>SUM(E93:E102)</f>
        <v>0</v>
      </c>
      <c r="F103" s="86">
        <f>SUM(F93:F102)</f>
        <v>1330000</v>
      </c>
      <c r="G103" s="86">
        <f>SUM(G93:G102)</f>
        <v>122828</v>
      </c>
    </row>
    <row r="104" spans="1:7" ht="12.75" thickTop="1" thickBot="1" x14ac:dyDescent="0.25">
      <c r="A104" s="33" t="s">
        <v>761</v>
      </c>
      <c r="C104" s="86">
        <f>C63+C81+C91+C103</f>
        <v>10065284.119999999</v>
      </c>
      <c r="D104" s="86">
        <f>D63+D81+D91+D103</f>
        <v>137111.24000000002</v>
      </c>
      <c r="E104" s="86">
        <f>E63+E81+E91+E103</f>
        <v>193026.75</v>
      </c>
      <c r="F104" s="86">
        <f>F63+F81+F91+F103</f>
        <v>1388507</v>
      </c>
      <c r="G104" s="86">
        <f>G63+G81+G103</f>
        <v>146354.68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6247036.4700000007</v>
      </c>
      <c r="D109" s="24" t="s">
        <v>288</v>
      </c>
      <c r="E109" s="95">
        <f>('DOE25'!L277)+('DOE25'!L296)+('DOE25'!L315)</f>
        <v>84557.440000000002</v>
      </c>
      <c r="F109" s="24" t="s">
        <v>288</v>
      </c>
      <c r="G109" s="24" t="s">
        <v>288</v>
      </c>
    </row>
    <row r="110" spans="1:7" x14ac:dyDescent="0.2">
      <c r="A110" t="s">
        <v>198</v>
      </c>
      <c r="B110" s="32" t="s">
        <v>199</v>
      </c>
      <c r="C110" s="95">
        <f>('DOE25'!L199)+('DOE25'!L217)+('DOE25'!L235)</f>
        <v>757032.5</v>
      </c>
      <c r="D110" s="24" t="s">
        <v>288</v>
      </c>
      <c r="E110" s="95">
        <f>('DOE25'!L278)+('DOE25'!L297)+('DOE25'!L316)</f>
        <v>81600.5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76702.75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7080771.7200000007</v>
      </c>
      <c r="D115" s="86">
        <f>SUM(D109:D114)</f>
        <v>0</v>
      </c>
      <c r="E115" s="86">
        <f>SUM(E109:E114)</f>
        <v>166157.94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544580.56000000006</v>
      </c>
      <c r="D118" s="24" t="s">
        <v>288</v>
      </c>
      <c r="E118" s="95">
        <f>+('DOE25'!L282)+('DOE25'!L301)+('DOE25'!L320)</f>
        <v>16848.309999999998</v>
      </c>
      <c r="F118" s="24" t="s">
        <v>288</v>
      </c>
      <c r="G118" s="24" t="s">
        <v>288</v>
      </c>
    </row>
    <row r="119" spans="1:7" x14ac:dyDescent="0.2">
      <c r="A119" t="s">
        <v>208</v>
      </c>
      <c r="B119" s="32" t="s">
        <v>209</v>
      </c>
      <c r="C119" s="95">
        <f>('DOE25'!L204)+('DOE25'!L222)+('DOE25'!L240)</f>
        <v>333564.45999999996</v>
      </c>
      <c r="D119" s="24" t="s">
        <v>288</v>
      </c>
      <c r="E119" s="95">
        <f>+('DOE25'!L283)+('DOE25'!L302)+('DOE25'!L321)</f>
        <v>1299</v>
      </c>
      <c r="F119" s="24" t="s">
        <v>288</v>
      </c>
      <c r="G119" s="24" t="s">
        <v>288</v>
      </c>
    </row>
    <row r="120" spans="1:7" x14ac:dyDescent="0.2">
      <c r="A120" t="s">
        <v>210</v>
      </c>
      <c r="B120" s="32" t="s">
        <v>211</v>
      </c>
      <c r="C120" s="95">
        <f>('DOE25'!L205)+('DOE25'!L223)+('DOE25'!L241)</f>
        <v>469098.18999999994</v>
      </c>
      <c r="D120" s="24" t="s">
        <v>288</v>
      </c>
      <c r="E120" s="95">
        <f>+('DOE25'!L284)+('DOE25'!L303)+('DOE25'!L322)</f>
        <v>0</v>
      </c>
      <c r="F120" s="24" t="s">
        <v>288</v>
      </c>
      <c r="G120" s="24" t="s">
        <v>288</v>
      </c>
    </row>
    <row r="121" spans="1:7" x14ac:dyDescent="0.2">
      <c r="A121" t="s">
        <v>212</v>
      </c>
      <c r="B121" s="32" t="s">
        <v>213</v>
      </c>
      <c r="C121" s="95">
        <f>('DOE25'!L206)+('DOE25'!L224)+('DOE25'!L242)</f>
        <v>407402.50000000006</v>
      </c>
      <c r="D121" s="24" t="s">
        <v>288</v>
      </c>
      <c r="E121" s="95">
        <f>+('DOE25'!L285)+('DOE25'!L304)+('DOE25'!L323)</f>
        <v>0</v>
      </c>
      <c r="F121" s="24" t="s">
        <v>288</v>
      </c>
      <c r="G121" s="24" t="s">
        <v>288</v>
      </c>
    </row>
    <row r="122" spans="1:7" x14ac:dyDescent="0.2">
      <c r="A122" t="s">
        <v>214</v>
      </c>
      <c r="B122" s="32" t="s">
        <v>215</v>
      </c>
      <c r="C122" s="95">
        <f>('DOE25'!L207)+('DOE25'!L225)+('DOE25'!L243)</f>
        <v>148160.23000000001</v>
      </c>
      <c r="D122" s="24" t="s">
        <v>288</v>
      </c>
      <c r="E122" s="95">
        <f>+('DOE25'!L286)+('DOE25'!L305)+('DOE25'!L324)</f>
        <v>0</v>
      </c>
      <c r="F122" s="24" t="s">
        <v>288</v>
      </c>
      <c r="G122" s="24" t="s">
        <v>288</v>
      </c>
    </row>
    <row r="123" spans="1:7" x14ac:dyDescent="0.2">
      <c r="A123" t="s">
        <v>216</v>
      </c>
      <c r="B123" s="32" t="s">
        <v>217</v>
      </c>
      <c r="C123" s="95">
        <f>('DOE25'!L208)+('DOE25'!L226)+('DOE25'!L244)</f>
        <v>537038.26</v>
      </c>
      <c r="D123" s="24" t="s">
        <v>288</v>
      </c>
      <c r="E123" s="95">
        <f>+('DOE25'!L287)+('DOE25'!L306)+('DOE25'!L325)</f>
        <v>630.64</v>
      </c>
      <c r="F123" s="24" t="s">
        <v>288</v>
      </c>
      <c r="G123" s="24" t="s">
        <v>288</v>
      </c>
    </row>
    <row r="124" spans="1:7" x14ac:dyDescent="0.2">
      <c r="A124" t="s">
        <v>218</v>
      </c>
      <c r="B124" s="32" t="s">
        <v>219</v>
      </c>
      <c r="C124" s="95">
        <f>('DOE25'!L209)+('DOE25'!L227)+('DOE25'!L245+'DOE25'!L255)</f>
        <v>336074.07</v>
      </c>
      <c r="D124" s="24" t="s">
        <v>288</v>
      </c>
      <c r="E124" s="95">
        <f>+('DOE25'!L288)+('DOE25'!L307)+('DOE25'!L326)</f>
        <v>8721.5</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139877.75</v>
      </c>
      <c r="E127" s="24" t="s">
        <v>288</v>
      </c>
      <c r="F127" s="24" t="s">
        <v>288</v>
      </c>
      <c r="G127" s="24" t="s">
        <v>288</v>
      </c>
    </row>
    <row r="128" spans="1:7" ht="12.75" thickTop="1" thickBot="1" x14ac:dyDescent="0.25">
      <c r="A128" s="33" t="s">
        <v>226</v>
      </c>
      <c r="C128" s="86">
        <f>SUM(C118:C127)</f>
        <v>2775918.27</v>
      </c>
      <c r="D128" s="86">
        <f>SUM(D118:D127)</f>
        <v>139877.75</v>
      </c>
      <c r="E128" s="86">
        <f>SUM(E118:E127)</f>
        <v>27499.449999999997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1351670.85</v>
      </c>
      <c r="G130" s="24" t="s">
        <v>288</v>
      </c>
    </row>
    <row r="131" spans="1:7" x14ac:dyDescent="0.2">
      <c r="A131" t="s">
        <v>229</v>
      </c>
      <c r="B131" s="32">
        <v>5110</v>
      </c>
      <c r="C131" s="95">
        <f>'DOE25'!L261</f>
        <v>36400</v>
      </c>
      <c r="D131" s="24" t="s">
        <v>288</v>
      </c>
      <c r="E131" s="129">
        <f>'DOE25'!L342</f>
        <v>0</v>
      </c>
      <c r="F131" s="24" t="s">
        <v>288</v>
      </c>
      <c r="G131" s="24" t="s">
        <v>288</v>
      </c>
    </row>
    <row r="132" spans="1:7" x14ac:dyDescent="0.2">
      <c r="A132" t="s">
        <v>230</v>
      </c>
      <c r="B132" s="32">
        <v>5120</v>
      </c>
      <c r="C132" s="95">
        <f>'DOE25'!L262</f>
        <v>31568.68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862.52</v>
      </c>
      <c r="G134" s="95">
        <f>'DOE25'!K435</f>
        <v>0</v>
      </c>
    </row>
    <row r="135" spans="1:7" x14ac:dyDescent="0.2">
      <c r="A135" t="s">
        <v>233</v>
      </c>
      <c r="B135" s="32" t="s">
        <v>234</v>
      </c>
      <c r="C135" s="95">
        <f>'DOE25'!L264</f>
        <v>51805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41314.17</v>
      </c>
      <c r="D138" s="24" t="s">
        <v>288</v>
      </c>
      <c r="E138" s="24" t="s">
        <v>288</v>
      </c>
      <c r="F138" s="24" t="s">
        <v>288</v>
      </c>
      <c r="G138" s="24" t="s">
        <v>288</v>
      </c>
    </row>
    <row r="139" spans="1:7" x14ac:dyDescent="0.2">
      <c r="A139" t="s">
        <v>239</v>
      </c>
      <c r="B139" s="32">
        <v>5252</v>
      </c>
      <c r="C139" s="95">
        <f>'DOE25'!L402</f>
        <v>104733.40999999999</v>
      </c>
      <c r="D139" s="24" t="s">
        <v>288</v>
      </c>
      <c r="E139" s="24" t="s">
        <v>288</v>
      </c>
      <c r="F139" s="24" t="s">
        <v>288</v>
      </c>
      <c r="G139" s="24" t="s">
        <v>288</v>
      </c>
    </row>
    <row r="140" spans="1:7" x14ac:dyDescent="0.2">
      <c r="A140" t="s">
        <v>240</v>
      </c>
      <c r="B140" s="32">
        <v>5253</v>
      </c>
      <c r="C140" s="95">
        <f>'DOE25'!L408</f>
        <v>307.10000000000002</v>
      </c>
      <c r="D140" s="24" t="s">
        <v>288</v>
      </c>
      <c r="E140" s="24" t="s">
        <v>288</v>
      </c>
      <c r="F140" s="24" t="s">
        <v>288</v>
      </c>
      <c r="G140" s="24" t="s">
        <v>288</v>
      </c>
    </row>
    <row r="141" spans="1:7" x14ac:dyDescent="0.2">
      <c r="A141" t="s">
        <v>762</v>
      </c>
      <c r="B141" s="32">
        <v>5254</v>
      </c>
      <c r="C141" s="95">
        <f>('DOE25'!L267+'DOE25'!K348) - (C138+C139+C140)</f>
        <v>-23526.679999999993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242601.67999999993</v>
      </c>
      <c r="D144" s="141">
        <f>SUM(D130:D143)</f>
        <v>0</v>
      </c>
      <c r="E144" s="141">
        <f>SUM(E130:E143)</f>
        <v>0</v>
      </c>
      <c r="F144" s="141">
        <f>SUM(F130:F143)</f>
        <v>1352533.37</v>
      </c>
      <c r="G144" s="141">
        <f>SUM(G130:G143)</f>
        <v>0</v>
      </c>
    </row>
    <row r="145" spans="1:9" ht="12.75" thickTop="1" thickBot="1" x14ac:dyDescent="0.25">
      <c r="A145" s="33" t="s">
        <v>244</v>
      </c>
      <c r="C145" s="86">
        <f>(C115+C128+C144)</f>
        <v>10099291.67</v>
      </c>
      <c r="D145" s="86">
        <f>(D115+D128+D144)</f>
        <v>139877.75</v>
      </c>
      <c r="E145" s="86">
        <f>(E115+E128+E144)</f>
        <v>193657.39</v>
      </c>
      <c r="F145" s="86">
        <f>(F115+F128+F144)</f>
        <v>1352533.37</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15</v>
      </c>
      <c r="D151" s="153">
        <f>'DOE25'!H491</f>
        <v>0</v>
      </c>
      <c r="E151" s="153">
        <f>'DOE25'!I491</f>
        <v>0</v>
      </c>
      <c r="F151" s="153">
        <f>'DOE25'!J491</f>
        <v>0</v>
      </c>
      <c r="G151" s="24" t="s">
        <v>288</v>
      </c>
    </row>
    <row r="152" spans="1:9" x14ac:dyDescent="0.2">
      <c r="A152" s="136" t="s">
        <v>28</v>
      </c>
      <c r="B152" s="152">
        <f>'DOE25'!F492</f>
        <v>0</v>
      </c>
      <c r="C152" s="152" t="str">
        <f>'DOE25'!G492</f>
        <v>08/19</v>
      </c>
      <c r="D152" s="152">
        <f>'DOE25'!H492</f>
        <v>0</v>
      </c>
      <c r="E152" s="152">
        <f>'DOE25'!I492</f>
        <v>0</v>
      </c>
      <c r="F152" s="152">
        <f>'DOE25'!J492</f>
        <v>0</v>
      </c>
      <c r="G152" s="24" t="s">
        <v>288</v>
      </c>
    </row>
    <row r="153" spans="1:9" x14ac:dyDescent="0.2">
      <c r="A153" s="136" t="s">
        <v>29</v>
      </c>
      <c r="B153" s="152" t="str">
        <f>'DOE25'!F493</f>
        <v>10/19</v>
      </c>
      <c r="C153" s="152" t="str">
        <f>'DOE25'!G493</f>
        <v>08/34</v>
      </c>
      <c r="D153" s="152">
        <f>'DOE25'!H493</f>
        <v>0</v>
      </c>
      <c r="E153" s="152">
        <f>'DOE25'!I493</f>
        <v>0</v>
      </c>
      <c r="F153" s="152">
        <f>'DOE25'!J493</f>
        <v>0</v>
      </c>
      <c r="G153" s="24" t="s">
        <v>288</v>
      </c>
    </row>
    <row r="154" spans="1:9" x14ac:dyDescent="0.2">
      <c r="A154" s="136" t="s">
        <v>30</v>
      </c>
      <c r="B154" s="137">
        <f>'DOE25'!F494</f>
        <v>182000</v>
      </c>
      <c r="C154" s="137">
        <f>'DOE25'!G494</f>
        <v>1171400</v>
      </c>
      <c r="D154" s="137">
        <f>'DOE25'!H494</f>
        <v>0</v>
      </c>
      <c r="E154" s="137">
        <f>'DOE25'!I494</f>
        <v>0</v>
      </c>
      <c r="F154" s="137">
        <f>'DOE25'!J494</f>
        <v>0</v>
      </c>
      <c r="G154" s="24" t="s">
        <v>288</v>
      </c>
    </row>
    <row r="155" spans="1:9" x14ac:dyDescent="0.2">
      <c r="A155" s="136" t="s">
        <v>31</v>
      </c>
      <c r="B155" s="137">
        <f>'DOE25'!F495</f>
        <v>1.2</v>
      </c>
      <c r="C155" s="137">
        <f>'DOE25'!G495</f>
        <v>5.0999999999999996</v>
      </c>
      <c r="D155" s="137">
        <f>'DOE25'!H495</f>
        <v>0</v>
      </c>
      <c r="E155" s="137">
        <f>'DOE25'!I495</f>
        <v>0</v>
      </c>
      <c r="F155" s="137">
        <f>'DOE25'!J495</f>
        <v>0</v>
      </c>
      <c r="G155" s="24" t="s">
        <v>288</v>
      </c>
    </row>
    <row r="156" spans="1:9" x14ac:dyDescent="0.2">
      <c r="A156" s="22" t="s">
        <v>32</v>
      </c>
      <c r="B156" s="137">
        <f>'DOE25'!F496</f>
        <v>36400</v>
      </c>
      <c r="C156" s="137">
        <f>'DOE25'!G496</f>
        <v>1171400</v>
      </c>
      <c r="D156" s="137">
        <f>'DOE25'!H496</f>
        <v>0</v>
      </c>
      <c r="E156" s="137">
        <f>'DOE25'!I496</f>
        <v>0</v>
      </c>
      <c r="F156" s="137">
        <f>'DOE25'!J496</f>
        <v>0</v>
      </c>
      <c r="G156" s="138">
        <f>SUM(B156:F156)</f>
        <v>1207800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36400</v>
      </c>
      <c r="C158" s="137">
        <f>'DOE25'!G498</f>
        <v>0</v>
      </c>
      <c r="D158" s="137">
        <f>'DOE25'!H498</f>
        <v>0</v>
      </c>
      <c r="E158" s="137">
        <f>'DOE25'!I498</f>
        <v>0</v>
      </c>
      <c r="F158" s="137">
        <f>'DOE25'!J498</f>
        <v>0</v>
      </c>
      <c r="G158" s="138">
        <f t="shared" si="0"/>
        <v>36400</v>
      </c>
    </row>
    <row r="159" spans="1:9" x14ac:dyDescent="0.2">
      <c r="A159" s="22" t="s">
        <v>35</v>
      </c>
      <c r="B159" s="137">
        <f>'DOE25'!F499</f>
        <v>0</v>
      </c>
      <c r="C159" s="137">
        <f>'DOE25'!G499</f>
        <v>1171400</v>
      </c>
      <c r="D159" s="137">
        <f>'DOE25'!H499</f>
        <v>0</v>
      </c>
      <c r="E159" s="137">
        <f>'DOE25'!I499</f>
        <v>0</v>
      </c>
      <c r="F159" s="137">
        <f>'DOE25'!J499</f>
        <v>0</v>
      </c>
      <c r="G159" s="138">
        <f t="shared" si="0"/>
        <v>1171400</v>
      </c>
    </row>
    <row r="160" spans="1:9" x14ac:dyDescent="0.2">
      <c r="A160" s="22" t="s">
        <v>36</v>
      </c>
      <c r="B160" s="137">
        <f>'DOE25'!F500</f>
        <v>0</v>
      </c>
      <c r="C160" s="137">
        <f>'DOE25'!G500</f>
        <v>373727.73</v>
      </c>
      <c r="D160" s="137">
        <f>'DOE25'!H500</f>
        <v>0</v>
      </c>
      <c r="E160" s="137">
        <f>'DOE25'!I500</f>
        <v>0</v>
      </c>
      <c r="F160" s="137">
        <f>'DOE25'!J500</f>
        <v>0</v>
      </c>
      <c r="G160" s="138">
        <f t="shared" si="0"/>
        <v>373727.73</v>
      </c>
    </row>
    <row r="161" spans="1:7" x14ac:dyDescent="0.2">
      <c r="A161" s="22" t="s">
        <v>37</v>
      </c>
      <c r="B161" s="137">
        <f>'DOE25'!F501</f>
        <v>0</v>
      </c>
      <c r="C161" s="137">
        <f>'DOE25'!G501</f>
        <v>1545127.73</v>
      </c>
      <c r="D161" s="137">
        <f>'DOE25'!H501</f>
        <v>0</v>
      </c>
      <c r="E161" s="137">
        <f>'DOE25'!I501</f>
        <v>0</v>
      </c>
      <c r="F161" s="137">
        <f>'DOE25'!J501</f>
        <v>0</v>
      </c>
      <c r="G161" s="138">
        <f t="shared" si="0"/>
        <v>1545127.73</v>
      </c>
    </row>
    <row r="162" spans="1:7" x14ac:dyDescent="0.2">
      <c r="A162" s="22" t="s">
        <v>38</v>
      </c>
      <c r="B162" s="137">
        <f>'DOE25'!F502</f>
        <v>0</v>
      </c>
      <c r="C162" s="137">
        <f>'DOE25'!G502</f>
        <v>76400</v>
      </c>
      <c r="D162" s="137">
        <f>'DOE25'!H502</f>
        <v>0</v>
      </c>
      <c r="E162" s="137">
        <f>'DOE25'!I502</f>
        <v>0</v>
      </c>
      <c r="F162" s="137">
        <f>'DOE25'!J502</f>
        <v>0</v>
      </c>
      <c r="G162" s="138">
        <f t="shared" si="0"/>
        <v>76400</v>
      </c>
    </row>
    <row r="163" spans="1:7" x14ac:dyDescent="0.2">
      <c r="A163" s="22" t="s">
        <v>39</v>
      </c>
      <c r="B163" s="137">
        <f>'DOE25'!F503</f>
        <v>0</v>
      </c>
      <c r="C163" s="137">
        <f>'DOE25'!G503</f>
        <v>49918.2</v>
      </c>
      <c r="D163" s="137">
        <f>'DOE25'!H503</f>
        <v>0</v>
      </c>
      <c r="E163" s="137">
        <f>'DOE25'!I503</f>
        <v>0</v>
      </c>
      <c r="F163" s="137">
        <f>'DOE25'!J503</f>
        <v>0</v>
      </c>
      <c r="G163" s="138">
        <f t="shared" si="0"/>
        <v>49918.2</v>
      </c>
    </row>
    <row r="164" spans="1:7" x14ac:dyDescent="0.2">
      <c r="A164" s="22" t="s">
        <v>246</v>
      </c>
      <c r="B164" s="137">
        <f>'DOE25'!F504</f>
        <v>0</v>
      </c>
      <c r="C164" s="137">
        <f>'DOE25'!G504</f>
        <v>126318.2</v>
      </c>
      <c r="D164" s="137">
        <f>'DOE25'!H504</f>
        <v>0</v>
      </c>
      <c r="E164" s="137">
        <f>'DOE25'!I504</f>
        <v>0</v>
      </c>
      <c r="F164" s="137">
        <f>'DOE25'!J504</f>
        <v>0</v>
      </c>
      <c r="G164" s="138">
        <f t="shared" si="0"/>
        <v>126318.2</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2"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Gilmanton</v>
      </c>
    </row>
    <row r="3" spans="1:4" x14ac:dyDescent="0.2">
      <c r="B3" s="188" t="s">
        <v>1587</v>
      </c>
    </row>
    <row r="4" spans="1:4" x14ac:dyDescent="0.2">
      <c r="B4" t="s">
        <v>61</v>
      </c>
      <c r="C4" s="179">
        <f>IF('DOE25'!F666+'DOE25'!F671=0,0,ROUND('DOE25'!F673,0))</f>
        <v>15739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15739</v>
      </c>
    </row>
    <row r="9" spans="1:4" x14ac:dyDescent="0.2">
      <c r="A9" s="187" t="s">
        <v>94</v>
      </c>
      <c r="B9" s="188" t="s">
        <v>1588</v>
      </c>
      <c r="C9" s="181" t="s">
        <v>720</v>
      </c>
      <c r="D9" s="181" t="s">
        <v>721</v>
      </c>
    </row>
    <row r="10" spans="1:4" x14ac:dyDescent="0.2">
      <c r="A10">
        <v>1100</v>
      </c>
      <c r="B10" t="s">
        <v>702</v>
      </c>
      <c r="C10" s="179">
        <f>ROUND('DOE25'!L198+'DOE25'!L216+'DOE25'!L234+'DOE25'!L277+'DOE25'!L296+'DOE25'!L315,0)</f>
        <v>6331594</v>
      </c>
      <c r="D10" s="182">
        <f>ROUND((C10/$C$28)*100,1)</f>
        <v>62.2</v>
      </c>
    </row>
    <row r="11" spans="1:4" x14ac:dyDescent="0.2">
      <c r="A11">
        <v>1200</v>
      </c>
      <c r="B11" t="s">
        <v>703</v>
      </c>
      <c r="C11" s="179">
        <f>ROUND('DOE25'!L199+'DOE25'!L217+'DOE25'!L235+'DOE25'!L278+'DOE25'!L297+'DOE25'!L316,0)</f>
        <v>838633</v>
      </c>
      <c r="D11" s="182">
        <f>ROUND((C11/$C$28)*100,1)</f>
        <v>8.1999999999999993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76703</v>
      </c>
      <c r="D13" s="182">
        <f>ROUND((C13/$C$28)*100,1)</f>
        <v>0.8</v>
      </c>
    </row>
    <row r="14" spans="1:4" x14ac:dyDescent="0.2">
      <c r="D14" s="182"/>
    </row>
    <row r="15" spans="1:4" x14ac:dyDescent="0.2">
      <c r="A15">
        <v>2100</v>
      </c>
      <c r="B15" t="s">
        <v>706</v>
      </c>
      <c r="C15" s="179">
        <f>ROUND('DOE25'!L203+'DOE25'!L221+'DOE25'!L239+'DOE25'!L282+'DOE25'!L301+'DOE25'!L320,0)</f>
        <v>561429</v>
      </c>
      <c r="D15" s="182">
        <f t="shared" ref="D15:D27" si="0">ROUND((C15/$C$28)*100,1)</f>
        <v>5.5</v>
      </c>
    </row>
    <row r="16" spans="1:4" x14ac:dyDescent="0.2">
      <c r="A16">
        <v>2200</v>
      </c>
      <c r="B16" t="s">
        <v>707</v>
      </c>
      <c r="C16" s="179">
        <f>ROUND('DOE25'!L204+'DOE25'!L222+'DOE25'!L240+'DOE25'!L283+'DOE25'!L302+'DOE25'!L321,0)</f>
        <v>334863</v>
      </c>
      <c r="D16" s="182">
        <f t="shared" si="0"/>
        <v>3.3</v>
      </c>
    </row>
    <row r="17" spans="1:4" x14ac:dyDescent="0.2">
      <c r="A17" s="183" t="s">
        <v>723</v>
      </c>
      <c r="B17" t="s">
        <v>738</v>
      </c>
      <c r="C17" s="179">
        <f>ROUND('DOE25'!L205+'DOE25'!L210+'DOE25'!L223+'DOE25'!L228+'DOE25'!L241+'DOE25'!L246+'DOE25'!L284+'DOE25'!L289+'DOE25'!L303+'DOE25'!L308+'DOE25'!L322+'DOE25'!L327,0)</f>
        <v>469098</v>
      </c>
      <c r="D17" s="182">
        <f t="shared" si="0"/>
        <v>4.5999999999999996</v>
      </c>
    </row>
    <row r="18" spans="1:4" x14ac:dyDescent="0.2">
      <c r="A18">
        <v>2400</v>
      </c>
      <c r="B18" t="s">
        <v>711</v>
      </c>
      <c r="C18" s="179">
        <f>ROUND('DOE25'!L206+'DOE25'!L224+'DOE25'!L242+'DOE25'!L285+'DOE25'!L304+'DOE25'!L323,0)</f>
        <v>407403</v>
      </c>
      <c r="D18" s="182">
        <f t="shared" si="0"/>
        <v>4</v>
      </c>
    </row>
    <row r="19" spans="1:4" x14ac:dyDescent="0.2">
      <c r="A19">
        <v>2500</v>
      </c>
      <c r="B19" t="s">
        <v>708</v>
      </c>
      <c r="C19" s="179">
        <f>ROUND('DOE25'!L207+'DOE25'!L225+'DOE25'!L243+'DOE25'!L286+'DOE25'!L305+'DOE25'!L324,0)</f>
        <v>148160</v>
      </c>
      <c r="D19" s="182">
        <f t="shared" si="0"/>
        <v>1.5</v>
      </c>
    </row>
    <row r="20" spans="1:4" x14ac:dyDescent="0.2">
      <c r="A20">
        <v>2600</v>
      </c>
      <c r="B20" t="s">
        <v>709</v>
      </c>
      <c r="C20" s="179">
        <f>ROUND('DOE25'!L208+'DOE25'!L226+'DOE25'!L244+'DOE25'!L287+'DOE25'!L306+'DOE25'!L325,0)</f>
        <v>537669</v>
      </c>
      <c r="D20" s="182">
        <f t="shared" si="0"/>
        <v>5.3</v>
      </c>
    </row>
    <row r="21" spans="1:4" x14ac:dyDescent="0.2">
      <c r="A21">
        <v>2700</v>
      </c>
      <c r="B21" t="s">
        <v>710</v>
      </c>
      <c r="C21" s="179">
        <f>ROUND('DOE25'!L209+'DOE25'!L227+'DOE25'!L245+'DOE25'!L288+'DOE25'!L307+'DOE25'!L326,0)</f>
        <v>344796</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31569</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101877.82999999999</v>
      </c>
      <c r="D27" s="182">
        <f t="shared" si="0"/>
        <v>1</v>
      </c>
    </row>
    <row r="28" spans="1:4" x14ac:dyDescent="0.2">
      <c r="B28" s="187" t="s">
        <v>719</v>
      </c>
      <c r="C28" s="180">
        <f>SUM(C10:C27)</f>
        <v>10183794.83</v>
      </c>
      <c r="D28" s="184">
        <f>ROUND(SUM(D10:D27),0)</f>
        <v>100</v>
      </c>
    </row>
    <row r="29" spans="1:4" x14ac:dyDescent="0.2">
      <c r="A29">
        <v>4000</v>
      </c>
      <c r="B29" t="s">
        <v>724</v>
      </c>
      <c r="C29" s="179">
        <f>ROUND('DOE25'!L256+'DOE25'!L337+'DOE25'!L375+'DOE25'!L376+'DOE25'!L377+'DOE25'!L378+'DOE25'!L379+'DOE25'!L380+'DOE25'!L381,0)</f>
        <v>1351671</v>
      </c>
    </row>
    <row r="30" spans="1:4" x14ac:dyDescent="0.2">
      <c r="B30" s="187" t="s">
        <v>725</v>
      </c>
      <c r="C30" s="180">
        <f>SUM(C28:C29)</f>
        <v>11535465.83</v>
      </c>
    </row>
    <row r="31" spans="1:4" x14ac:dyDescent="0.2">
      <c r="B31" s="33"/>
      <c r="C31" s="180"/>
    </row>
    <row r="32" spans="1:4" x14ac:dyDescent="0.2">
      <c r="A32">
        <v>5100</v>
      </c>
      <c r="B32" s="33" t="s">
        <v>726</v>
      </c>
      <c r="C32" s="180">
        <f>ROUND('DOE25'!L261+'DOE25'!L342,0)</f>
        <v>36400</v>
      </c>
    </row>
    <row r="34" spans="1:4" x14ac:dyDescent="0.2">
      <c r="A34" s="187" t="s">
        <v>94</v>
      </c>
      <c r="B34" s="188" t="s">
        <v>1589</v>
      </c>
      <c r="C34" s="181" t="s">
        <v>720</v>
      </c>
      <c r="D34" s="181" t="s">
        <v>721</v>
      </c>
    </row>
    <row r="35" spans="1:4" x14ac:dyDescent="0.2">
      <c r="A35">
        <v>1100</v>
      </c>
      <c r="B35" s="185" t="s">
        <v>727</v>
      </c>
      <c r="C35" s="179">
        <f>ROUND('DOE25'!F60+'DOE25'!G60+'DOE25'!H60+'DOE25'!I60+'DOE25'!J60,0)</f>
        <v>7659365</v>
      </c>
      <c r="D35" s="182">
        <f t="shared" ref="D35:D40" si="1">ROUND((C35/$C$41)*100,1)</f>
        <v>73.7</v>
      </c>
    </row>
    <row r="36" spans="1:4" x14ac:dyDescent="0.2">
      <c r="B36" s="185" t="s">
        <v>739</v>
      </c>
      <c r="C36" s="179">
        <f>SUM('DOE25'!F112:J112)-SUM('DOE25'!G97:G110)+('DOE25'!F175+'DOE25'!F176+'DOE25'!I175+'DOE25'!I176)-C35</f>
        <v>61316.769999999553</v>
      </c>
      <c r="D36" s="182">
        <f t="shared" si="1"/>
        <v>0.6</v>
      </c>
    </row>
    <row r="37" spans="1:4" x14ac:dyDescent="0.2">
      <c r="A37" s="183" t="s">
        <v>835</v>
      </c>
      <c r="B37" s="185" t="s">
        <v>728</v>
      </c>
      <c r="C37" s="179">
        <f>ROUND('DOE25'!F117+'DOE25'!F118,0)</f>
        <v>2344421</v>
      </c>
      <c r="D37" s="182">
        <f t="shared" si="1"/>
        <v>22.6</v>
      </c>
    </row>
    <row r="38" spans="1:4" x14ac:dyDescent="0.2">
      <c r="A38" s="183" t="s">
        <v>734</v>
      </c>
      <c r="B38" s="185" t="s">
        <v>729</v>
      </c>
      <c r="C38" s="179">
        <f>ROUND(SUM('DOE25'!F140:J140)-SUM('DOE25'!F117:F119),0)</f>
        <v>23393</v>
      </c>
      <c r="D38" s="182">
        <f t="shared" si="1"/>
        <v>0.2</v>
      </c>
    </row>
    <row r="39" spans="1:4" x14ac:dyDescent="0.2">
      <c r="A39">
        <v>4000</v>
      </c>
      <c r="B39" s="185" t="s">
        <v>730</v>
      </c>
      <c r="C39" s="179">
        <f>ROUND('DOE25'!F170+'DOE25'!G170+'DOE25'!H170+'DOE25'!I170,0)</f>
        <v>298293</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10386788.77</v>
      </c>
      <c r="D41" s="184">
        <f>SUM(D35:D40)</f>
        <v>100.00000000000001</v>
      </c>
    </row>
    <row r="42" spans="1:4" x14ac:dyDescent="0.2">
      <c r="A42" s="183" t="s">
        <v>737</v>
      </c>
      <c r="B42" s="185" t="s">
        <v>733</v>
      </c>
      <c r="C42" s="179">
        <f>ROUND('DOE25'!F174+'DOE25'!I174+'DOE25'!F177+'DOE25'!I177,0)</f>
        <v>1330000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Gilmanton</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2020-12-01T16:07:44Z</cp:lastPrinted>
  <dcterms:created xsi:type="dcterms:W3CDTF">1997-12-04T19:04:30Z</dcterms:created>
  <dcterms:modified xsi:type="dcterms:W3CDTF">2020-12-09T18:32:04Z</dcterms:modified>
</cp:coreProperties>
</file>