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29" i="1" l="1"/>
  <c r="H527" i="1"/>
  <c r="J469" i="1"/>
  <c r="J466" i="1"/>
  <c r="H156" i="1"/>
  <c r="I277" i="1"/>
  <c r="H154" i="1"/>
  <c r="H203"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40" i="1" s="1"/>
  <c r="J136" i="1"/>
  <c r="F147" i="1"/>
  <c r="F170" i="1" s="1"/>
  <c r="G147" i="1"/>
  <c r="H147" i="1"/>
  <c r="H170" i="1" s="1"/>
  <c r="I147" i="1"/>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1" i="2"/>
  <c r="E123"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G471" i="1"/>
  <c r="I471" i="1"/>
  <c r="G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9" i="1"/>
  <c r="H631" i="1"/>
  <c r="G635" i="1"/>
  <c r="H636" i="1"/>
  <c r="H637" i="1"/>
  <c r="H639" i="1"/>
  <c r="G641" i="1"/>
  <c r="G644" i="1"/>
  <c r="G645" i="1"/>
  <c r="G651" i="1"/>
  <c r="G652" i="1"/>
  <c r="G653" i="1"/>
  <c r="H653" i="1"/>
  <c r="G654" i="1"/>
  <c r="H654" i="1"/>
  <c r="G655" i="1"/>
  <c r="H655" i="1"/>
  <c r="H656" i="1"/>
  <c r="J656" i="1" s="1"/>
  <c r="A40" i="12"/>
  <c r="G62" i="2"/>
  <c r="J258" i="1"/>
  <c r="I170" i="1"/>
  <c r="G477" i="1"/>
  <c r="G339" i="1"/>
  <c r="G353" i="1" s="1"/>
  <c r="H140" i="1"/>
  <c r="J652" i="1" l="1"/>
  <c r="G646" i="1"/>
  <c r="J646" i="1" s="1"/>
  <c r="C11" i="10"/>
  <c r="C120" i="2"/>
  <c r="F258" i="1"/>
  <c r="F272" i="1" s="1"/>
  <c r="C12" i="10"/>
  <c r="C91" i="2"/>
  <c r="H193" i="1"/>
  <c r="C20" i="10"/>
  <c r="D6" i="13"/>
  <c r="C6" i="13" s="1"/>
  <c r="E13" i="13"/>
  <c r="C13" i="13" s="1"/>
  <c r="H112" i="1"/>
  <c r="L402" i="1"/>
  <c r="C139" i="2" s="1"/>
  <c r="H462" i="1"/>
  <c r="H642" i="1" s="1"/>
  <c r="G553" i="1"/>
  <c r="F339" i="1"/>
  <c r="F353" i="1" s="1"/>
  <c r="J642" i="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G36" i="14" s="1"/>
  <c r="H36" i="14" s="1"/>
  <c r="I36" i="14" s="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H194" i="1"/>
  <c r="G140" i="1"/>
  <c r="B11" i="16" s="1"/>
  <c r="F140" i="1"/>
  <c r="G63" i="2"/>
  <c r="J619" i="1"/>
  <c r="G42" i="2"/>
  <c r="J51" i="1"/>
  <c r="G16" i="2"/>
  <c r="G18" i="2" s="1"/>
  <c r="J19" i="1"/>
  <c r="G622" i="1" s="1"/>
  <c r="F546" i="1"/>
  <c r="H435" i="1"/>
  <c r="J621" i="1"/>
  <c r="J620" i="1"/>
  <c r="D103" i="2"/>
  <c r="I140" i="1"/>
  <c r="A22" i="12"/>
  <c r="G50" i="2"/>
  <c r="H649" i="1"/>
  <c r="J653" i="1"/>
  <c r="G572" i="1"/>
  <c r="I435" i="1"/>
  <c r="G435" i="1"/>
  <c r="I664" i="1"/>
  <c r="G647" i="1" l="1"/>
  <c r="G630" i="1"/>
  <c r="H469" i="1"/>
  <c r="F661" i="1"/>
  <c r="F665" i="1" s="1"/>
  <c r="F668" i="1" s="1"/>
  <c r="H661" i="1"/>
  <c r="H665" i="1" s="1"/>
  <c r="H668" i="1" s="1"/>
  <c r="F194" i="1"/>
  <c r="C81" i="2"/>
  <c r="E145" i="2"/>
  <c r="E104" i="2"/>
  <c r="C36" i="10"/>
  <c r="L435" i="1"/>
  <c r="G639" i="1" s="1"/>
  <c r="J639" i="1" s="1"/>
  <c r="I662" i="1"/>
  <c r="G104" i="2"/>
  <c r="L339" i="1"/>
  <c r="J649" i="1"/>
  <c r="I194" i="1"/>
  <c r="G631" i="1" s="1"/>
  <c r="J631" i="1" s="1"/>
  <c r="G636" i="1"/>
  <c r="J636" i="1" s="1"/>
  <c r="G51" i="2"/>
  <c r="D104" i="2"/>
  <c r="L409" i="1"/>
  <c r="C27" i="10"/>
  <c r="G4" i="14"/>
  <c r="H4" i="14" s="1"/>
  <c r="I4" i="14" s="1"/>
  <c r="L546" i="1"/>
  <c r="J626" i="1"/>
  <c r="F104" i="2"/>
  <c r="B14" i="16"/>
  <c r="B22" i="16" s="1"/>
  <c r="E33" i="13"/>
  <c r="D35" i="13" s="1"/>
  <c r="J648" i="1"/>
  <c r="L258" i="1"/>
  <c r="L272" i="1" s="1"/>
  <c r="C115" i="2"/>
  <c r="C63" i="2"/>
  <c r="C39" i="10"/>
  <c r="G33" i="13"/>
  <c r="C144" i="2"/>
  <c r="C128" i="2"/>
  <c r="D31" i="13"/>
  <c r="C31" i="13" s="1"/>
  <c r="I462" i="1"/>
  <c r="H643" i="1" s="1"/>
  <c r="J643" i="1" s="1"/>
  <c r="G661" i="1"/>
  <c r="G665" i="1" s="1"/>
  <c r="G673" i="1" s="1"/>
  <c r="C5" i="10" s="1"/>
  <c r="C25" i="13"/>
  <c r="I33" i="13"/>
  <c r="K553" i="1"/>
  <c r="C28" i="10"/>
  <c r="D23" i="10" s="1"/>
  <c r="H24" i="14"/>
  <c r="I24" i="14" s="1"/>
  <c r="C51" i="2"/>
  <c r="G632" i="1"/>
  <c r="G194" i="1"/>
  <c r="G629" i="1" s="1"/>
  <c r="J629" i="1" s="1"/>
  <c r="G627" i="1"/>
  <c r="J52" i="1"/>
  <c r="H622" i="1" s="1"/>
  <c r="J622" i="1" s="1"/>
  <c r="C38" i="10"/>
  <c r="G628" i="1" l="1"/>
  <c r="F469" i="1"/>
  <c r="G633" i="1"/>
  <c r="F473" i="1"/>
  <c r="J471" i="1"/>
  <c r="J477" i="1" s="1"/>
  <c r="H627" i="1" s="1"/>
  <c r="J627" i="1" s="1"/>
  <c r="H638" i="1"/>
  <c r="H632" i="1"/>
  <c r="J632" i="1" s="1"/>
  <c r="L353" i="1"/>
  <c r="G634" i="1" s="1"/>
  <c r="H473" i="1"/>
  <c r="H471" i="1"/>
  <c r="H630" i="1"/>
  <c r="J630" i="1" s="1"/>
  <c r="H673" i="1"/>
  <c r="C6" i="10" s="1"/>
  <c r="F673" i="1"/>
  <c r="C4" i="10" s="1"/>
  <c r="C104" i="2"/>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F471" i="1" l="1"/>
  <c r="H628" i="1"/>
  <c r="J628" i="1"/>
  <c r="F475" i="1"/>
  <c r="F477" i="1" s="1"/>
  <c r="H623" i="1" s="1"/>
  <c r="J623" i="1" s="1"/>
  <c r="H633" i="1"/>
  <c r="J633" i="1" s="1"/>
  <c r="J638" i="1"/>
  <c r="H475" i="1"/>
  <c r="H477" i="1" s="1"/>
  <c r="H625" i="1" s="1"/>
  <c r="J625" i="1" s="1"/>
  <c r="H634" i="1"/>
  <c r="J634" i="1" s="1"/>
  <c r="I668" i="1"/>
  <c r="D28" i="10"/>
  <c r="D37" i="10"/>
  <c r="D36" i="10"/>
  <c r="D35" i="10"/>
  <c r="D40" i="10"/>
  <c r="D39" i="10"/>
  <c r="H657" i="1" l="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<sst xmlns="http://schemas.openxmlformats.org/spreadsheetml/2006/main" count="5544" uniqueCount="1643">
  <si>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</si>
  <si>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</si>
  <si>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</si>
  <si>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</si>
  <si>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</si>
  <si>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</si>
  <si>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</si>
  <si>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</si>
  <si>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</si>
  <si>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</si>
  <si>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</si>
  <si>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</si>
  <si>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</si>
  <si>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</si>
  <si>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</si>
  <si>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</si>
  <si>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</si>
  <si>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</si>
  <si>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</si>
  <si>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</si>
  <si>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</si>
  <si>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</si>
  <si>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</si>
  <si>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</si>
  <si>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</si>
  <si>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</si>
  <si>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</si>
  <si>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</si>
  <si>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</si>
  <si>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</si>
  <si>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</si>
  <si>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</si>
  <si>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</si>
  <si>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</si>
  <si>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</si>
  <si>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</si>
  <si>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</si>
  <si>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</si>
  <si>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</si>
  <si>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</si>
  <si>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</si>
  <si>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</si>
  <si>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</si>
  <si>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</si>
  <si>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</si>
  <si>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</si>
  <si>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</si>
  <si>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</si>
  <si>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</si>
  <si>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</si>
  <si>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</si>
  <si>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</si>
  <si>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</si>
  <si>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</si>
  <si>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</si>
  <si>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</si>
  <si>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</si>
  <si>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</si>
  <si>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</si>
  <si>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</si>
  <si>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</si>
  <si>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</si>
  <si>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</si>
  <si>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</si>
  <si>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</si>
  <si>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</si>
  <si>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</si>
  <si>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</si>
  <si>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</si>
  <si>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</si>
  <si>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</si>
  <si>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</si>
  <si>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</si>
  <si>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</si>
  <si>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</si>
  <si>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</si>
  <si>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</si>
  <si>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</si>
  <si>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</si>
  <si>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</si>
  <si>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</si>
  <si>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</si>
  <si>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</si>
  <si>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</si>
  <si>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</si>
  <si>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</si>
  <si>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</si>
  <si>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</si>
  <si>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</si>
  <si>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</si>
  <si>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</si>
  <si>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</si>
  <si>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</si>
  <si>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</si>
  <si>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</si>
  <si>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</si>
  <si>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</si>
  <si>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</si>
  <si>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</si>
  <si>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</si>
  <si>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</si>
  <si>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</si>
  <si>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</si>
  <si>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</si>
  <si>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</si>
  <si>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</si>
  <si>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</si>
  <si>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</si>
  <si>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</si>
  <si>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</si>
  <si>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</si>
  <si>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</si>
  <si>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</si>
  <si>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</si>
  <si>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</si>
  <si>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</si>
  <si>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</si>
  <si>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</si>
  <si>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</si>
  <si>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</si>
  <si>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</si>
  <si>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</si>
  <si>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</si>
  <si>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</si>
  <si>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</si>
  <si>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</si>
  <si>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</si>
  <si>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</si>
  <si>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</si>
  <si>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</si>
  <si>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</si>
  <si>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</si>
  <si>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</si>
  <si>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</si>
  <si>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</si>
  <si>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</si>
  <si>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</si>
  <si>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</si>
  <si>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</si>
  <si>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</si>
  <si>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</si>
  <si>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</si>
  <si>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</si>
  <si>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</si>
  <si>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</si>
  <si>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</si>
  <si>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</si>
  <si>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</si>
  <si>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</si>
  <si>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</si>
  <si>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</si>
  <si>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</si>
  <si>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</si>
  <si>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</si>
  <si>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</si>
  <si>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</si>
  <si>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</si>
  <si>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</si>
  <si>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</si>
  <si>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</si>
  <si>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</si>
  <si>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</si>
  <si>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</si>
  <si>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</si>
  <si>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</si>
  <si>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</si>
  <si>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</si>
  <si>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</si>
  <si>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</si>
  <si>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</si>
  <si>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</si>
  <si>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</si>
  <si>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</si>
  <si>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</si>
  <si>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</si>
  <si>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</si>
  <si>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</si>
  <si>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</si>
  <si>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</si>
  <si>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</si>
  <si>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</si>
  <si>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</si>
  <si>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</si>
  <si>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</si>
  <si>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</si>
  <si>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</si>
  <si>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</si>
  <si>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</si>
  <si>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</si>
  <si>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</si>
  <si>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</si>
  <si>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</si>
  <si>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</si>
  <si>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</si>
  <si>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</si>
  <si>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</si>
  <si>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</si>
  <si>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</si>
  <si>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</si>
  <si>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</si>
  <si>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</si>
  <si>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</si>
  <si>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</si>
  <si>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</si>
  <si>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</si>
  <si>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</si>
  <si>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</si>
  <si>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</si>
  <si>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</si>
  <si>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</si>
  <si>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</si>
  <si>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</si>
  <si>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</si>
  <si>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</si>
  <si>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</si>
  <si>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</si>
  <si>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</si>
  <si>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</si>
  <si>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</si>
  <si>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</si>
  <si>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</si>
  <si>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</si>
  <si>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</si>
  <si>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</si>
  <si>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</si>
  <si>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</si>
  <si>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</si>
  <si>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</si>
  <si>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</si>
  <si>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</si>
  <si>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</si>
  <si>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</si>
  <si>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</si>
  <si>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</si>
  <si>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</si>
  <si>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</si>
  <si>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</si>
  <si>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</si>
  <si>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</si>
  <si>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</si>
  <si>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</si>
  <si>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</si>
  <si>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</si>
  <si>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</si>
  <si>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</si>
  <si>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</si>
  <si>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</si>
  <si>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</si>
  <si>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</si>
  <si>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</si>
  <si>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</si>
  <si>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</si>
  <si>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</si>
  <si>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</si>
  <si>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</si>
  <si>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</si>
  <si>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</si>
  <si>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</si>
  <si>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</si>
  <si>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</si>
  <si>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</si>
  <si>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</si>
  <si>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</si>
  <si>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</si>
  <si>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</si>
  <si>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</si>
  <si>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</si>
  <si>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</si>
  <si>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</si>
  <si>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</si>
  <si>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</si>
  <si>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</si>
  <si>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</si>
  <si>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</si>
  <si>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</si>
  <si>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</si>
  <si>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</si>
  <si>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</si>
  <si>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</si>
  <si>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</si>
  <si>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</si>
  <si>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</si>
  <si>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</si>
  <si>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</si>
  <si>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</si>
  <si>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</si>
  <si>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</si>
  <si>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</si>
  <si>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</si>
  <si>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</si>
  <si>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</si>
  <si>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</si>
  <si>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</si>
  <si>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</si>
  <si>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</si>
  <si>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</si>
  <si>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</si>
  <si>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</si>
  <si>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</si>
  <si>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</si>
  <si>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</si>
  <si>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</si>
  <si>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</si>
  <si>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</si>
  <si>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</si>
  <si>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</si>
  <si>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</si>
  <si>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</si>
  <si>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</si>
  <si>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</si>
  <si>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</si>
  <si>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</si>
  <si>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</si>
  <si>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</si>
  <si>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</si>
  <si>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</si>
  <si>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</si>
  <si>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</si>
  <si>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</si>
  <si>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</si>
  <si>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</si>
  <si>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</si>
  <si>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</si>
  <si>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</si>
  <si>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</si>
  <si>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</si>
  <si>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</si>
  <si>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</si>
  <si>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</si>
  <si>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</si>
  <si>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</si>
  <si>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</si>
  <si>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</si>
  <si>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</si>
  <si>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</si>
  <si>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</si>
  <si>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</si>
  <si>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</si>
  <si>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</si>
  <si>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</si>
  <si>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</si>
  <si>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</si>
  <si>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</si>
  <si>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</si>
  <si>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</si>
  <si>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</si>
  <si>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</si>
  <si>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</si>
  <si>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</si>
  <si>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</si>
  <si>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</si>
  <si>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</si>
  <si>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</si>
  <si>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</si>
  <si>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</si>
  <si>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</si>
  <si>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</si>
  <si>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</si>
  <si>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</si>
  <si>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</si>
  <si>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</si>
  <si>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</si>
  <si>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</si>
  <si>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</si>
  <si>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</si>
  <si>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</si>
  <si>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</si>
  <si>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</si>
  <si>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</si>
  <si>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</si>
  <si>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</si>
  <si>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</si>
  <si>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</si>
  <si>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</si>
  <si>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</si>
  <si>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</si>
  <si>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</si>
  <si>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</si>
  <si>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</si>
  <si>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</si>
  <si>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</si>
  <si>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</si>
  <si>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</si>
  <si>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</si>
  <si>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</si>
  <si>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</si>
  <si>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</si>
  <si>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</si>
  <si>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</si>
  <si>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</si>
  <si>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</si>
  <si>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</si>
  <si>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</si>
  <si>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</si>
  <si>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</si>
  <si>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</si>
  <si>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</si>
  <si>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</si>
  <si>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</si>
  <si>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</si>
  <si>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</si>
  <si>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</si>
  <si>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</si>
  <si>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</si>
  <si>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</si>
  <si>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</si>
  <si>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</si>
  <si>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</si>
  <si>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</si>
  <si>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</si>
  <si>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</si>
  <si>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</si>
  <si>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</si>
  <si>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</si>
  <si>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</si>
  <si>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</si>
  <si>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</si>
  <si>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</si>
  <si>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</si>
  <si>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</si>
  <si>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</si>
  <si>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</si>
  <si>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</si>
  <si>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</si>
  <si>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</si>
  <si>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</si>
  <si>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</si>
  <si>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</si>
  <si>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</si>
  <si>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</si>
  <si>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</si>
  <si>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</si>
  <si>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</si>
  <si>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</si>
  <si>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</si>
  <si>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</si>
  <si>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</si>
  <si>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</si>
  <si>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</si>
  <si>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</si>
  <si>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</si>
  <si>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</si>
  <si>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</si>
  <si>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</si>
  <si>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</si>
  <si>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</si>
  <si>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</si>
  <si>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</si>
  <si>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</si>
  <si>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</si>
  <si>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</si>
  <si>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</si>
  <si>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</si>
  <si>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</si>
  <si>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</si>
  <si>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</si>
  <si>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</si>
  <si>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</si>
  <si>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</si>
  <si>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</si>
  <si>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</si>
  <si>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</si>
  <si>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</si>
  <si>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</si>
  <si>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</si>
  <si>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</si>
  <si>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</si>
  <si>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</si>
  <si>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</si>
  <si>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</si>
  <si>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</si>
  <si>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</si>
  <si>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</si>
  <si>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</si>
  <si>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</si>
  <si>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</si>
  <si>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</si>
  <si>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</si>
  <si>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</si>
  <si>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</si>
  <si>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</si>
  <si>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</si>
  <si>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</si>
  <si>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</si>
  <si>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</si>
  <si>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</si>
  <si>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</si>
  <si>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</si>
  <si>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</si>
  <si>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</si>
  <si>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</si>
  <si>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</si>
  <si>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</si>
  <si>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</si>
  <si>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</si>
  <si>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</si>
  <si>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</si>
  <si>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</si>
  <si>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</si>
  <si>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</si>
  <si>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</si>
  <si>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</si>
  <si>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</si>
  <si>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</si>
  <si>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</si>
  <si>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</si>
  <si>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</si>
  <si>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</si>
  <si>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</si>
  <si>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</si>
  <si>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</si>
  <si>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</si>
  <si>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</si>
  <si>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</si>
  <si>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</si>
  <si>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</si>
  <si>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</si>
  <si>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</si>
  <si>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</si>
  <si>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</si>
  <si>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</si>
  <si>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</si>
  <si>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</si>
  <si>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</si>
  <si>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</si>
  <si>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</si>
  <si>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</si>
  <si>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</si>
  <si>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</si>
  <si>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</si>
  <si>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</si>
  <si>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</si>
  <si>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</si>
  <si>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</si>
  <si>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</si>
  <si>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</si>
  <si>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</si>
  <si>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</si>
  <si>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</si>
  <si>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</si>
  <si>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</si>
  <si>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</si>
  <si>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</si>
  <si>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</si>
  <si>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</si>
  <si>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</si>
  <si>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</si>
  <si>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</si>
  <si>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</si>
  <si>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</si>
  <si>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</si>
  <si>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</si>
  <si>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</si>
  <si>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</si>
  <si>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</si>
  <si>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</si>
  <si>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</si>
  <si>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</si>
  <si>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</si>
  <si>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</si>
  <si>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</si>
  <si>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</si>
  <si>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</si>
  <si>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</si>
  <si>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</si>
  <si>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</si>
  <si>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</si>
  <si>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</si>
  <si>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</si>
  <si>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</si>
  <si>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</si>
  <si>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</si>
  <si>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</si>
  <si>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</si>
  <si>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</si>
  <si>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</si>
  <si>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</si>
  <si>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</si>
  <si>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</si>
  <si>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</si>
  <si>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</si>
  <si>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</si>
  <si>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</si>
  <si>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</si>
  <si>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</si>
  <si>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</si>
  <si>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</si>
  <si>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</si>
  <si>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</si>
  <si>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</si>
  <si>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</si>
  <si>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</si>
  <si>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</si>
  <si>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</si>
  <si>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</si>
  <si>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</si>
  <si>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</si>
  <si>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</si>
  <si>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</si>
  <si>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</si>
  <si>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</si>
  <si>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</si>
  <si>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</si>
  <si>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</si>
  <si>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</si>
  <si>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</si>
  <si>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</si>
  <si>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</si>
  <si>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</si>
  <si>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</si>
  <si>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</si>
  <si>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</si>
  <si>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</si>
  <si>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</si>
  <si>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</si>
  <si>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</si>
  <si>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</si>
  <si>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</si>
  <si>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</si>
  <si>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</si>
  <si>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</si>
  <si>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</si>
  <si>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</si>
  <si>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</si>
  <si>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</si>
  <si>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</si>
  <si>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</si>
  <si>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</si>
  <si>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</si>
  <si>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</si>
  <si>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</si>
  <si>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</si>
  <si>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</si>
  <si>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</si>
  <si>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</si>
  <si>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</si>
  <si>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</si>
  <si>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</si>
  <si>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</si>
  <si>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</si>
  <si>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</si>
  <si>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</si>
  <si>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</si>
  <si>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</si>
  <si>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</si>
  <si>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</si>
  <si>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</si>
  <si>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</si>
  <si>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</si>
  <si>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</si>
  <si>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</si>
  <si>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</si>
  <si>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</si>
  <si>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</si>
  <si>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</si>
  <si>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</si>
  <si>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</si>
  <si>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</si>
  <si>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</si>
  <si>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</si>
  <si>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</si>
  <si>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</si>
  <si>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</si>
  <si>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</si>
  <si>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</si>
  <si>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</si>
  <si>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</si>
  <si>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</si>
  <si>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</si>
  <si>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</si>
  <si>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</si>
  <si>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</si>
  <si>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</si>
  <si>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</si>
  <si>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</si>
  <si>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</si>
  <si>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</si>
  <si>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</si>
  <si>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</si>
  <si>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</si>
  <si>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</si>
  <si>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</si>
  <si>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</si>
  <si>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</si>
  <si>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</si>
  <si>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</si>
  <si>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</si>
  <si>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</si>
  <si>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</si>
  <si>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</si>
  <si>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</si>
  <si>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</si>
  <si>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</si>
  <si>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</si>
  <si>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</si>
  <si>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</si>
  <si>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</si>
  <si>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</si>
  <si>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</si>
  <si>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</si>
  <si>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</si>
  <si>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</si>
  <si>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</si>
  <si>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</si>
  <si>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</si>
  <si>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</si>
  <si>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</si>
  <si>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</si>
  <si>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</si>
  <si>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</si>
  <si>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</si>
  <si>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</si>
  <si>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</si>
  <si>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</si>
  <si>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</si>
  <si>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</si>
  <si>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</si>
  <si>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</si>
  <si>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</si>
  <si>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</si>
  <si>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</si>
  <si>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</si>
  <si>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</si>
  <si>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</si>
  <si>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</si>
  <si>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</si>
  <si>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</si>
  <si>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</si>
  <si>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</si>
  <si>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</si>
  <si>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</si>
  <si>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</si>
  <si>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</si>
  <si>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</si>
  <si>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</si>
  <si>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</si>
  <si>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</si>
  <si>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</si>
  <si>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</si>
  <si>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</si>
  <si>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</si>
  <si>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</si>
  <si>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</si>
  <si>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</si>
  <si>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</si>
  <si>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</si>
  <si>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</si>
  <si>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</si>
  <si>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</si>
  <si>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</si>
  <si>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</si>
  <si>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</si>
  <si>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</si>
  <si>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</si>
  <si>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</si>
  <si>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</si>
  <si>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</si>
  <si>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</si>
  <si>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</si>
  <si>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</si>
  <si>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</si>
  <si>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</si>
  <si>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</si>
  <si>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</si>
  <si>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</si>
  <si>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</si>
  <si>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</si>
  <si>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</si>
  <si>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</si>
  <si>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</si>
  <si>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</si>
  <si>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</si>
  <si>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</si>
  <si>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</si>
  <si>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</si>
  <si>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</si>
  <si>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</si>
  <si>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</si>
  <si>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</si>
  <si>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</si>
  <si>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</si>
  <si>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</si>
  <si>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</si>
  <si>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</si>
  <si>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</si>
  <si>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</si>
  <si>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</si>
  <si>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</si>
  <si>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</si>
  <si>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</si>
  <si>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</si>
  <si>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</si>
  <si>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</si>
  <si>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</si>
  <si>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</si>
  <si>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</si>
  <si>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</si>
  <si>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</si>
  <si>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</si>
  <si>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</si>
  <si>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</si>
  <si>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</si>
  <si>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</si>
  <si>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</si>
  <si>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</si>
  <si>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</si>
  <si>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</si>
  <si>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</si>
  <si>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</si>
  <si>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</si>
  <si>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</si>
  <si>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</si>
  <si>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</si>
  <si>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</si>
  <si>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</si>
  <si>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</si>
  <si>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</si>
  <si>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</si>
  <si>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</si>
  <si>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</si>
  <si>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</si>
  <si>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</si>
  <si>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</si>
  <si>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</si>
  <si>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</si>
  <si>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</si>
  <si>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</si>
  <si>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</si>
  <si>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</si>
  <si>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</si>
  <si>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</si>
  <si>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</si>
  <si>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</si>
  <si>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</si>
  <si>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</si>
  <si>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</si>
  <si>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</si>
  <si>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</si>
  <si>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</si>
  <si>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</si>
  <si>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</si>
  <si>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</si>
  <si>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</si>
  <si>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</si>
  <si>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</si>
  <si>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</si>
  <si>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</si>
  <si>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</si>
  <si>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</si>
  <si>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</si>
  <si>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</si>
  <si>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</si>
  <si>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</si>
  <si>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</si>
  <si>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</si>
  <si>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</si>
  <si>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</si>
  <si>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</si>
  <si>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</si>
  <si>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</si>
  <si>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</si>
  <si>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</si>
  <si>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</si>
  <si>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</si>
  <si>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</si>
  <si>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</si>
  <si>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</si>
  <si>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</si>
  <si>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</si>
  <si>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</si>
  <si>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</si>
  <si>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</si>
  <si>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</si>
  <si>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</si>
  <si>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</si>
  <si>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</si>
  <si>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</si>
  <si>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</si>
  <si>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</si>
  <si>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</si>
  <si>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</si>
  <si>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</si>
  <si>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</si>
  <si>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</si>
  <si>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</si>
  <si>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</si>
  <si>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</si>
  <si>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</si>
  <si>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</si>
  <si>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</si>
  <si>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</si>
  <si>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</si>
  <si>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</si>
  <si>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</si>
  <si>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</si>
  <si>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</si>
  <si>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</si>
  <si>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</si>
  <si>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</si>
  <si>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</si>
  <si>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</si>
  <si>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</si>
  <si>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</si>
  <si>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</si>
  <si>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</si>
  <si>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</si>
  <si>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</si>
  <si>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</si>
  <si>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</si>
  <si>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</si>
  <si>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</si>
  <si>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</si>
  <si>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</si>
  <si>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</si>
  <si>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</si>
  <si>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</si>
  <si>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</si>
  <si>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</si>
  <si>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</si>
  <si>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</si>
  <si>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</si>
  <si>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</si>
  <si>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</si>
  <si>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</si>
  <si>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</si>
  <si>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</si>
  <si>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</si>
  <si>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</si>
  <si>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</si>
  <si>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</si>
  <si>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</si>
  <si>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</si>
  <si>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</si>
  <si>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</si>
  <si>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</si>
  <si>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</si>
  <si>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</si>
  <si>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</si>
  <si>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</si>
  <si>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</si>
  <si>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</si>
  <si>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</si>
  <si>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</si>
  <si>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</si>
  <si>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</si>
  <si>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</si>
  <si>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</si>
  <si>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</si>
  <si>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</si>
  <si>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</si>
  <si>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</si>
  <si>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</si>
  <si>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</si>
  <si>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</si>
  <si>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</si>
  <si>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</si>
  <si>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</si>
  <si>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</si>
  <si>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</si>
  <si>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</si>
  <si>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</si>
  <si>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</si>
  <si>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</si>
  <si>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</si>
  <si>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</si>
  <si>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</si>
  <si>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</si>
  <si>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</si>
  <si>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</si>
  <si>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</si>
  <si>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</si>
  <si>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</si>
  <si>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</si>
  <si>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</si>
  <si>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</si>
  <si>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</si>
  <si>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</si>
  <si>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</si>
  <si>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</si>
  <si>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</si>
  <si>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</si>
  <si>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</si>
  <si>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</si>
  <si>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</si>
  <si>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</si>
  <si>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</si>
  <si>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</si>
  <si>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</si>
  <si>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</si>
  <si>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</si>
  <si>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</si>
  <si>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</si>
  <si>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</si>
  <si>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</si>
  <si>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</si>
  <si>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</si>
  <si>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</si>
  <si>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</si>
  <si>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</si>
  <si>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</si>
  <si>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</si>
  <si>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</si>
  <si>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</si>
  <si>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</si>
  <si>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</si>
  <si>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</si>
  <si>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</si>
  <si>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</si>
  <si>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</si>
  <si>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</si>
  <si>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</si>
  <si>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</si>
  <si>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</si>
  <si>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</si>
  <si>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</si>
  <si>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</si>
  <si>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</si>
  <si>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</si>
  <si>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</si>
  <si>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</si>
  <si>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</si>
  <si>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</si>
  <si>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</si>
  <si>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</si>
  <si>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</si>
  <si>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</si>
  <si>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</si>
  <si>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</si>
  <si>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</si>
  <si>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</si>
  <si>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</si>
  <si>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</si>
  <si>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</si>
  <si>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</si>
  <si>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</si>
  <si>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</si>
  <si>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</si>
  <si>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</si>
  <si>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</si>
  <si>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</si>
  <si>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</si>
  <si>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</si>
  <si>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</si>
  <si>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</si>
  <si>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</si>
  <si>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</si>
  <si>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</si>
  <si>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</si>
  <si>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</si>
  <si>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</si>
  <si>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</si>
  <si>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</si>
  <si>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</si>
  <si>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</si>
  <si>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</si>
  <si>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</si>
  <si>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</si>
  <si>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</si>
  <si>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</si>
  <si>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</si>
  <si>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</si>
  <si>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</si>
  <si>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</si>
  <si>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</si>
  <si>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</si>
  <si>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</si>
  <si>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</si>
  <si>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</si>
  <si>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</si>
  <si>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</si>
  <si>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</si>
  <si>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</si>
  <si>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</si>
  <si>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</si>
  <si>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</si>
  <si>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</si>
  <si>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</si>
  <si>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</si>
  <si>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</si>
  <si>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</si>
  <si>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</si>
  <si>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</si>
  <si>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</si>
  <si>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</si>
  <si>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</si>
  <si>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</si>
  <si>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</si>
  <si>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</si>
  <si>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</si>
  <si>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</si>
  <si>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</si>
  <si>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</si>
  <si>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</si>
  <si>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</si>
  <si>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</si>
  <si>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</si>
  <si>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</si>
  <si>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</si>
  <si>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</si>
  <si>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</si>
  <si>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</si>
  <si>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</si>
  <si>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</si>
  <si>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</si>
  <si>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</si>
  <si>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</si>
  <si>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</si>
  <si>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</si>
  <si>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</si>
  <si>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</si>
  <si>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</si>
  <si>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</si>
  <si>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</si>
  <si>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</si>
  <si>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</si>
  <si>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</si>
  <si>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</si>
  <si>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</si>
  <si>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</si>
  <si>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</si>
  <si>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</si>
  <si>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</si>
  <si>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</si>
  <si>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</si>
  <si>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</si>
  <si>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</si>
  <si>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</si>
  <si>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</si>
  <si>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</si>
  <si>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</si>
  <si>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</si>
  <si>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</si>
  <si>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</si>
  <si>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</si>
  <si>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</si>
  <si>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</si>
  <si>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</si>
  <si>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</si>
  <si>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</si>
  <si>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</si>
  <si>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</si>
  <si>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</si>
  <si>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</si>
  <si>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</si>
  <si>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</si>
  <si>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</si>
  <si>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</si>
  <si>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</si>
  <si>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</si>
  <si>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</si>
  <si>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</si>
  <si>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</si>
  <si>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</si>
  <si>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</si>
  <si>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</si>
  <si>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</si>
  <si>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</si>
  <si>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</si>
  <si>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</si>
  <si>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</si>
  <si>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</si>
  <si>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</si>
  <si>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</si>
  <si>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</si>
  <si>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</si>
  <si>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</si>
  <si>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</si>
  <si>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</si>
  <si>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</si>
  <si>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</si>
  <si>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</si>
  <si>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</si>
  <si>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</si>
  <si>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</si>
  <si>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</si>
  <si>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</si>
  <si>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</si>
  <si>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</si>
  <si>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</si>
  <si>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</si>
  <si>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</si>
  <si>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</si>
  <si>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</si>
  <si>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</si>
  <si>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</si>
  <si>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</si>
  <si>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</si>
  <si>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</si>
  <si>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</si>
  <si>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</si>
  <si>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</si>
  <si>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</si>
  <si>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</si>
  <si>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</si>
  <si>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</si>
  <si>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</si>
  <si>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</si>
  <si>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</si>
  <si>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</si>
  <si>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</si>
  <si>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</si>
  <si>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</si>
  <si>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</si>
  <si>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</si>
  <si>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</si>
  <si>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</si>
  <si>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</si>
  <si>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</si>
  <si>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</si>
  <si>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</si>
  <si>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</si>
  <si>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</si>
  <si>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</si>
  <si>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</si>
  <si>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</si>
  <si>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</si>
  <si>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</si>
  <si>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</si>
  <si>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</si>
  <si>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</si>
  <si>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</si>
  <si>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</si>
  <si>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</si>
  <si>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</si>
  <si>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</si>
  <si>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</si>
  <si>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</si>
  <si>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</si>
  <si>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</si>
  <si>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</si>
  <si>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</si>
  <si>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</si>
  <si>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</si>
  <si>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</si>
  <si>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</si>
  <si>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</si>
  <si>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</si>
  <si>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</si>
  <si>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</si>
  <si>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</si>
  <si>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</si>
  <si>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</si>
  <si>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</si>
  <si>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</si>
  <si>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</si>
  <si>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</si>
  <si>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</si>
  <si>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</si>
  <si>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</si>
  <si>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</si>
  <si>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</si>
  <si>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</si>
  <si>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</si>
  <si>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</si>
  <si>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</si>
  <si>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</si>
  <si>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</si>
  <si>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</si>
  <si>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</si>
  <si>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</si>
  <si>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</si>
  <si>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</si>
  <si>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</si>
  <si>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</si>
  <si>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</si>
  <si>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</si>
  <si>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</si>
  <si>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</si>
  <si>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</si>
  <si>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</si>
  <si>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</si>
  <si>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</si>
  <si>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</si>
  <si>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</si>
  <si>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</si>
  <si>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</si>
  <si>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</si>
  <si>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</si>
  <si>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</si>
  <si>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</si>
  <si>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</si>
  <si>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</si>
  <si>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</si>
  <si>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</si>
  <si>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</si>
  <si>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</si>
  <si>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</si>
  <si>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</si>
  <si>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</si>
  <si>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</si>
  <si>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</si>
  <si>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</si>
  <si>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</si>
  <si>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</si>
  <si>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</si>
  <si>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</si>
  <si>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</si>
  <si>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</si>
  <si>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</si>
  <si>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</si>
  <si>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</si>
  <si>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</si>
  <si>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</si>
  <si>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</si>
  <si>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</si>
  <si>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</si>
  <si>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</si>
  <si>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</si>
  <si>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</si>
  <si>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</si>
  <si>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</si>
  <si>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</si>
  <si>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</si>
  <si>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</si>
  <si>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</si>
  <si>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</si>
  <si>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</si>
  <si>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</si>
  <si>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</si>
  <si>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</si>
  <si>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</si>
  <si>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</si>
  <si>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</si>
  <si>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</si>
  <si>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</si>
  <si>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</si>
  <si>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</si>
  <si>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</si>
  <si>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</si>
  <si>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</si>
  <si>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</si>
  <si>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</si>
  <si>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</si>
  <si>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</si>
  <si>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</si>
  <si>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</si>
  <si>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</si>
  <si>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</si>
  <si>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</si>
  <si>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</si>
  <si>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</si>
  <si>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</si>
  <si>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</si>
  <si>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</si>
  <si>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</si>
  <si>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</si>
  <si>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</si>
  <si>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</si>
  <si>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</si>
  <si>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</si>
  <si>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</si>
  <si>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</si>
  <si>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</si>
  <si>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</si>
  <si>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</si>
  <si>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</si>
  <si>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</si>
  <si>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</si>
  <si>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</si>
  <si>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</si>
  <si>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</si>
  <si>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</si>
  <si>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</si>
  <si>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</si>
  <si>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</si>
  <si>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</si>
  <si>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</si>
  <si>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</si>
  <si>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</si>
  <si>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</si>
  <si>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</si>
  <si>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</si>
  <si>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</si>
  <si>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</si>
  <si>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</si>
  <si>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</si>
  <si>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</si>
  <si>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</si>
  <si>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</si>
  <si>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</si>
  <si>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</si>
  <si>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</si>
  <si>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</si>
  <si>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</si>
  <si>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</si>
  <si>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</si>
  <si>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</si>
  <si>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</si>
  <si>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</si>
  <si>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</si>
  <si>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</si>
  <si>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</si>
  <si>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</si>
  <si>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</si>
  <si>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</si>
  <si>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</si>
  <si>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</si>
  <si>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</si>
  <si>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</si>
  <si>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</si>
  <si>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</si>
  <si>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</si>
  <si>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</si>
  <si>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</si>
  <si>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</si>
  <si>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</si>
  <si>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</si>
  <si>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</si>
  <si>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</si>
  <si>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</si>
  <si>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</si>
  <si>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</si>
  <si>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</si>
  <si>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</si>
  <si>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</si>
  <si>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</si>
  <si>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</si>
  <si>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</si>
  <si>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</si>
  <si>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</si>
  <si>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</si>
  <si>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</si>
  <si>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</si>
  <si>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</si>
  <si>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</si>
  <si>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</si>
  <si>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</si>
  <si>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</si>
  <si>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</si>
  <si>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</si>
  <si>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</si>
  <si>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</si>
  <si>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</si>
  <si>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</si>
  <si>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</si>
  <si>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</si>
  <si>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</si>
  <si>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</si>
  <si>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</si>
  <si>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</si>
  <si>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</si>
  <si>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</si>
  <si>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</si>
  <si>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</si>
  <si>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</si>
  <si>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</si>
  <si>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</si>
  <si>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</si>
  <si>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</si>
  <si>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</si>
  <si>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</si>
  <si>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</si>
  <si>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</si>
  <si>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</si>
  <si>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</si>
  <si>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</si>
  <si>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</si>
  <si>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</si>
  <si>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</si>
  <si>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</si>
  <si>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</si>
  <si>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</si>
  <si>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</si>
  <si>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</si>
  <si>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</si>
  <si>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</si>
  <si>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</si>
  <si>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</si>
  <si>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</si>
  <si>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</si>
  <si>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</si>
  <si>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</si>
  <si>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</si>
  <si>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</si>
  <si>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</si>
  <si>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</si>
  <si>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</si>
  <si>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</si>
  <si>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</si>
  <si>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</si>
  <si>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</si>
  <si>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</si>
  <si>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</si>
  <si>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</si>
  <si>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</si>
  <si>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</si>
  <si>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</si>
  <si>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</si>
  <si>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</si>
  <si>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</si>
  <si>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</si>
  <si>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</si>
  <si>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</si>
  <si>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</si>
  <si>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</si>
  <si>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</si>
  <si>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</si>
  <si>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</si>
  <si>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</si>
  <si>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</si>
  <si>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</si>
  <si>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</si>
  <si>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</si>
  <si>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</si>
  <si>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</si>
  <si>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</si>
  <si>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</si>
  <si>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</si>
  <si>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</si>
  <si>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</si>
  <si>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</si>
  <si>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</si>
  <si>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</si>
  <si>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</si>
  <si>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</si>
  <si>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</si>
  <si>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</si>
  <si>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</si>
  <si>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</si>
  <si>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</si>
  <si>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</si>
  <si>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</si>
  <si>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</si>
  <si>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</si>
  <si>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</si>
  <si>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</si>
  <si>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</si>
  <si>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</si>
  <si>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</si>
  <si>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</si>
  <si>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</si>
  <si>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</si>
  <si>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</si>
  <si>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</si>
  <si>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</si>
  <si>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</si>
  <si>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</si>
  <si>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</si>
  <si>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</si>
  <si>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</si>
  <si>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</si>
  <si>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</si>
  <si>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</si>
  <si>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</si>
  <si>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</si>
  <si>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</si>
  <si>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</si>
  <si>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</si>
  <si>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</si>
  <si>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</si>
  <si>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</si>
  <si>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</si>
  <si>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</si>
  <si>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</si>
  <si>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</si>
  <si>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</si>
  <si>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</si>
  <si>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</si>
  <si>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</si>
  <si>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</si>
  <si>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</si>
  <si>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</si>
  <si>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</si>
  <si>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</si>
  <si>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</si>
  <si>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</si>
  <si>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</si>
  <si>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</si>
  <si>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</si>
  <si>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</si>
  <si>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</si>
  <si>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</si>
  <si>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</si>
  <si>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</si>
  <si>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</si>
  <si>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</si>
  <si>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</si>
  <si>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</si>
  <si>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</si>
  <si>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</si>
  <si>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</si>
  <si>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</si>
  <si>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</si>
  <si>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</si>
  <si>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</si>
  <si>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</si>
  <si>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</si>
  <si>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</si>
  <si>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</si>
  <si>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</si>
  <si>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</si>
  <si>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</si>
  <si>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</si>
  <si>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</si>
  <si>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</si>
  <si>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</si>
  <si>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</si>
  <si>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</si>
  <si>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</si>
  <si>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</si>
  <si>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</si>
  <si>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</si>
  <si>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</si>
  <si>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</si>
  <si>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</si>
  <si>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</si>
  <si>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</si>
  <si>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</si>
  <si>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</si>
  <si>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</si>
  <si>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</si>
  <si>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</si>
  <si>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</si>
  <si>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</si>
  <si>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</si>
  <si>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</si>
  <si>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</si>
  <si>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</si>
  <si>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</si>
  <si>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</si>
  <si>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</si>
  <si>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</si>
  <si>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</si>
  <si>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</si>
  <si>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</si>
  <si>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</si>
  <si>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</si>
  <si>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</si>
  <si>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</si>
  <si>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</si>
  <si>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</si>
  <si>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</si>
  <si>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</si>
  <si>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</si>
  <si>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</si>
  <si>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</si>
  <si>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</si>
  <si>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</si>
  <si>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</si>
  <si>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</si>
  <si>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</si>
  <si>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</si>
  <si>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Goshen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</si>
</sst>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42" activePane="bottomRight" state="frozen"/>
      <selection pane="topRight" activeCell="F1" sqref="F1"/>
      <selection pane="bottomLeft" activeCell="A4" sqref="A4"/>
      <selection pane="bottomRight" activeCell="H539" sqref="H53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204</v>
      </c>
      <c r="C2" s="21">
        <v>203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398404.96</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260177.09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398404.96</v>
      </c>
      <c r="G19" s="41">
        <f>SUM(G9:G18)</f>
        <v>0</v>
      </c>
      <c r="H19" s="41">
        <f>SUM(H9:H18)</f>
        <v>0</v>
      </c>
      <c r="I19" s="41">
        <f>SUM(I9:I18)</f>
        <v>0</v>
      </c>
      <c r="J19" s="41">
        <f>SUM(J9:J18)</f>
        <v>260177.09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17755.990000000002</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1297.54</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19053.530000000002</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40000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260177.09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339351.43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379351.43</v>
      </c>
      <c r="G51" s="41">
        <f>SUM(G35:G50)</f>
        <v>0</v>
      </c>
      <c r="H51" s="41">
        <f>SUM(H35:H50)</f>
        <v>0</v>
      </c>
      <c r="I51" s="41">
        <f>SUM(I35:I50)</f>
        <v>0</v>
      </c>
      <c r="J51" s="41">
        <f>SUM(J35:J50)</f>
        <v>260177.09</v>
      </c>
      <c r="K51" s="45" t="s">
        <v>288</v>
      </c>
      <c r="L51" s="45" t="s">
        <v>288</v>
      </c>
      <c r="N51" s="264"/>
    </row>
    <row r="52" spans="1:14" s="3" customFormat="1" ht="12.2" customHeight="1" thickTop="1" x14ac:dyDescent="0.15">
      <c r="A52" s="38" t="s">
        <v>455</v>
      </c>
      <c r="B52" s="39" t="s">
        <v>289</v>
      </c>
      <c r="C52" s="6">
        <v>37</v>
      </c>
      <c r="D52" s="39" t="s">
        <v>653</v>
      </c>
      <c r="E52" s="39"/>
      <c r="F52" s="41">
        <f>F51+F32</f>
        <v>398404.96</v>
      </c>
      <c r="G52" s="41">
        <f>G51+G32</f>
        <v>0</v>
      </c>
      <c r="H52" s="41">
        <f>H51+H32</f>
        <v>0</v>
      </c>
      <c r="I52" s="41">
        <f>I51+I32</f>
        <v>0</v>
      </c>
      <c r="J52" s="41">
        <f>J51+J32</f>
        <v>260177.09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988933.01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988933.01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3557.61</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98329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98329</v>
      </c>
      <c r="G111" s="41">
        <f>SUM(G96:G110)</f>
        <v>0</v>
      </c>
      <c r="H111" s="41">
        <f>SUM(H96:H110)</f>
        <v>0</v>
      </c>
      <c r="I111" s="41">
        <f>SUM(I96:I110)</f>
        <v>0</v>
      </c>
      <c r="J111" s="41">
        <f>SUM(J96:J110)</f>
        <v>3557.61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1087262.01</v>
      </c>
      <c r="G112" s="41">
        <f>G60+G111</f>
        <v>0</v>
      </c>
      <c r="H112" s="41">
        <f>H60+H79+H94+H111</f>
        <v>0</v>
      </c>
      <c r="I112" s="41">
        <f>I60+I111</f>
        <v>0</v>
      </c>
      <c r="J112" s="41">
        <f>J60+J111</f>
        <v>3557.61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450002.49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146345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596347.49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596347.49</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16.5+400+39.5+95</f>
        <v>551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f>976.94+1039+4092.63+258</f>
        <v>6366.57</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7250.91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210.98</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7250.91</v>
      </c>
      <c r="G163" s="41">
        <f>SUM(G150:G162)</f>
        <v>0</v>
      </c>
      <c r="H163" s="41">
        <f>SUM(H150:H162)</f>
        <v>7128.5499999999993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7250.91</v>
      </c>
      <c r="G170" s="41">
        <f>G147+G163+SUM(G164:G169)</f>
        <v>0</v>
      </c>
      <c r="H170" s="41">
        <f>H147+H163+SUM(H164:H169)</f>
        <v>7128.5499999999993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30000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30000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30000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1690860.41</v>
      </c>
      <c r="G194" s="47">
        <f>G112+G140+G170+G193</f>
        <v>0</v>
      </c>
      <c r="H194" s="47">
        <f>H112+H140+H170+H193</f>
        <v>7128.5499999999993</v>
      </c>
      <c r="I194" s="47">
        <f>I112+I140+I170+I193</f>
        <v>0</v>
      </c>
      <c r="J194" s="47">
        <f>J112+J140+J193</f>
        <v>33557.61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714998</v>
      </c>
      <c r="I198" s="18"/>
      <c r="J198" s="18"/>
      <c r="K198" s="18"/>
      <c r="L198" s="19">
        <f>SUM(F198:K198)</f>
        <v>714998</v>
      </c>
      <c r="M198" s="8"/>
      <c r="N198" s="266"/>
    </row>
    <row r="199" spans="1:14" s="3" customFormat="1" ht="12.2" customHeight="1" x14ac:dyDescent="0.15">
      <c r="A199" s="1" t="s">
        <v>439</v>
      </c>
      <c r="B199" s="2" t="s">
        <v>341</v>
      </c>
      <c r="C199" s="2" t="s">
        <v>291</v>
      </c>
      <c r="D199" s="2" t="s">
        <v>431</v>
      </c>
      <c r="E199" s="6">
        <v>1200</v>
      </c>
      <c r="F199" s="18"/>
      <c r="G199" s="18"/>
      <c r="H199" s="18">
        <v>66536.69</v>
      </c>
      <c r="I199" s="18">
        <v>208.23</v>
      </c>
      <c r="J199" s="18"/>
      <c r="K199" s="18"/>
      <c r="L199" s="19">
        <f>SUM(F199:K199)</f>
        <v>66744.92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f>370.38+2058.93+622.86+7169.71</f>
        <v>10221.880000000001</v>
      </c>
      <c r="I203" s="18"/>
      <c r="J203" s="18"/>
      <c r="K203" s="18"/>
      <c r="L203" s="19">
        <f t="shared" ref="L203:L209" si="0">SUM(F203:K203)</f>
        <v>10221.880000000001</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38196.33</v>
      </c>
      <c r="G205" s="18">
        <v>3079.67</v>
      </c>
      <c r="H205" s="18">
        <v>12013.46</v>
      </c>
      <c r="I205" s="18">
        <v>723.19</v>
      </c>
      <c r="J205" s="18"/>
      <c r="K205" s="18">
        <v>2295.88</v>
      </c>
      <c r="L205" s="19">
        <f t="shared" si="0"/>
        <v>56308.53</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v>4781.4399999999996</v>
      </c>
      <c r="G207" s="18">
        <v>365.8</v>
      </c>
      <c r="H207" s="18"/>
      <c r="I207" s="18"/>
      <c r="J207" s="18"/>
      <c r="K207" s="18"/>
      <c r="L207" s="19">
        <f t="shared" si="0"/>
        <v>5147.24</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23443.7</v>
      </c>
      <c r="I209" s="18"/>
      <c r="J209" s="18"/>
      <c r="K209" s="18"/>
      <c r="L209" s="19">
        <f t="shared" si="0"/>
        <v>23443.7</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42977.770000000004</v>
      </c>
      <c r="G212" s="41">
        <f t="shared" si="1"/>
        <v>3445.4700000000003</v>
      </c>
      <c r="H212" s="41">
        <f t="shared" si="1"/>
        <v>827213.72999999986</v>
      </c>
      <c r="I212" s="41">
        <f t="shared" si="1"/>
        <v>931.42000000000007</v>
      </c>
      <c r="J212" s="41">
        <f t="shared" si="1"/>
        <v>0</v>
      </c>
      <c r="K212" s="41">
        <f t="shared" si="1"/>
        <v>2295.88</v>
      </c>
      <c r="L212" s="41">
        <f t="shared" si="1"/>
        <v>876864.27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450876.5</v>
      </c>
      <c r="I234" s="18"/>
      <c r="J234" s="18"/>
      <c r="K234" s="18"/>
      <c r="L234" s="19">
        <f>SUM(F234:K234)</f>
        <v>450876.5</v>
      </c>
      <c r="M234" s="8"/>
      <c r="N234" s="266"/>
    </row>
    <row r="235" spans="1:14" s="3" customFormat="1" ht="12.2" customHeight="1" x14ac:dyDescent="0.15">
      <c r="A235" s="1" t="s">
        <v>439</v>
      </c>
      <c r="B235" s="2" t="s">
        <v>350</v>
      </c>
      <c r="C235" s="2" t="s">
        <v>291</v>
      </c>
      <c r="D235" s="2" t="s">
        <v>431</v>
      </c>
      <c r="E235" s="6">
        <v>1200</v>
      </c>
      <c r="F235" s="18"/>
      <c r="G235" s="18"/>
      <c r="H235" s="18">
        <v>102553.68</v>
      </c>
      <c r="I235" s="18">
        <v>131.29</v>
      </c>
      <c r="J235" s="18"/>
      <c r="K235" s="18"/>
      <c r="L235" s="19">
        <f>SUM(F235:K235)</f>
        <v>102684.96999999999</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3023.75</v>
      </c>
      <c r="I239" s="18"/>
      <c r="J239" s="18"/>
      <c r="K239" s="18"/>
      <c r="L239" s="19">
        <f t="shared" ref="L239:L245" si="4">SUM(F239:K239)</f>
        <v>3023.75</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24083.68</v>
      </c>
      <c r="G241" s="18">
        <v>1941.81</v>
      </c>
      <c r="H241" s="18">
        <v>7574.77</v>
      </c>
      <c r="I241" s="18">
        <v>455.99</v>
      </c>
      <c r="J241" s="18"/>
      <c r="K241" s="18">
        <v>1447.6</v>
      </c>
      <c r="L241" s="19">
        <f t="shared" si="4"/>
        <v>35503.85</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v>3014.81</v>
      </c>
      <c r="G243" s="18">
        <v>230.64</v>
      </c>
      <c r="H243" s="18"/>
      <c r="I243" s="18"/>
      <c r="J243" s="18"/>
      <c r="K243" s="18"/>
      <c r="L243" s="19">
        <f t="shared" si="4"/>
        <v>3245.45</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23913.16</v>
      </c>
      <c r="I245" s="18"/>
      <c r="J245" s="18"/>
      <c r="K245" s="18"/>
      <c r="L245" s="19">
        <f t="shared" si="4"/>
        <v>23913.16</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27098.49</v>
      </c>
      <c r="G248" s="41">
        <f t="shared" si="5"/>
        <v>2172.4499999999998</v>
      </c>
      <c r="H248" s="41">
        <f t="shared" si="5"/>
        <v>587941.86</v>
      </c>
      <c r="I248" s="41">
        <f t="shared" si="5"/>
        <v>587.28</v>
      </c>
      <c r="J248" s="41">
        <f t="shared" si="5"/>
        <v>0</v>
      </c>
      <c r="K248" s="41">
        <f t="shared" si="5"/>
        <v>1447.6</v>
      </c>
      <c r="L248" s="41">
        <f t="shared" si="5"/>
        <v>619247.67999999993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70076.260000000009</v>
      </c>
      <c r="G258" s="41">
        <f t="shared" si="8"/>
        <v>5617.92</v>
      </c>
      <c r="H258" s="41">
        <f t="shared" si="8"/>
        <v>1415155.5899999999</v>
      </c>
      <c r="I258" s="41">
        <f t="shared" si="8"/>
        <v>1518.7</v>
      </c>
      <c r="J258" s="41">
        <f t="shared" si="8"/>
        <v>0</v>
      </c>
      <c r="K258" s="41">
        <f t="shared" si="8"/>
        <v>3743.48</v>
      </c>
      <c r="L258" s="41">
        <f t="shared" si="8"/>
        <v>1496111.95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30000</v>
      </c>
      <c r="L271" s="41">
        <f t="shared" si="9"/>
        <v>30000</v>
      </c>
      <c r="M271" s="8"/>
      <c r="N271" s="266"/>
    </row>
    <row r="272" spans="1:14" s="34" customFormat="1" ht="12.2" customHeight="1" thickTop="1" x14ac:dyDescent="0.2">
      <c r="A272" s="43" t="s">
        <v>464</v>
      </c>
      <c r="B272" s="40">
        <v>10</v>
      </c>
      <c r="C272" s="40">
        <v>18</v>
      </c>
      <c r="D272" s="39" t="s">
        <v>431</v>
      </c>
      <c r="E272" s="40"/>
      <c r="F272" s="42">
        <f t="shared" ref="F272:L272" si="11">F258+F271</f>
        <v>70076.260000000009</v>
      </c>
      <c r="G272" s="42">
        <f t="shared" si="11"/>
        <v>5617.92</v>
      </c>
      <c r="H272" s="42">
        <f t="shared" si="11"/>
        <v>1415155.5899999999</v>
      </c>
      <c r="I272" s="42">
        <f t="shared" si="11"/>
        <v>1518.7</v>
      </c>
      <c r="J272" s="42">
        <f t="shared" si="11"/>
        <v>0</v>
      </c>
      <c r="K272" s="42">
        <f t="shared" si="11"/>
        <v>33743.480000000003</v>
      </c>
      <c r="L272" s="42">
        <f t="shared" si="11"/>
        <v>1526111.95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v>495</v>
      </c>
      <c r="I277" s="18">
        <f>56+210.98</f>
        <v>266.98</v>
      </c>
      <c r="J277" s="18"/>
      <c r="K277" s="18"/>
      <c r="L277" s="19">
        <f>SUM(F277:K277)</f>
        <v>761.98</v>
      </c>
      <c r="M277" s="8"/>
      <c r="N277" s="266"/>
    </row>
    <row r="278" spans="1:14" s="3" customFormat="1" ht="12.2" customHeight="1" x14ac:dyDescent="0.15">
      <c r="A278" s="1" t="s">
        <v>439</v>
      </c>
      <c r="B278" s="2" t="s">
        <v>357</v>
      </c>
      <c r="C278" s="2" t="s">
        <v>291</v>
      </c>
      <c r="D278" s="2" t="s">
        <v>431</v>
      </c>
      <c r="E278" s="6">
        <v>1200</v>
      </c>
      <c r="F278" s="18"/>
      <c r="G278" s="18"/>
      <c r="H278" s="18">
        <v>5393.51</v>
      </c>
      <c r="I278" s="18">
        <v>173.94</v>
      </c>
      <c r="J278" s="18"/>
      <c r="K278" s="18"/>
      <c r="L278" s="19">
        <f>SUM(F278:K278)</f>
        <v>5567.45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5888.51</v>
      </c>
      <c r="I291" s="42">
        <f t="shared" si="13"/>
        <v>440.92</v>
      </c>
      <c r="J291" s="42">
        <f t="shared" si="13"/>
        <v>0</v>
      </c>
      <c r="K291" s="42">
        <f t="shared" si="13"/>
        <v>0</v>
      </c>
      <c r="L291" s="41">
        <f t="shared" si="13"/>
        <v>6329.43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v>799.12</v>
      </c>
      <c r="I316" s="18"/>
      <c r="J316" s="18"/>
      <c r="K316" s="18"/>
      <c r="L316" s="19">
        <f>SUM(F316:K316)</f>
        <v>799.12</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799.12</v>
      </c>
      <c r="I329" s="42">
        <f t="shared" si="17"/>
        <v>0</v>
      </c>
      <c r="J329" s="42">
        <f t="shared" si="17"/>
        <v>0</v>
      </c>
      <c r="K329" s="42">
        <f t="shared" si="17"/>
        <v>0</v>
      </c>
      <c r="L329" s="41">
        <f t="shared" si="17"/>
        <v>799.12</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6687.63</v>
      </c>
      <c r="I339" s="41">
        <f t="shared" si="20"/>
        <v>440.92</v>
      </c>
      <c r="J339" s="41">
        <f t="shared" si="20"/>
        <v>0</v>
      </c>
      <c r="K339" s="41">
        <f t="shared" si="20"/>
        <v>0</v>
      </c>
      <c r="L339" s="41">
        <f t="shared" si="20"/>
        <v>7128.55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6687.63</v>
      </c>
      <c r="I353" s="41">
        <f>I339</f>
        <v>440.92</v>
      </c>
      <c r="J353" s="41">
        <f>J339</f>
        <v>0</v>
      </c>
      <c r="K353" s="47">
        <f>K339+K352</f>
        <v>0</v>
      </c>
      <c r="L353" s="41">
        <f>L339+L352</f>
        <v>7128.55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30000</v>
      </c>
      <c r="H398" s="18">
        <v>765.98</v>
      </c>
      <c r="I398" s="18"/>
      <c r="J398" s="24" t="s">
        <v>288</v>
      </c>
      <c r="K398" s="24" t="s">
        <v>288</v>
      </c>
      <c r="L398" s="56">
        <f t="shared" si="26"/>
        <v>30765.98</v>
      </c>
      <c r="M398" s="8"/>
      <c r="N398" s="266"/>
    </row>
    <row r="399" spans="1:14" s="3" customFormat="1" ht="12.2" customHeight="1" x14ac:dyDescent="0.15">
      <c r="A399" s="79" t="s">
        <v>558</v>
      </c>
      <c r="B399" s="2" t="s">
        <v>381</v>
      </c>
      <c r="C399" s="6">
        <v>11</v>
      </c>
      <c r="D399" s="2" t="s">
        <v>432</v>
      </c>
      <c r="E399" s="6"/>
      <c r="F399" s="18"/>
      <c r="G399" s="18"/>
      <c r="H399" s="18">
        <v>2791.63</v>
      </c>
      <c r="I399" s="18"/>
      <c r="J399" s="24" t="s">
        <v>288</v>
      </c>
      <c r="K399" s="24" t="s">
        <v>288</v>
      </c>
      <c r="L399" s="56">
        <f t="shared" si="26"/>
        <v>2791.63</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30000</v>
      </c>
      <c r="H402" s="47">
        <f>SUM(H396:H401)</f>
        <v>3557.61</v>
      </c>
      <c r="I402" s="47">
        <f>SUM(I396:I401)</f>
        <v>0</v>
      </c>
      <c r="J402" s="45" t="s">
        <v>288</v>
      </c>
      <c r="K402" s="45" t="s">
        <v>288</v>
      </c>
      <c r="L402" s="47">
        <f>SUM(L396:L401)</f>
        <v>33557.61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30000</v>
      </c>
      <c r="H409" s="47">
        <f>H394+H402+H408</f>
        <v>3557.61</v>
      </c>
      <c r="I409" s="47">
        <f>I394+I402+I408</f>
        <v>0</v>
      </c>
      <c r="J409" s="24" t="s">
        <v>288</v>
      </c>
      <c r="K409" s="24" t="s">
        <v>288</v>
      </c>
      <c r="L409" s="47">
        <f>L394+L402+L408</f>
        <v>33557.61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260177.09</v>
      </c>
      <c r="H441" s="18"/>
      <c r="I441" s="56">
        <f t="shared" si="33"/>
        <v>260177.09</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260177.09</v>
      </c>
      <c r="H447" s="13">
        <f>SUM(H440:H446)</f>
        <v>0</v>
      </c>
      <c r="I447" s="13">
        <f>SUM(I440:I446)</f>
        <v>260177.09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260177.09</v>
      </c>
      <c r="H460" s="18"/>
      <c r="I460" s="56">
        <f t="shared" si="34"/>
        <v>260177.09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260177.09</v>
      </c>
      <c r="H461" s="83">
        <f>SUM(H455:H460)</f>
        <v>0</v>
      </c>
      <c r="I461" s="83">
        <f>SUM(I455:I460)</f>
        <v>260177.09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260177.09</v>
      </c>
      <c r="H462" s="42">
        <f>H453+H461</f>
        <v>0</v>
      </c>
      <c r="I462" s="42">
        <f>I453+I461</f>
        <v>260177.09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214602.97</v>
      </c>
      <c r="G466" s="18"/>
      <c r="H466" s="18">
        <v>0</v>
      </c>
      <c r="I466" s="18"/>
      <c r="J466" s="18">
        <f>102951.03+123668.45</f>
        <v>226619.47999999998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1690860.41</v>
      </c>
      <c r="G469" s="18"/>
      <c r="H469" s="18">
        <f>H194</f>
        <v>7128.5499999999993</v>
      </c>
      <c r="I469" s="18"/>
      <c r="J469" s="18">
        <f>J194</f>
        <v>33557.61</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1690860.41</v>
      </c>
      <c r="G471" s="53">
        <f>SUM(G469:G470)</f>
        <v>0</v>
      </c>
      <c r="H471" s="53">
        <f>SUM(H469:H470)</f>
        <v>7128.5499999999993</v>
      </c>
      <c r="I471" s="53">
        <f>SUM(I469:I470)</f>
        <v>0</v>
      </c>
      <c r="J471" s="53">
        <f>SUM(J469:J470)</f>
        <v>33557.61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1526111.95</v>
      </c>
      <c r="G473" s="18"/>
      <c r="H473" s="18">
        <f>L339</f>
        <v>7128.55</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1526111.95</v>
      </c>
      <c r="G475" s="53">
        <f>SUM(G473:G474)</f>
        <v>0</v>
      </c>
      <c r="H475" s="53">
        <f>SUM(H473:H474)</f>
        <v>7128.55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379351.42999999993</v>
      </c>
      <c r="G477" s="53">
        <f>(G466+G471)- G475</f>
        <v>0</v>
      </c>
      <c r="H477" s="53">
        <f>(H466+H471)- H475</f>
        <v>0</v>
      </c>
      <c r="I477" s="53">
        <f>(I466+I471)- I475</f>
        <v>0</v>
      </c>
      <c r="J477" s="53">
        <f>(J466+J471)- J475</f>
        <v>260177.08999999997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70587.460000000006</v>
      </c>
      <c r="I522" s="18">
        <v>382.17</v>
      </c>
      <c r="J522" s="18"/>
      <c r="K522" s="18"/>
      <c r="L522" s="88">
        <f>SUM(F522:K522)</f>
        <v>70969.63</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103195.53</v>
      </c>
      <c r="I524" s="18">
        <v>131.29</v>
      </c>
      <c r="J524" s="18"/>
      <c r="K524" s="18"/>
      <c r="L524" s="88">
        <f>SUM(F524:K524)</f>
        <v>103326.81999999999</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173782.99</v>
      </c>
      <c r="I525" s="108">
        <f t="shared" si="36"/>
        <v>513.46</v>
      </c>
      <c r="J525" s="108">
        <f t="shared" si="36"/>
        <v>0</v>
      </c>
      <c r="K525" s="108">
        <f t="shared" si="36"/>
        <v>0</v>
      </c>
      <c r="L525" s="89">
        <f t="shared" si="36"/>
        <v>174296.45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10221.88+1342.75</f>
        <v>11564.63</v>
      </c>
      <c r="I527" s="18"/>
      <c r="J527" s="18"/>
      <c r="K527" s="18"/>
      <c r="L527" s="88">
        <f>SUM(F527:K527)</f>
        <v>11564.63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f>3023.75+157.25</f>
        <v>3181</v>
      </c>
      <c r="I529" s="18"/>
      <c r="J529" s="18"/>
      <c r="K529" s="18"/>
      <c r="L529" s="88">
        <f>SUM(F529:K529)</f>
        <v>3181</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14745.63</v>
      </c>
      <c r="I530" s="89">
        <f t="shared" si="37"/>
        <v>0</v>
      </c>
      <c r="J530" s="89">
        <f t="shared" si="37"/>
        <v>0</v>
      </c>
      <c r="K530" s="89">
        <f t="shared" si="37"/>
        <v>0</v>
      </c>
      <c r="L530" s="89">
        <f t="shared" si="37"/>
        <v>14745.63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4587.4799999999996</v>
      </c>
      <c r="G532" s="18">
        <v>350.94</v>
      </c>
      <c r="H532" s="18"/>
      <c r="I532" s="18"/>
      <c r="J532" s="18"/>
      <c r="K532" s="18"/>
      <c r="L532" s="88">
        <f>SUM(F532:K532)</f>
        <v>4938.4199999999992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2892.52</v>
      </c>
      <c r="G534" s="18">
        <v>221.28</v>
      </c>
      <c r="H534" s="18"/>
      <c r="I534" s="18"/>
      <c r="J534" s="18"/>
      <c r="K534" s="18"/>
      <c r="L534" s="88">
        <f>SUM(F534:K534)</f>
        <v>3113.8</v>
      </c>
      <c r="M534" s="8"/>
      <c r="N534" s="266"/>
    </row>
    <row r="535" spans="1:14" s="3" customFormat="1" ht="12.2" customHeight="1" thickTop="1" x14ac:dyDescent="0.15">
      <c r="A535" s="139" t="s">
        <v>67</v>
      </c>
      <c r="B535" s="107">
        <v>21</v>
      </c>
      <c r="C535" s="107">
        <v>12</v>
      </c>
      <c r="D535" s="158" t="s">
        <v>432</v>
      </c>
      <c r="E535" s="107"/>
      <c r="F535" s="89">
        <f>SUM(F532:F534)</f>
        <v>7480</v>
      </c>
      <c r="G535" s="89">
        <f t="shared" ref="G535:L535" si="38">SUM(G532:G534)</f>
        <v>572.22</v>
      </c>
      <c r="H535" s="89">
        <f t="shared" si="38"/>
        <v>0</v>
      </c>
      <c r="I535" s="89">
        <f t="shared" si="38"/>
        <v>0</v>
      </c>
      <c r="J535" s="89">
        <f t="shared" si="38"/>
        <v>0</v>
      </c>
      <c r="K535" s="89">
        <f t="shared" si="38"/>
        <v>0</v>
      </c>
      <c r="L535" s="89">
        <f t="shared" si="38"/>
        <v>8052.2199999999993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9131.36</v>
      </c>
      <c r="I544" s="18"/>
      <c r="J544" s="18"/>
      <c r="K544" s="18"/>
      <c r="L544" s="88">
        <f>SUM(F544:K544)</f>
        <v>9131.36</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9131.36</v>
      </c>
      <c r="I545" s="193">
        <f t="shared" si="40"/>
        <v>0</v>
      </c>
      <c r="J545" s="193">
        <f t="shared" si="40"/>
        <v>0</v>
      </c>
      <c r="K545" s="193">
        <f t="shared" si="40"/>
        <v>0</v>
      </c>
      <c r="L545" s="193">
        <f t="shared" si="40"/>
        <v>9131.36</v>
      </c>
      <c r="M545" s="8"/>
      <c r="N545" s="266"/>
    </row>
    <row r="546" spans="1:14" s="3" customFormat="1" ht="12.2" customHeight="1" thickTop="1" x14ac:dyDescent="0.15">
      <c r="A546" s="98" t="s">
        <v>72</v>
      </c>
      <c r="B546" s="107">
        <v>21</v>
      </c>
      <c r="C546" s="107">
        <v>21</v>
      </c>
      <c r="D546" s="158" t="s">
        <v>432</v>
      </c>
      <c r="E546" s="107"/>
      <c r="F546" s="89">
        <f>F525+F530+F535+F540+F545</f>
        <v>7480</v>
      </c>
      <c r="G546" s="89">
        <f t="shared" ref="G546:L546" si="41">G525+G530+G535+G540+G545</f>
        <v>572.22</v>
      </c>
      <c r="H546" s="89">
        <f t="shared" si="41"/>
        <v>197659.97999999998</v>
      </c>
      <c r="I546" s="89">
        <f t="shared" si="41"/>
        <v>513.46</v>
      </c>
      <c r="J546" s="89">
        <f t="shared" si="41"/>
        <v>0</v>
      </c>
      <c r="K546" s="89">
        <f t="shared" si="41"/>
        <v>0</v>
      </c>
      <c r="L546" s="89">
        <f t="shared" si="41"/>
        <v>206225.66000000003</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70969.63</v>
      </c>
      <c r="G550" s="87">
        <f>L527</f>
        <v>11564.63</v>
      </c>
      <c r="H550" s="87">
        <f>L532</f>
        <v>4938.4199999999992</v>
      </c>
      <c r="I550" s="87">
        <f>L537</f>
        <v>0</v>
      </c>
      <c r="J550" s="87">
        <f>L542</f>
        <v>0</v>
      </c>
      <c r="K550" s="87">
        <f>SUM(F550:J550)</f>
        <v>87472.680000000008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103326.81999999999</v>
      </c>
      <c r="G552" s="87">
        <f>L529</f>
        <v>3181</v>
      </c>
      <c r="H552" s="87">
        <f>L534</f>
        <v>3113.8</v>
      </c>
      <c r="I552" s="87">
        <f>L539</f>
        <v>0</v>
      </c>
      <c r="J552" s="87">
        <f>L544</f>
        <v>9131.36</v>
      </c>
      <c r="K552" s="87">
        <f>SUM(F552:J552)</f>
        <v>118752.98</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174296.45</v>
      </c>
      <c r="G553" s="89">
        <f t="shared" si="42"/>
        <v>14745.63</v>
      </c>
      <c r="H553" s="89">
        <f t="shared" si="42"/>
        <v>8052.2199999999993</v>
      </c>
      <c r="I553" s="89">
        <f t="shared" si="42"/>
        <v>0</v>
      </c>
      <c r="J553" s="89">
        <f t="shared" si="42"/>
        <v>9131.36</v>
      </c>
      <c r="K553" s="89">
        <f t="shared" si="42"/>
        <v>206225.66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714998</v>
      </c>
      <c r="G576" s="18"/>
      <c r="H576" s="18">
        <v>450876.5</v>
      </c>
      <c r="I576" s="87">
        <f>SUM(F576:H576)</f>
        <v>1165874.5</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47090.7</v>
      </c>
      <c r="G580" s="18"/>
      <c r="H580" s="18">
        <v>23133.03</v>
      </c>
      <c r="I580" s="87">
        <f t="shared" si="47"/>
        <v>70223.73</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v>74733.47</v>
      </c>
      <c r="I583" s="87">
        <f t="shared" si="47"/>
        <v>74733.47</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23443.7</v>
      </c>
      <c r="I592" s="18"/>
      <c r="J592" s="18">
        <v>14781.8</v>
      </c>
      <c r="K592" s="104">
        <f t="shared" ref="K592:K598" si="48">SUM(H592:J592)</f>
        <v>38225.5</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v>9131.36</v>
      </c>
      <c r="K593" s="104">
        <f t="shared" si="48"/>
        <v>9131.36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23443.7</v>
      </c>
      <c r="I599" s="108">
        <f>SUM(I592:I598)</f>
        <v>0</v>
      </c>
      <c r="J599" s="108">
        <f>SUM(J592:J598)</f>
        <v>23913.16</v>
      </c>
      <c r="K599" s="108">
        <f>SUM(K592:K598)</f>
        <v>47356.86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398404.96</v>
      </c>
      <c r="H618" s="109">
        <f>SUM(F52)</f>
        <v>398404.96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260177.09</v>
      </c>
      <c r="H622" s="109">
        <f>SUM(J52)</f>
        <v>260177.09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379351.43</v>
      </c>
      <c r="H623" s="109">
        <f>F477</f>
        <v>379351.42999999993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260177.09</v>
      </c>
      <c r="H627" s="109">
        <f>J477</f>
        <v>260177.08999999997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1690860.41</v>
      </c>
      <c r="H628" s="104">
        <f>SUM(F469)</f>
        <v>1690860.41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7128.5499999999993</v>
      </c>
      <c r="H630" s="104">
        <f>SUM(H469)</f>
        <v>7128.5499999999993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33557.61</v>
      </c>
      <c r="H632" s="104">
        <f>SUM(J469)</f>
        <v>33557.61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1526111.95</v>
      </c>
      <c r="H633" s="104">
        <f>SUM(F473)</f>
        <v>1526111.95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7128.55</v>
      </c>
      <c r="H634" s="104">
        <f>SUM(H473)</f>
        <v>7128.55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33557.61</v>
      </c>
      <c r="H638" s="164">
        <f>SUM(J469)</f>
        <v>33557.61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260177.09</v>
      </c>
      <c r="H641" s="104">
        <f>SUM(G462)</f>
        <v>260177.09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260177.09</v>
      </c>
      <c r="H643" s="104">
        <f>SUM(I462)</f>
        <v>260177.09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3557.61</v>
      </c>
      <c r="H645" s="104">
        <f>H409</f>
        <v>3557.61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33557.61</v>
      </c>
      <c r="H647" s="104">
        <f>L409</f>
        <v>33557.61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47356.86</v>
      </c>
      <c r="H648" s="104">
        <f>L209+L227+L245</f>
        <v>47356.86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23443.7</v>
      </c>
      <c r="H650" s="104">
        <f>H599</f>
        <v>23443.7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23913.16</v>
      </c>
      <c r="H652" s="104">
        <f>J599</f>
        <v>23913.16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883193.70000000007</v>
      </c>
      <c r="G661" s="19">
        <f>(L230+L310+L360)</f>
        <v>0</v>
      </c>
      <c r="H661" s="19">
        <f>(L248+L329+L361)</f>
        <v>620046.79999999993</v>
      </c>
      <c r="I661" s="19">
        <f>SUM(F661:H661)</f>
        <v>1503240.5</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23443.7</v>
      </c>
      <c r="G663" s="19">
        <f>(L227+L307)-(J227+J307)</f>
        <v>0</v>
      </c>
      <c r="H663" s="19">
        <f>(L245+L326)-(J245+J326)</f>
        <v>23913.16</v>
      </c>
      <c r="I663" s="19">
        <f>SUM(F663:H663)</f>
        <v>47356.86</v>
      </c>
      <c r="J663"/>
      <c r="K663" s="13"/>
      <c r="L663" s="13"/>
      <c r="M663" s="9"/>
    </row>
    <row r="664" spans="1:13" s="3" customFormat="1" ht="12.2" customHeight="1" x14ac:dyDescent="0.15">
      <c r="A664" s="198" t="s">
        <v>129</v>
      </c>
      <c r="B664" s="169"/>
      <c r="C664" s="169"/>
      <c r="D664" s="169"/>
      <c r="E664" s="169"/>
      <c r="F664" s="199">
        <f>SUM(F576:F588)+SUM(H603:H605)+SUM(L612)</f>
        <v>762088.7</v>
      </c>
      <c r="G664" s="199">
        <f>SUM(G576:G588)+SUM(I603:I605)+L613</f>
        <v>0</v>
      </c>
      <c r="H664" s="199">
        <f>SUM(H576:H588)+SUM(J603:J605)+L614</f>
        <v>548743</v>
      </c>
      <c r="I664" s="19">
        <f>SUM(F664:H664)</f>
        <v>1310831.7</v>
      </c>
      <c r="J664" s="13"/>
      <c r="K664" s="13"/>
      <c r="L664" s="13"/>
      <c r="M664" s="9"/>
    </row>
    <row r="665" spans="1:13" s="3" customFormat="1" ht="12.2" customHeight="1" x14ac:dyDescent="0.15">
      <c r="A665" s="1" t="s">
        <v>130</v>
      </c>
      <c r="F665" s="19">
        <f>F661-SUM(F662:F664)</f>
        <v>97661.300000000163</v>
      </c>
      <c r="G665" s="19">
        <f>G661-SUM(G662:G664)</f>
        <v>0</v>
      </c>
      <c r="H665" s="19">
        <f>H661-SUM(H662:H664)</f>
        <v>47390.639999999898</v>
      </c>
      <c r="I665" s="19">
        <f>I661-SUM(I662:I664)</f>
        <v>145051.93999999994</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-97661.3</v>
      </c>
      <c r="G670" s="18"/>
      <c r="H670" s="18">
        <v>-47390.64</v>
      </c>
      <c r="I670" s="19">
        <f>SUM(F670:H670)</f>
        <v>-145051.94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Goshen School District</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9" sqref="B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Goshen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20" activePane="bottomLeft" state="frozen"/>
      <selection activeCell="F46" sqref="F46"/>
      <selection pane="bottomLeft" sqref="A1:H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Goshen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1335304.3900000001</v>
      </c>
      <c r="D5" s="20">
        <f>SUM('DOE25'!L198:L201)+SUM('DOE25'!L216:L219)+SUM('DOE25'!L234:L237)-F5-G5-H5</f>
        <v>1335304.3900000001</v>
      </c>
      <c r="E5" s="243"/>
      <c r="F5" s="244"/>
      <c r="G5" s="53">
        <f>SUM('DOE25'!J198:J201)+SUM('DOE25'!J216:J219)+SUM('DOE25'!J234:J237)</f>
        <v>0</v>
      </c>
      <c r="H5" s="53">
        <f>SUM('DOE25'!K198:K201)+SUM('DOE25'!K216:K219)+SUM('DOE25'!K234:K237)</f>
        <v>0</v>
      </c>
      <c r="I5" s="256"/>
    </row>
    <row r="6" spans="1:9" x14ac:dyDescent="0.2">
      <c r="A6" s="32">
        <v>2100</v>
      </c>
      <c r="B6" t="s">
        <v>796</v>
      </c>
      <c r="C6" s="276">
        <f t="shared" si="0"/>
        <v>13245.630000000001</v>
      </c>
      <c r="D6" s="20">
        <f>'DOE25'!L203+'DOE25'!L221+'DOE25'!L239-F6-G6-H6</f>
        <v>13245.630000000001</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14120.420000000009</v>
      </c>
      <c r="D8" s="243"/>
      <c r="E8" s="20">
        <f>'DOE25'!L205+'DOE25'!L223+'DOE25'!L241-F8-G8-H8-D9-D11</f>
        <v>10376.94000000001</v>
      </c>
      <c r="F8" s="244"/>
      <c r="G8" s="53">
        <f>'DOE25'!J205+'DOE25'!J223+'DOE25'!J241</f>
        <v>0</v>
      </c>
      <c r="H8" s="53">
        <f>'DOE25'!K205+'DOE25'!K223+'DOE25'!K241</f>
        <v>3743.48</v>
      </c>
      <c r="I8" s="256"/>
    </row>
    <row r="9" spans="1:9" ht="14.25" x14ac:dyDescent="0.2">
      <c r="A9" s="32">
        <v>2310</v>
      </c>
      <c r="B9" s="185" t="s">
        <v>890</v>
      </c>
      <c r="C9" s="276">
        <f t="shared" si="0"/>
        <v>16181.73</v>
      </c>
      <c r="D9" s="244">
        <v>16181.73</v>
      </c>
      <c r="E9" s="243"/>
      <c r="F9" s="253"/>
      <c r="G9" s="253"/>
      <c r="H9" s="253"/>
      <c r="I9" s="256"/>
    </row>
    <row r="10" spans="1:9" ht="14.25" x14ac:dyDescent="0.2">
      <c r="A10" s="32">
        <v>2317</v>
      </c>
      <c r="B10" s="185" t="s">
        <v>891</v>
      </c>
      <c r="C10" s="276">
        <f t="shared" si="0"/>
        <v>3000</v>
      </c>
      <c r="D10" s="243"/>
      <c r="E10" s="244">
        <v>3000</v>
      </c>
      <c r="F10" s="253"/>
      <c r="G10" s="253"/>
      <c r="H10" s="253"/>
      <c r="I10" s="256"/>
    </row>
    <row r="11" spans="1:9" ht="14.25" x14ac:dyDescent="0.2">
      <c r="A11" s="32">
        <v>2321</v>
      </c>
      <c r="B11" s="185" t="s">
        <v>892</v>
      </c>
      <c r="C11" s="276">
        <f t="shared" si="0"/>
        <v>61510.23</v>
      </c>
      <c r="D11" s="244">
        <v>61510.23</v>
      </c>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8392.6899999999987</v>
      </c>
      <c r="D13" s="243"/>
      <c r="E13" s="20">
        <f>'DOE25'!L207+'DOE25'!L225+'DOE25'!L243-F13-G13-H13</f>
        <v>8392.6899999999987</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47356.86</v>
      </c>
      <c r="D15" s="20">
        <f>'DOE25'!L209+'DOE25'!L227+'DOE25'!L245-F15-G15-H15</f>
        <v>0</v>
      </c>
      <c r="E15" s="243"/>
      <c r="F15" s="244">
        <v>47356.86</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7128.55</v>
      </c>
      <c r="D31" s="20">
        <f>'DOE25'!L291+'DOE25'!L310+'DOE25'!L329+'DOE25'!L334+'DOE25'!L335+'DOE25'!L336-F31-G31-H31</f>
        <v>7128.55</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1433370.53</v>
      </c>
      <c r="E33" s="245">
        <f t="shared" si="1"/>
        <v>21769.630000000008</v>
      </c>
      <c r="F33" s="245">
        <f t="shared" si="1"/>
        <v>47356.86</v>
      </c>
      <c r="G33" s="245">
        <f t="shared" si="1"/>
        <v>0</v>
      </c>
      <c r="H33" s="245">
        <f t="shared" si="1"/>
        <v>3743.48</v>
      </c>
      <c r="I33" s="245">
        <f t="shared" si="1"/>
        <v>0</v>
      </c>
    </row>
    <row r="35" spans="1:9" ht="12" thickBot="1" x14ac:dyDescent="0.25">
      <c r="B35" s="251" t="s">
        <v>831</v>
      </c>
      <c r="D35" s="252">
        <f>E33</f>
        <v>21769.630000000008</v>
      </c>
      <c r="E35" s="248"/>
    </row>
    <row r="36" spans="1:9" ht="12" thickTop="1" x14ac:dyDescent="0.2">
      <c r="B36" t="s">
        <v>810</v>
      </c>
      <c r="D36" s="20">
        <f>D33</f>
        <v>1433370.53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Goshen School District</v>
      </c>
      <c r="B2" s="126">
        <f>'DOE25'!B2</f>
        <v>204</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883193.70000000007</v>
      </c>
      <c r="G4" s="303">
        <f>'DOE25'!L212+'DOE25'!L291</f>
        <v>883193.70000000007</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876864.27</v>
      </c>
      <c r="E5" s="294">
        <v>6329.43</v>
      </c>
      <c r="F5" s="312">
        <f>D5+E5</f>
        <v>883193.70000000007</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620046.80000000005</v>
      </c>
      <c r="G36" s="303">
        <f>'DOE25'!L248+'DOE25'!L329</f>
        <v>620046.79999999993</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619247.68000000005</v>
      </c>
      <c r="E37" s="294">
        <v>799.12</v>
      </c>
      <c r="F37" s="307">
        <f>D37+E37</f>
        <v>620046.80000000005</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9"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Goshen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398404.96</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260177.09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398404.96</v>
      </c>
      <c r="D18" s="41">
        <f>SUM(D8:D17)</f>
        <v>0</v>
      </c>
      <c r="E18" s="41">
        <f>SUM(E8:E17)</f>
        <v>0</v>
      </c>
      <c r="F18" s="41">
        <f>SUM(F8:F17)</f>
        <v>0</v>
      </c>
      <c r="G18" s="41">
        <f>SUM(G8:G17)</f>
        <v>260177.09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17755.990000000002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1297.54</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19053.530000000002</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260177.09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339351.43</v>
      </c>
      <c r="D49" s="24" t="s">
        <v>288</v>
      </c>
      <c r="E49" s="24" t="s">
        <v>288</v>
      </c>
      <c r="F49" s="24" t="s">
        <v>288</v>
      </c>
      <c r="G49" s="24" t="s">
        <v>288</v>
      </c>
      <c r="H49" s="124"/>
      <c r="I49" s="124"/>
    </row>
    <row r="50" spans="1:9" ht="12.75" thickTop="1" thickBot="1" x14ac:dyDescent="0.25">
      <c r="A50" s="38" t="s">
        <v>884</v>
      </c>
      <c r="B50" s="48"/>
      <c r="C50" s="41">
        <f>SUM(C34:C49)</f>
        <v>379351.43</v>
      </c>
      <c r="D50" s="41">
        <f>SUM(D34:D49)</f>
        <v>0</v>
      </c>
      <c r="E50" s="41">
        <f>SUM(E34:E49)</f>
        <v>0</v>
      </c>
      <c r="F50" s="41">
        <f>SUM(F34:F49)</f>
        <v>0</v>
      </c>
      <c r="G50" s="41">
        <f>SUM(G34:G49)</f>
        <v>260177.09</v>
      </c>
      <c r="H50" s="124"/>
      <c r="I50" s="124"/>
    </row>
    <row r="51" spans="1:9" ht="12" thickTop="1" x14ac:dyDescent="0.2">
      <c r="A51" s="38" t="s">
        <v>885</v>
      </c>
      <c r="B51" s="2"/>
      <c r="C51" s="41">
        <f>C50+C31</f>
        <v>398404.96</v>
      </c>
      <c r="D51" s="41">
        <f>D50+D31</f>
        <v>0</v>
      </c>
      <c r="E51" s="41">
        <f>E50+E31</f>
        <v>0</v>
      </c>
      <c r="F51" s="41">
        <f>F50+F31</f>
        <v>0</v>
      </c>
      <c r="G51" s="41">
        <f>G50+G31</f>
        <v>260177.09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988933.01</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3557.61</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98329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98329</v>
      </c>
      <c r="D62" s="130">
        <f>SUM(D57:D61)</f>
        <v>0</v>
      </c>
      <c r="E62" s="130">
        <f>SUM(E57:E61)</f>
        <v>0</v>
      </c>
      <c r="F62" s="130">
        <f>SUM(F57:F61)</f>
        <v>0</v>
      </c>
      <c r="G62" s="130">
        <f>SUM(G57:G61)</f>
        <v>3557.61</v>
      </c>
      <c r="H62"/>
      <c r="I62"/>
    </row>
    <row r="63" spans="1:9" ht="12" thickTop="1" x14ac:dyDescent="0.2">
      <c r="A63" s="29" t="s">
        <v>175</v>
      </c>
      <c r="B63" s="6"/>
      <c r="C63" s="22">
        <f>C56+C62</f>
        <v>1087262.01</v>
      </c>
      <c r="D63" s="22">
        <f>D56+D62</f>
        <v>0</v>
      </c>
      <c r="E63" s="22">
        <f>E56+E62</f>
        <v>0</v>
      </c>
      <c r="F63" s="22">
        <f>F56+F62</f>
        <v>0</v>
      </c>
      <c r="G63" s="22">
        <f>G56+G62</f>
        <v>3557.61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450002.49</v>
      </c>
      <c r="D66" s="24" t="s">
        <v>288</v>
      </c>
      <c r="E66" s="24" t="s">
        <v>288</v>
      </c>
      <c r="F66" s="24" t="s">
        <v>288</v>
      </c>
      <c r="G66" s="24" t="s">
        <v>288</v>
      </c>
      <c r="H66"/>
      <c r="I66"/>
    </row>
    <row r="67" spans="1:9" x14ac:dyDescent="0.2">
      <c r="A67" s="1" t="s">
        <v>770</v>
      </c>
      <c r="B67" s="6">
        <v>3112</v>
      </c>
      <c r="C67" s="95">
        <f>'DOE25'!F118</f>
        <v>146345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596347.49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596347.49</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7250.91</v>
      </c>
      <c r="D88" s="341">
        <f>SUM('DOE25'!G153:G162)</f>
        <v>0</v>
      </c>
      <c r="E88" s="341">
        <f>SUM('DOE25'!H153:H162)</f>
        <v>7128.5499999999993</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7250.91</v>
      </c>
      <c r="D91" s="131">
        <f>SUM(D85:D90)</f>
        <v>0</v>
      </c>
      <c r="E91" s="131">
        <f>SUM(E85:E90)</f>
        <v>7128.5499999999993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30000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30000</v>
      </c>
    </row>
    <row r="104" spans="1:7" ht="12.75" thickTop="1" thickBot="1" x14ac:dyDescent="0.25">
      <c r="A104" s="33" t="s">
        <v>761</v>
      </c>
      <c r="C104" s="86">
        <f>C63+C81+C91+C103</f>
        <v>1690860.41</v>
      </c>
      <c r="D104" s="86">
        <f>D63+D81+D91+D103</f>
        <v>0</v>
      </c>
      <c r="E104" s="86">
        <f>E63+E81+E91+E103</f>
        <v>7128.5499999999993</v>
      </c>
      <c r="F104" s="86">
        <f>F63+F81+F91+F103</f>
        <v>0</v>
      </c>
      <c r="G104" s="86">
        <f>G63+G81+G103</f>
        <v>33557.61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1165874.5</v>
      </c>
      <c r="D109" s="24" t="s">
        <v>288</v>
      </c>
      <c r="E109" s="95">
        <f>('DOE25'!L277)+('DOE25'!L296)+('DOE25'!L315)</f>
        <v>761.98</v>
      </c>
      <c r="F109" s="24" t="s">
        <v>288</v>
      </c>
      <c r="G109" s="24" t="s">
        <v>288</v>
      </c>
    </row>
    <row r="110" spans="1:7" x14ac:dyDescent="0.2">
      <c r="A110" t="s">
        <v>198</v>
      </c>
      <c r="B110" s="32" t="s">
        <v>199</v>
      </c>
      <c r="C110" s="95">
        <f>('DOE25'!L199)+('DOE25'!L217)+('DOE25'!L235)</f>
        <v>169429.88999999998</v>
      </c>
      <c r="D110" s="24" t="s">
        <v>288</v>
      </c>
      <c r="E110" s="95">
        <f>('DOE25'!L278)+('DOE25'!L297)+('DOE25'!L316)</f>
        <v>6366.57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1335304.3899999999</v>
      </c>
      <c r="D115" s="86">
        <f>SUM(D109:D114)</f>
        <v>0</v>
      </c>
      <c r="E115" s="86">
        <f>SUM(E109:E114)</f>
        <v>7128.5499999999993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13245.630000000001</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91812.38</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8392.6899999999987</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47356.86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160807.56</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33557.61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-3557.6100000000006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30000</v>
      </c>
      <c r="D144" s="141">
        <f>SUM(D130:D143)</f>
        <v>0</v>
      </c>
      <c r="E144" s="141">
        <f>SUM(E130:E143)</f>
        <v>0</v>
      </c>
      <c r="F144" s="141">
        <f>SUM(F130:F143)</f>
        <v>0</v>
      </c>
      <c r="G144" s="141">
        <f>SUM(G130:G143)</f>
        <v>0</v>
      </c>
    </row>
    <row r="145" spans="1:9" ht="12.75" thickTop="1" thickBot="1" x14ac:dyDescent="0.25">
      <c r="A145" s="33" t="s">
        <v>244</v>
      </c>
      <c r="C145" s="86">
        <f>(C115+C128+C144)</f>
        <v>1526111.95</v>
      </c>
      <c r="D145" s="86">
        <f>(D115+D128+D144)</f>
        <v>0</v>
      </c>
      <c r="E145" s="86">
        <f>(E115+E128+E144)</f>
        <v>7128.5499999999993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Goshen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1166636</v>
      </c>
      <c r="D10" s="182">
        <f>ROUND((C10/$C$28)*100,1)</f>
        <v>77.599999999999994</v>
      </c>
    </row>
    <row r="11" spans="1:4" x14ac:dyDescent="0.2">
      <c r="A11">
        <v>1200</v>
      </c>
      <c r="B11" t="s">
        <v>703</v>
      </c>
      <c r="C11" s="179">
        <f>ROUND('DOE25'!L199+'DOE25'!L217+'DOE25'!L235+'DOE25'!L278+'DOE25'!L297+'DOE25'!L316,0)</f>
        <v>175796</v>
      </c>
      <c r="D11" s="182">
        <f>ROUND((C11/$C$28)*100,1)</f>
        <v>11.7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13246</v>
      </c>
      <c r="D15" s="182">
        <f t="shared" ref="D15:D27" si="0">ROUND((C15/$C$28)*100,1)</f>
        <v>0.9</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91812</v>
      </c>
      <c r="D17" s="182">
        <f t="shared" si="0"/>
        <v>6.1</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8393</v>
      </c>
      <c r="D19" s="182">
        <f t="shared" si="0"/>
        <v>0.6</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47357</v>
      </c>
      <c r="D21" s="182">
        <f t="shared" si="0"/>
        <v>3.2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1503240</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1503240</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988933</v>
      </c>
      <c r="D35" s="182">
        <f t="shared" ref="D35:D40" si="1">ROUND((C35/$C$41)*100,1)</f>
        <v>58.1</v>
      </c>
    </row>
    <row r="36" spans="1:4" x14ac:dyDescent="0.2">
      <c r="B36" s="185" t="s">
        <v>739</v>
      </c>
      <c r="C36" s="179">
        <f>SUM('DOE25'!F112:J112)-SUM('DOE25'!G97:G110)+('DOE25'!F175+'DOE25'!F176+'DOE25'!I175+'DOE25'!I176)-C35</f>
        <v>101886.62000000011</v>
      </c>
      <c r="D36" s="182">
        <f t="shared" si="1"/>
        <v>6</v>
      </c>
    </row>
    <row r="37" spans="1:4" x14ac:dyDescent="0.2">
      <c r="A37" s="183" t="s">
        <v>835</v>
      </c>
      <c r="B37" s="185" t="s">
        <v>728</v>
      </c>
      <c r="C37" s="179">
        <f>ROUND('DOE25'!F117+'DOE25'!F118,0)</f>
        <v>596347</v>
      </c>
      <c r="D37" s="182">
        <f t="shared" si="1"/>
        <v>35</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14379</v>
      </c>
      <c r="D39" s="182">
        <f t="shared" si="1"/>
        <v>0.8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1701545.62</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Goshen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2020-12-01T16:17:26Z</cp:lastPrinted>
  <dcterms:created xsi:type="dcterms:W3CDTF">1997-12-04T19:04:30Z</dcterms:created>
  <dcterms:modified xsi:type="dcterms:W3CDTF">2020-12-01T16:18:00Z</dcterms:modified>
</cp:coreProperties>
</file>