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31" i="13"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2" i="14"/>
  <c r="C13" i="14"/>
  <c r="C16" i="14"/>
  <c r="C17" i="14"/>
  <c r="C20" i="14"/>
  <c r="B6" i="14"/>
  <c r="C6" i="14" s="1"/>
  <c r="B7" i="14"/>
  <c r="C7" i="14" s="1"/>
  <c r="B8" i="14"/>
  <c r="C8" i="14" s="1"/>
  <c r="B9" i="14"/>
  <c r="C9" i="14" s="1"/>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C85" i="2" s="1"/>
  <c r="G147" i="1"/>
  <c r="D85" i="2" s="1"/>
  <c r="H147" i="1"/>
  <c r="H170" i="1" s="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G653" i="1"/>
  <c r="H653" i="1"/>
  <c r="G654" i="1"/>
  <c r="H654" i="1"/>
  <c r="G655" i="1"/>
  <c r="H655" i="1"/>
  <c r="H656" i="1"/>
  <c r="J656" i="1" s="1"/>
  <c r="G62" i="2"/>
  <c r="J572" i="1"/>
  <c r="I170" i="1"/>
  <c r="J140" i="1"/>
  <c r="H140" i="1"/>
  <c r="I409" i="1" l="1"/>
  <c r="E85" i="2"/>
  <c r="H462" i="1"/>
  <c r="H642" i="1" s="1"/>
  <c r="A40" i="12"/>
  <c r="J652" i="1"/>
  <c r="G553" i="1"/>
  <c r="G477" i="1"/>
  <c r="H624" i="1" s="1"/>
  <c r="J624" i="1" s="1"/>
  <c r="H477" i="1"/>
  <c r="H625" i="1" s="1"/>
  <c r="H409" i="1"/>
  <c r="H645" i="1" s="1"/>
  <c r="G409" i="1"/>
  <c r="H646" i="1" s="1"/>
  <c r="L402" i="1"/>
  <c r="C139" i="2" s="1"/>
  <c r="F409" i="1"/>
  <c r="H644" i="1" s="1"/>
  <c r="J644" i="1" s="1"/>
  <c r="G662" i="1"/>
  <c r="E114" i="2"/>
  <c r="E119" i="2"/>
  <c r="E125" i="2"/>
  <c r="E124" i="2"/>
  <c r="E123" i="2"/>
  <c r="E121" i="2"/>
  <c r="E120" i="2"/>
  <c r="E110" i="2"/>
  <c r="G339" i="1"/>
  <c r="G353" i="1" s="1"/>
  <c r="K339" i="1"/>
  <c r="K353" i="1" s="1"/>
  <c r="D18" i="13"/>
  <c r="C18" i="13" s="1"/>
  <c r="L257" i="1"/>
  <c r="C119" i="2"/>
  <c r="C112" i="2"/>
  <c r="C12" i="10"/>
  <c r="J258" i="1"/>
  <c r="J272" i="1" s="1"/>
  <c r="C125" i="2"/>
  <c r="F258" i="1"/>
  <c r="F272" i="1" s="1"/>
  <c r="C13" i="10"/>
  <c r="C110" i="2"/>
  <c r="D15" i="13"/>
  <c r="C15" i="13" s="1"/>
  <c r="E13" i="13"/>
  <c r="C13" i="13" s="1"/>
  <c r="D6" i="13"/>
  <c r="C6" i="13" s="1"/>
  <c r="C20" i="10"/>
  <c r="C121" i="2"/>
  <c r="C120" i="2"/>
  <c r="A31" i="12"/>
  <c r="C11" i="10"/>
  <c r="I112" i="1"/>
  <c r="G646" i="1"/>
  <c r="H193" i="1"/>
  <c r="H194" i="1" s="1"/>
  <c r="G630" i="1" s="1"/>
  <c r="J630" i="1" s="1"/>
  <c r="H112" i="1"/>
  <c r="C91" i="2"/>
  <c r="F170" i="1"/>
  <c r="D50" i="2"/>
  <c r="F339" i="1"/>
  <c r="F353" i="1" s="1"/>
  <c r="J642" i="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G50" i="2"/>
  <c r="J653" i="1"/>
  <c r="G572" i="1"/>
  <c r="I435" i="1"/>
  <c r="G435" i="1"/>
  <c r="I664" i="1"/>
  <c r="E51" i="2" l="1"/>
  <c r="J646" i="1"/>
  <c r="B33" i="16"/>
  <c r="L572" i="1"/>
  <c r="C141" i="2"/>
  <c r="C144" i="2" s="1"/>
  <c r="H661" i="1"/>
  <c r="H665" i="1" s="1"/>
  <c r="H668" i="1" s="1"/>
  <c r="E128" i="2"/>
  <c r="G24" i="14"/>
  <c r="H24" i="14" s="1"/>
  <c r="I24" i="14" s="1"/>
  <c r="E115" i="2"/>
  <c r="F661" i="1"/>
  <c r="F665" i="1" s="1"/>
  <c r="F668" i="1" s="1"/>
  <c r="H649" i="1"/>
  <c r="J649" i="1" s="1"/>
  <c r="G36" i="14"/>
  <c r="H36" i="14" s="1"/>
  <c r="I36" i="14" s="1"/>
  <c r="C81" i="2"/>
  <c r="F194" i="1"/>
  <c r="G628" i="1" s="1"/>
  <c r="J628" i="1" s="1"/>
  <c r="F51" i="2"/>
  <c r="D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<sst xmlns="http://schemas.openxmlformats.org/spreadsheetml/2006/main" count="5554" uniqueCount="1647">
  <si>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</si>
  <si>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</si>
  <si>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</si>
  <si>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</si>
  <si>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</si>
  <si>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</si>
  <si>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</si>
  <si>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</si>
  <si>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</si>
  <si>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</si>
  <si>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</si>
  <si>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</si>
  <si>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</si>
  <si>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</si>
  <si>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</si>
  <si>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</si>
  <si>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</si>
  <si>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</si>
  <si>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</si>
  <si>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</si>
  <si>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</si>
  <si>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</si>
  <si>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</si>
  <si>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</si>
  <si>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</si>
  <si>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</si>
  <si>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</si>
  <si>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</si>
  <si>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</si>
  <si>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</si>
  <si>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</si>
  <si>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</si>
  <si>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</si>
  <si>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</si>
  <si>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</si>
  <si>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</si>
  <si>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</si>
  <si>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</si>
  <si>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</si>
  <si>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</si>
  <si>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</si>
  <si>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</si>
  <si>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</si>
  <si>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</si>
  <si>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</si>
  <si>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</si>
  <si>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</si>
  <si>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</si>
  <si>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</si>
  <si>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</si>
  <si>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</si>
  <si>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</si>
  <si>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</si>
  <si>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</si>
  <si>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</si>
  <si>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</si>
  <si>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</si>
  <si>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</si>
  <si>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</si>
  <si>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</si>
  <si>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</si>
  <si>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</si>
  <si>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</si>
  <si>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</si>
  <si>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</si>
  <si>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</si>
  <si>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</si>
  <si>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</si>
  <si>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</si>
  <si>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</si>
  <si>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</si>
  <si>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</si>
  <si>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</si>
  <si>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</si>
  <si>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</si>
  <si>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</si>
  <si>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</si>
  <si>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</si>
  <si>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</si>
  <si>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</si>
  <si>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</si>
  <si>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</si>
  <si>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</si>
  <si>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</si>
  <si>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</si>
  <si>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</si>
  <si>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</si>
  <si>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</si>
  <si>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</si>
  <si>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</si>
  <si>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</si>
  <si>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</si>
  <si>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</si>
  <si>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</si>
  <si>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</si>
  <si>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</si>
  <si>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</si>
  <si>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</si>
  <si>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</si>
  <si>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</si>
  <si>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</si>
  <si>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</si>
  <si>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</si>
  <si>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</si>
  <si>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</si>
  <si>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</si>
  <si>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</si>
  <si>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</si>
  <si>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</si>
  <si>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</si>
  <si>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</si>
  <si>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</si>
  <si>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</si>
  <si>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</si>
  <si>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</si>
  <si>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</si>
  <si>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</si>
  <si>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</si>
  <si>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</si>
  <si>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</si>
  <si>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</si>
  <si>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</si>
  <si>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</si>
  <si>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</si>
  <si>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</si>
  <si>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</si>
  <si>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</si>
  <si>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</si>
  <si>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</si>
  <si>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</si>
  <si>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</si>
  <si>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</si>
  <si>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</si>
  <si>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</si>
  <si>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</si>
  <si>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</si>
  <si>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</si>
  <si>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</si>
  <si>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</si>
  <si>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</si>
  <si>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</si>
  <si>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</si>
  <si>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</si>
  <si>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</si>
  <si>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</si>
  <si>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</si>
  <si>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</si>
  <si>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</si>
  <si>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</si>
  <si>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</si>
  <si>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</si>
  <si>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</si>
  <si>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</si>
  <si>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</si>
  <si>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</si>
  <si>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</si>
  <si>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</si>
  <si>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</si>
  <si>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</si>
  <si>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</si>
  <si>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</si>
  <si>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</si>
  <si>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</si>
  <si>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</si>
  <si>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</si>
  <si>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</si>
  <si>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</si>
  <si>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</si>
  <si>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</si>
  <si>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</si>
  <si>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</si>
  <si>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</si>
  <si>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</si>
  <si>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</si>
  <si>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</si>
  <si>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</si>
  <si>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</si>
  <si>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</si>
  <si>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</si>
  <si>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</si>
  <si>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</si>
  <si>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</si>
  <si>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</si>
  <si>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</si>
  <si>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</si>
  <si>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</si>
  <si>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</si>
  <si>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</si>
  <si>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</si>
  <si>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</si>
  <si>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</si>
  <si>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</si>
  <si>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</si>
  <si>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</si>
  <si>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</si>
  <si>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</si>
  <si>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</si>
  <si>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</si>
  <si>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</si>
  <si>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</si>
  <si>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</si>
  <si>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</si>
  <si>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</si>
  <si>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</si>
  <si>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</si>
  <si>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</si>
  <si>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</si>
  <si>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</si>
  <si>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</si>
  <si>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</si>
  <si>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</si>
  <si>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</si>
  <si>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</si>
  <si>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</si>
  <si>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</si>
  <si>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</si>
  <si>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</si>
  <si>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</si>
  <si>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</si>
  <si>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</si>
  <si>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</si>
  <si>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</si>
  <si>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</si>
  <si>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</si>
  <si>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</si>
  <si>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</si>
  <si>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</si>
  <si>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</si>
  <si>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</si>
  <si>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</si>
  <si>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</si>
  <si>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</si>
  <si>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</si>
  <si>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</si>
  <si>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</si>
  <si>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</si>
  <si>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</si>
  <si>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</si>
  <si>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</si>
  <si>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</si>
  <si>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</si>
  <si>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</si>
  <si>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</si>
  <si>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</si>
  <si>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</si>
  <si>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</si>
  <si>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</si>
  <si>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</si>
  <si>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</si>
  <si>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</si>
  <si>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</si>
  <si>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</si>
  <si>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</si>
  <si>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</si>
  <si>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</si>
  <si>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</si>
  <si>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</si>
  <si>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</si>
  <si>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</si>
  <si>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</si>
  <si>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</si>
  <si>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</si>
  <si>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</si>
  <si>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</si>
  <si>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</si>
  <si>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</si>
  <si>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</si>
  <si>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</si>
  <si>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</si>
  <si>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</si>
  <si>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</si>
  <si>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</si>
  <si>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</si>
  <si>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</si>
  <si>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</si>
  <si>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</si>
  <si>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</si>
  <si>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</si>
  <si>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</si>
  <si>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</si>
  <si>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</si>
  <si>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</si>
  <si>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</si>
  <si>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</si>
  <si>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</si>
  <si>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</si>
  <si>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</si>
  <si>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</si>
  <si>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</si>
  <si>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</si>
  <si>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</si>
  <si>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</si>
  <si>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</si>
  <si>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</si>
  <si>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</si>
  <si>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</si>
  <si>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</si>
  <si>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</si>
  <si>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</si>
  <si>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</si>
  <si>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</si>
  <si>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</si>
  <si>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</si>
  <si>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</si>
  <si>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</si>
  <si>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</si>
  <si>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</si>
  <si>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</si>
  <si>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</si>
  <si>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</si>
  <si>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</si>
  <si>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</si>
  <si>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</si>
  <si>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</si>
  <si>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</si>
  <si>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</si>
  <si>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</si>
  <si>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</si>
  <si>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</si>
  <si>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</si>
  <si>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</si>
  <si>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</si>
  <si>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</si>
  <si>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</si>
  <si>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</si>
  <si>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</si>
  <si>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</si>
  <si>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</si>
  <si>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</si>
  <si>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</si>
  <si>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</si>
  <si>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</si>
  <si>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</si>
  <si>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</si>
  <si>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</si>
  <si>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</si>
  <si>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</si>
  <si>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</si>
  <si>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</si>
  <si>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</si>
  <si>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</si>
  <si>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</si>
  <si>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</si>
  <si>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</si>
  <si>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</si>
  <si>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</si>
  <si>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</si>
  <si>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</si>
  <si>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</si>
  <si>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</si>
  <si>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</si>
  <si>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</si>
  <si>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</si>
  <si>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</si>
  <si>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</si>
  <si>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</si>
  <si>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</si>
  <si>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</si>
  <si>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</si>
  <si>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</si>
  <si>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</si>
  <si>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</si>
  <si>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</si>
  <si>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</si>
  <si>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</si>
  <si>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</si>
  <si>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</si>
  <si>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</si>
  <si>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</si>
  <si>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</si>
  <si>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</si>
  <si>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</si>
  <si>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</si>
  <si>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</si>
  <si>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</si>
  <si>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</si>
  <si>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</si>
  <si>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</si>
  <si>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</si>
  <si>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</si>
  <si>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</si>
  <si>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</si>
  <si>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</si>
  <si>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</si>
  <si>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</si>
  <si>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</si>
  <si>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</si>
  <si>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</si>
  <si>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</si>
  <si>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</si>
  <si>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</si>
  <si>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</si>
  <si>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</si>
  <si>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</si>
  <si>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</si>
  <si>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</si>
  <si>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</si>
  <si>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</si>
  <si>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</si>
  <si>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</si>
  <si>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</si>
  <si>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</si>
  <si>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</si>
  <si>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</si>
  <si>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</si>
  <si>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</si>
  <si>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</si>
  <si>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</si>
  <si>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</si>
  <si>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</si>
  <si>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</si>
  <si>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</si>
  <si>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</si>
  <si>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</si>
  <si>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</si>
  <si>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</si>
  <si>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</si>
  <si>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</si>
  <si>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</si>
  <si>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</si>
  <si>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</si>
  <si>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</si>
  <si>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</si>
  <si>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</si>
  <si>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</si>
  <si>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</si>
  <si>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</si>
  <si>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</si>
  <si>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</si>
  <si>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</si>
  <si>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</si>
  <si>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</si>
  <si>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</si>
  <si>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</si>
  <si>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</si>
  <si>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</si>
  <si>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</si>
  <si>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</si>
  <si>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</si>
  <si>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</si>
  <si>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</si>
  <si>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</si>
  <si>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</si>
  <si>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</si>
  <si>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</si>
  <si>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</si>
  <si>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</si>
  <si>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</si>
  <si>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</si>
  <si>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</si>
  <si>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</si>
  <si>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</si>
  <si>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</si>
  <si>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</si>
  <si>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</si>
  <si>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</si>
  <si>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</si>
  <si>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</si>
  <si>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</si>
  <si>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</si>
  <si>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</si>
  <si>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</si>
  <si>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</si>
  <si>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</si>
  <si>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</si>
  <si>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</si>
  <si>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</si>
  <si>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</si>
  <si>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</si>
  <si>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</si>
  <si>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</si>
  <si>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</si>
  <si>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</si>
  <si>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</si>
  <si>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</si>
  <si>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</si>
  <si>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</si>
  <si>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</si>
  <si>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</si>
  <si>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</si>
  <si>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</si>
  <si>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</si>
  <si>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</si>
  <si>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</si>
  <si>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</si>
  <si>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</si>
  <si>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</si>
  <si>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</si>
  <si>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</si>
  <si>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</si>
  <si>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</si>
  <si>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</si>
  <si>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</si>
  <si>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</si>
  <si>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</si>
  <si>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</si>
  <si>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</si>
  <si>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</si>
  <si>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</si>
  <si>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</si>
  <si>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</si>
  <si>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</si>
  <si>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</si>
  <si>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</si>
  <si>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</si>
  <si>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</si>
  <si>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</si>
  <si>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</si>
  <si>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</si>
  <si>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</si>
  <si>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</si>
  <si>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</si>
  <si>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</si>
  <si>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</si>
  <si>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</si>
  <si>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</si>
  <si>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</si>
  <si>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</si>
  <si>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</si>
  <si>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</si>
  <si>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</si>
  <si>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</si>
  <si>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</si>
  <si>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</si>
  <si>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</si>
  <si>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</si>
  <si>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</si>
  <si>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</si>
  <si>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</si>
  <si>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</si>
  <si>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</si>
  <si>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</si>
  <si>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</si>
  <si>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</si>
  <si>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</si>
  <si>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</si>
  <si>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</si>
  <si>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</si>
  <si>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</si>
  <si>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</si>
  <si>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</si>
  <si>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</si>
  <si>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</si>
  <si>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</si>
  <si>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</si>
  <si>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</si>
  <si>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</si>
  <si>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</si>
  <si>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</si>
  <si>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</si>
  <si>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</si>
  <si>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</si>
  <si>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</si>
  <si>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</si>
  <si>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</si>
  <si>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</si>
  <si>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</si>
  <si>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</si>
  <si>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</si>
  <si>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</si>
  <si>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</si>
  <si>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</si>
  <si>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</si>
  <si>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</si>
  <si>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</si>
  <si>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</si>
  <si>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</si>
  <si>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</si>
  <si>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</si>
  <si>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</si>
  <si>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</si>
  <si>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</si>
  <si>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</si>
  <si>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</si>
  <si>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</si>
  <si>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</si>
  <si>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</si>
  <si>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</si>
  <si>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</si>
  <si>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</si>
  <si>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</si>
  <si>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</si>
  <si>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</si>
  <si>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</si>
  <si>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</si>
  <si>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</si>
  <si>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</si>
  <si>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</si>
  <si>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</si>
  <si>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</si>
  <si>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</si>
  <si>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</si>
  <si>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</si>
  <si>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</si>
  <si>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</si>
  <si>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</si>
  <si>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</si>
  <si>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</si>
  <si>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</si>
  <si>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</si>
  <si>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</si>
  <si>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</si>
  <si>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</si>
  <si>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</si>
  <si>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</si>
  <si>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</si>
  <si>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</si>
  <si>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</si>
  <si>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</si>
  <si>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</si>
  <si>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</si>
  <si>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</si>
  <si>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</si>
  <si>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</si>
  <si>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</si>
  <si>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</si>
  <si>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</si>
  <si>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</si>
  <si>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</si>
  <si>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</si>
  <si>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</si>
  <si>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</si>
  <si>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</si>
  <si>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</si>
  <si>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</si>
  <si>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</si>
  <si>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</si>
  <si>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</si>
  <si>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</si>
  <si>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</si>
  <si>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</si>
  <si>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</si>
  <si>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</si>
  <si>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</si>
  <si>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</si>
  <si>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</si>
  <si>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</si>
  <si>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</si>
  <si>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</si>
  <si>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</si>
  <si>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</si>
  <si>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</si>
  <si>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</si>
  <si>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</si>
  <si>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</si>
  <si>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</si>
  <si>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</si>
  <si>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</si>
  <si>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</si>
  <si>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</si>
  <si>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</si>
  <si>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</si>
  <si>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</si>
  <si>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</si>
  <si>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</si>
  <si>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</si>
  <si>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</si>
  <si>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</si>
  <si>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</si>
  <si>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</si>
  <si>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</si>
  <si>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</si>
  <si>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</si>
  <si>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</si>
  <si>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</si>
  <si>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</si>
  <si>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</si>
  <si>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</si>
  <si>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</si>
  <si>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</si>
  <si>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</si>
  <si>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</si>
  <si>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</si>
  <si>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</si>
  <si>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</si>
  <si>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</si>
  <si>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</si>
  <si>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</si>
  <si>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</si>
  <si>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</si>
  <si>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</si>
  <si>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</si>
  <si>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</si>
  <si>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</si>
  <si>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</si>
  <si>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</si>
  <si>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</si>
  <si>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</si>
  <si>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</si>
  <si>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</si>
  <si>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</si>
  <si>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</si>
  <si>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</si>
  <si>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</si>
  <si>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</si>
  <si>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</si>
  <si>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</si>
  <si>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</si>
  <si>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</si>
  <si>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</si>
  <si>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</si>
  <si>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</si>
  <si>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</si>
  <si>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</si>
  <si>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</si>
  <si>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</si>
  <si>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</si>
  <si>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</si>
  <si>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</si>
  <si>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</si>
  <si>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</si>
  <si>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</si>
  <si>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</si>
  <si>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</si>
  <si>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</si>
  <si>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</si>
  <si>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</si>
  <si>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</si>
  <si>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</si>
  <si>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</si>
  <si>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</si>
  <si>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</si>
  <si>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</si>
  <si>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</si>
  <si>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</si>
  <si>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</si>
  <si>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</si>
  <si>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</si>
  <si>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</si>
  <si>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</si>
  <si>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</si>
  <si>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</si>
  <si>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</si>
  <si>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</si>
  <si>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</si>
  <si>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</si>
  <si>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</si>
  <si>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</si>
  <si>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</si>
  <si>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</si>
  <si>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</si>
  <si>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</si>
  <si>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</si>
  <si>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</si>
  <si>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</si>
  <si>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</si>
  <si>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</si>
  <si>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</si>
  <si>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</si>
  <si>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</si>
  <si>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</si>
  <si>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</si>
  <si>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</si>
  <si>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</si>
  <si>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</si>
  <si>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</si>
  <si>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</si>
  <si>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</si>
  <si>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</si>
  <si>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</si>
  <si>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</si>
  <si>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</si>
  <si>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</si>
  <si>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</si>
  <si>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</si>
  <si>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</si>
  <si>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</si>
  <si>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</si>
  <si>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</si>
  <si>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</si>
  <si>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</si>
  <si>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</si>
  <si>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</si>
  <si>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</si>
  <si>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</si>
  <si>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</si>
  <si>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</si>
  <si>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</si>
  <si>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</si>
  <si>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</si>
  <si>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</si>
  <si>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</si>
  <si>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</si>
  <si>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</si>
  <si>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</si>
  <si>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</si>
  <si>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</si>
  <si>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</si>
  <si>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</si>
  <si>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</si>
  <si>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</si>
  <si>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</si>
  <si>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</si>
  <si>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</si>
  <si>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</si>
  <si>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</si>
  <si>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</si>
  <si>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</si>
  <si>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</si>
  <si>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</si>
  <si>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</si>
  <si>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</si>
  <si>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</si>
  <si>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</si>
  <si>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</si>
  <si>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</si>
  <si>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</si>
  <si>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</si>
  <si>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</si>
  <si>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</si>
  <si>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</si>
  <si>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</si>
  <si>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</si>
  <si>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</si>
  <si>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</si>
  <si>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</si>
  <si>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</si>
  <si>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</si>
  <si>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</si>
  <si>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</si>
  <si>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</si>
  <si>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</si>
  <si>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</si>
  <si>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</si>
  <si>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</si>
  <si>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</si>
  <si>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</si>
  <si>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</si>
  <si>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</si>
  <si>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</si>
  <si>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</si>
  <si>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</si>
  <si>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</si>
  <si>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</si>
  <si>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</si>
  <si>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</si>
  <si>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</si>
  <si>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</si>
  <si>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</si>
  <si>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</si>
  <si>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</si>
  <si>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</si>
  <si>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</si>
  <si>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</si>
  <si>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</si>
  <si>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</si>
  <si>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</si>
  <si>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</si>
  <si>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</si>
  <si>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</si>
  <si>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</si>
  <si>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</si>
  <si>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</si>
  <si>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</si>
  <si>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</si>
  <si>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</si>
  <si>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</si>
  <si>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</si>
  <si>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</si>
  <si>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</si>
  <si>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</si>
  <si>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</si>
  <si>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</si>
  <si>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</si>
  <si>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</si>
  <si>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</si>
  <si>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</si>
  <si>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</si>
  <si>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</si>
  <si>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</si>
  <si>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</si>
  <si>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</si>
  <si>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</si>
  <si>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</si>
  <si>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</si>
  <si>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</si>
  <si>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</si>
  <si>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</si>
  <si>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</si>
  <si>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</si>
  <si>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</si>
  <si>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</si>
  <si>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</si>
  <si>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</si>
  <si>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</si>
  <si>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</si>
  <si>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</si>
  <si>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</si>
  <si>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</si>
  <si>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</si>
  <si>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</si>
  <si>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</si>
  <si>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</si>
  <si>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</si>
  <si>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</si>
  <si>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</si>
  <si>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</si>
  <si>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</si>
  <si>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</si>
  <si>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</si>
  <si>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</si>
  <si>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</si>
  <si>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</si>
  <si>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</si>
  <si>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</si>
  <si>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</si>
  <si>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</si>
  <si>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</si>
  <si>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</si>
  <si>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</si>
  <si>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</si>
  <si>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</si>
  <si>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</si>
  <si>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</si>
  <si>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</si>
  <si>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</si>
  <si>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</si>
  <si>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</si>
  <si>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</si>
  <si>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</si>
  <si>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</si>
  <si>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</si>
  <si>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</si>
  <si>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</si>
  <si>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</si>
  <si>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</si>
  <si>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</si>
  <si>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</si>
  <si>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</si>
  <si>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</si>
  <si>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</si>
  <si>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</si>
  <si>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</si>
  <si>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</si>
  <si>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</si>
  <si>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</si>
  <si>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</si>
  <si>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</si>
  <si>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</si>
  <si>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</si>
  <si>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</si>
  <si>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</si>
  <si>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</si>
  <si>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</si>
  <si>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</si>
  <si>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</si>
  <si>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</si>
  <si>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</si>
  <si>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</si>
  <si>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</si>
  <si>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</si>
  <si>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</si>
  <si>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</si>
  <si>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</si>
  <si>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</si>
  <si>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</si>
  <si>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</si>
  <si>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</si>
  <si>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</si>
  <si>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</si>
  <si>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</si>
  <si>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</si>
  <si>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</si>
  <si>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</si>
  <si>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</si>
  <si>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</si>
  <si>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</si>
  <si>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</si>
  <si>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</si>
  <si>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</si>
  <si>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</si>
  <si>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</si>
  <si>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</si>
  <si>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</si>
  <si>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</si>
  <si>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</si>
  <si>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</si>
  <si>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</si>
  <si>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</si>
  <si>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</si>
  <si>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</si>
  <si>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</si>
  <si>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</si>
  <si>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</si>
  <si>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</si>
  <si>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</si>
  <si>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</si>
  <si>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</si>
  <si>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</si>
  <si>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</si>
  <si>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</si>
  <si>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</si>
  <si>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</si>
  <si>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</si>
  <si>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</si>
  <si>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</si>
  <si>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</si>
  <si>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</si>
  <si>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</si>
  <si>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</si>
  <si>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</si>
  <si>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</si>
  <si>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</si>
  <si>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</si>
  <si>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</si>
  <si>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</si>
  <si>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</si>
  <si>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</si>
  <si>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</si>
  <si>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</si>
  <si>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</si>
  <si>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</si>
  <si>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</si>
  <si>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</si>
  <si>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</si>
  <si>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</si>
  <si>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</si>
  <si>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</si>
  <si>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</si>
  <si>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</si>
  <si>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</si>
  <si>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</si>
  <si>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</si>
  <si>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</si>
  <si>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</si>
  <si>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</si>
  <si>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</si>
  <si>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</si>
  <si>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</si>
  <si>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</si>
  <si>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</si>
  <si>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</si>
  <si>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</si>
  <si>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</si>
  <si>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</si>
  <si>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</si>
  <si>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</si>
  <si>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</si>
  <si>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</si>
  <si>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</si>
  <si>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</si>
  <si>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</si>
  <si>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</si>
  <si>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</si>
  <si>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</si>
  <si>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</si>
  <si>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</si>
  <si>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</si>
  <si>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</si>
  <si>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</si>
  <si>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</si>
  <si>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</si>
  <si>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</si>
  <si>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</si>
  <si>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</si>
  <si>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</si>
  <si>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</si>
  <si>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</si>
  <si>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</si>
  <si>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</si>
  <si>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</si>
  <si>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</si>
  <si>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</si>
  <si>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</si>
  <si>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</si>
  <si>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</si>
  <si>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</si>
  <si>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</si>
  <si>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</si>
  <si>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</si>
  <si>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</si>
  <si>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</si>
  <si>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</si>
  <si>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</si>
  <si>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</si>
  <si>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</si>
  <si>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</si>
  <si>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</si>
  <si>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</si>
  <si>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</si>
  <si>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</si>
  <si>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</si>
  <si>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</si>
  <si>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</si>
  <si>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</si>
  <si>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</si>
  <si>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</si>
  <si>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</si>
  <si>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</si>
  <si>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</si>
  <si>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</si>
  <si>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</si>
  <si>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</si>
  <si>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</si>
  <si>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</si>
  <si>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</si>
  <si>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</si>
  <si>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</si>
  <si>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</si>
  <si>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</si>
  <si>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</si>
  <si>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</si>
  <si>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</si>
  <si>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</si>
  <si>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</si>
  <si>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</si>
  <si>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</si>
  <si>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</si>
  <si>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</si>
  <si>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</si>
  <si>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</si>
  <si>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</si>
  <si>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</si>
  <si>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</si>
  <si>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</si>
  <si>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</si>
  <si>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</si>
  <si>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</si>
  <si>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</si>
  <si>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</si>
  <si>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</si>
  <si>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</si>
  <si>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</si>
  <si>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</si>
  <si>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</si>
  <si>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</si>
  <si>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</si>
  <si>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</si>
  <si>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</si>
  <si>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</si>
  <si>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</si>
  <si>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</si>
  <si>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</si>
  <si>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</si>
  <si>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</si>
  <si>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</si>
  <si>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</si>
  <si>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</si>
  <si>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</si>
  <si>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</si>
  <si>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</si>
  <si>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</si>
  <si>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</si>
  <si>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</si>
  <si>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</si>
  <si>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</si>
  <si>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</si>
  <si>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</si>
  <si>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</si>
  <si>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</si>
  <si>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</si>
  <si>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</si>
  <si>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</si>
  <si>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</si>
  <si>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</si>
  <si>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</si>
  <si>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</si>
  <si>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</si>
  <si>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</si>
  <si>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</si>
  <si>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</si>
  <si>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</si>
  <si>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</si>
  <si>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</si>
  <si>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</si>
  <si>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</si>
  <si>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</si>
  <si>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</si>
  <si>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</si>
  <si>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</si>
  <si>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</si>
  <si>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</si>
  <si>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</si>
  <si>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</si>
  <si>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</si>
  <si>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</si>
  <si>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</si>
  <si>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</si>
  <si>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</si>
  <si>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</si>
  <si>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</si>
  <si>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</si>
  <si>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</si>
  <si>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</si>
  <si>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</si>
  <si>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</si>
  <si>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</si>
  <si>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</si>
  <si>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</si>
  <si>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</si>
  <si>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</si>
  <si>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</si>
  <si>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</si>
  <si>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</si>
  <si>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</si>
  <si>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</si>
  <si>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</si>
  <si>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</si>
  <si>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</si>
  <si>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</si>
  <si>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</si>
  <si>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</si>
  <si>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</si>
  <si>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</si>
  <si>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</si>
  <si>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</si>
  <si>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</si>
  <si>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</si>
  <si>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</si>
  <si>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</si>
  <si>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</si>
  <si>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</si>
  <si>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</si>
  <si>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</si>
  <si>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</si>
  <si>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</si>
  <si>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</si>
  <si>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</si>
  <si>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</si>
  <si>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</si>
  <si>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</si>
  <si>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</si>
  <si>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</si>
  <si>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</si>
  <si>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</si>
  <si>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</si>
  <si>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</si>
  <si>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</si>
  <si>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</si>
  <si>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</si>
  <si>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</si>
  <si>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</si>
  <si>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</si>
  <si>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</si>
  <si>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</si>
  <si>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</si>
  <si>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</si>
  <si>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</si>
  <si>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</si>
  <si>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</si>
  <si>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</si>
  <si>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</si>
  <si>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</si>
  <si>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</si>
  <si>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</si>
  <si>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</si>
  <si>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</si>
  <si>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</si>
  <si>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</si>
  <si>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</si>
  <si>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</si>
  <si>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</si>
  <si>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</si>
  <si>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</si>
  <si>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</si>
  <si>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</si>
  <si>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</si>
  <si>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</si>
  <si>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</si>
  <si>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</si>
  <si>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</si>
  <si>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</si>
  <si>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</si>
  <si>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</si>
  <si>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</si>
  <si>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</si>
  <si>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</si>
  <si>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</si>
  <si>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</si>
  <si>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</si>
  <si>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</si>
  <si>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</si>
  <si>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</si>
  <si>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</si>
  <si>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</si>
  <si>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</si>
  <si>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</si>
  <si>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</si>
  <si>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</si>
  <si>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</si>
  <si>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</si>
  <si>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</si>
  <si>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</si>
  <si>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</si>
  <si>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</si>
  <si>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</si>
  <si>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</si>
  <si>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</si>
  <si>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</si>
  <si>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</si>
  <si>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</si>
  <si>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</si>
  <si>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</si>
  <si>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</si>
  <si>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</si>
  <si>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</si>
  <si>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</si>
  <si>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</si>
  <si>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</si>
  <si>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</si>
  <si>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</si>
  <si>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</si>
  <si>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</si>
  <si>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</si>
  <si>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</si>
  <si>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</si>
  <si>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</si>
  <si>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</si>
  <si>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</si>
  <si>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</si>
  <si>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</si>
  <si>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</si>
  <si>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</si>
  <si>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</si>
  <si>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</si>
  <si>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</si>
  <si>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</si>
  <si>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</si>
  <si>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</si>
  <si>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</si>
  <si>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</si>
  <si>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</si>
  <si>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</si>
  <si>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</si>
  <si>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</si>
  <si>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</si>
  <si>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</si>
  <si>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</si>
  <si>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</si>
  <si>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</si>
  <si>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</si>
  <si>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</si>
  <si>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</si>
  <si>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</si>
  <si>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</si>
  <si>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</si>
  <si>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</si>
  <si>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</si>
  <si>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</si>
  <si>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</si>
  <si>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</si>
  <si>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</si>
  <si>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</si>
  <si>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</si>
  <si>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</si>
  <si>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</si>
  <si>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</si>
  <si>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</si>
  <si>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</si>
  <si>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</si>
  <si>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</si>
  <si>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</si>
  <si>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</si>
  <si>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</si>
  <si>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</si>
  <si>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</si>
  <si>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</si>
  <si>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</si>
  <si>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</si>
  <si>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</si>
  <si>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</si>
  <si>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</si>
  <si>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</si>
  <si>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</si>
  <si>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</si>
  <si>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</si>
  <si>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</si>
  <si>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</si>
  <si>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</si>
  <si>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</si>
  <si>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</si>
  <si>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</si>
  <si>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</si>
  <si>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</si>
  <si>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</si>
  <si>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</si>
  <si>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</si>
  <si>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</si>
  <si>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</si>
  <si>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</si>
  <si>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</si>
  <si>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</si>
  <si>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</si>
  <si>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</si>
  <si>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</si>
  <si>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</si>
  <si>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</si>
  <si>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</si>
  <si>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</si>
  <si>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</si>
  <si>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</si>
  <si>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</si>
  <si>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</si>
  <si>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</si>
  <si>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</si>
  <si>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</si>
  <si>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</si>
  <si>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</si>
  <si>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</si>
  <si>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</si>
  <si>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</si>
  <si>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</si>
  <si>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</si>
  <si>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</si>
  <si>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</si>
  <si>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</si>
  <si>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</si>
  <si>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</si>
  <si>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</si>
  <si>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</si>
  <si>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</si>
  <si>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</si>
  <si>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</si>
  <si>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</si>
  <si>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</si>
  <si>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</si>
  <si>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</si>
  <si>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</si>
  <si>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</si>
  <si>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</si>
  <si>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</si>
  <si>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</si>
  <si>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</si>
  <si>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</si>
  <si>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</si>
  <si>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</si>
  <si>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</si>
  <si>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</si>
  <si>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</si>
  <si>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</si>
  <si>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</si>
  <si>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</si>
  <si>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</si>
  <si>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</si>
  <si>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</si>
  <si>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</si>
  <si>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</si>
  <si>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</si>
  <si>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</si>
  <si>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</si>
  <si>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</si>
  <si>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</si>
  <si>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</si>
  <si>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</si>
  <si>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</si>
  <si>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</si>
  <si>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</si>
  <si>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</si>
  <si>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</si>
  <si>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</si>
  <si>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</si>
  <si>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</si>
  <si>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</si>
  <si>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</si>
  <si>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</si>
  <si>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</si>
  <si>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</si>
  <si>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</si>
  <si>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</si>
  <si>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</si>
  <si>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</si>
  <si>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</si>
  <si>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</si>
  <si>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</si>
  <si>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</si>
  <si>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</si>
  <si>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</si>
  <si>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</si>
  <si>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</si>
  <si>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</si>
  <si>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</si>
  <si>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</si>
  <si>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</si>
  <si>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</si>
  <si>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</si>
  <si>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</si>
  <si>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</si>
  <si>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</si>
  <si>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</si>
  <si>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</si>
  <si>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</si>
  <si>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</si>
  <si>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</si>
  <si>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</si>
  <si>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</si>
  <si>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</si>
  <si>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</si>
  <si>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</si>
  <si>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</si>
  <si>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</si>
  <si>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</si>
  <si>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</si>
  <si>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</si>
  <si>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</si>
  <si>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</si>
  <si>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</si>
  <si>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</si>
  <si>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</si>
  <si>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</si>
  <si>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</si>
  <si>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</si>
  <si>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</si>
  <si>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</si>
  <si>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</si>
  <si>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</si>
  <si>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</si>
  <si>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</si>
  <si>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</si>
  <si>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</si>
  <si>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</si>
  <si>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</si>
  <si>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</si>
  <si>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</si>
  <si>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</si>
  <si>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</si>
  <si>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</si>
  <si>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</si>
  <si>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</si>
  <si>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</si>
  <si>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</si>
  <si>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</si>
  <si>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</si>
  <si>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</si>
  <si>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</si>
  <si>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</si>
  <si>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</si>
  <si>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</si>
  <si>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</si>
  <si>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</si>
  <si>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</si>
  <si>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</si>
  <si>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</si>
  <si>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</si>
  <si>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</si>
  <si>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</si>
  <si>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</si>
  <si>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</si>
  <si>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</si>
  <si>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</si>
  <si>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</si>
  <si>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</si>
  <si>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</si>
  <si>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</si>
  <si>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</si>
  <si>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</si>
  <si>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</si>
  <si>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</si>
  <si>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</si>
  <si>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</si>
  <si>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</si>
  <si>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</si>
  <si>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</si>
  <si>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</si>
  <si>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</si>
  <si>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</si>
  <si>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</si>
  <si>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</si>
  <si>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</si>
  <si>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</si>
  <si>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</si>
  <si>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</si>
  <si>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</si>
  <si>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</si>
  <si>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</si>
  <si>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</si>
  <si>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</si>
  <si>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</si>
  <si>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</si>
  <si>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</si>
  <si>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</si>
  <si>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</si>
  <si>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</si>
  <si>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</si>
  <si>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</si>
  <si>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</si>
  <si>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</si>
  <si>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</si>
  <si>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</si>
  <si>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</si>
  <si>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</si>
  <si>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</si>
  <si>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</si>
  <si>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</si>
  <si>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</si>
  <si>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</si>
  <si>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</si>
  <si>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</si>
  <si>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</si>
  <si>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</si>
  <si>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</si>
  <si>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</si>
  <si>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</si>
  <si>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</si>
  <si>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</si>
  <si>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</si>
  <si>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</si>
  <si>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</si>
  <si>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</si>
  <si>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</si>
  <si>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</si>
  <si>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</si>
  <si>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</si>
  <si>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</si>
  <si>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</si>
  <si>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</si>
  <si>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</si>
  <si>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</si>
  <si>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</si>
  <si>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</si>
  <si>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</si>
  <si>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</si>
  <si>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</si>
  <si>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</si>
  <si>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</si>
  <si>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</si>
  <si>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</si>
  <si>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</si>
  <si>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</si>
  <si>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</si>
  <si>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</si>
  <si>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</si>
  <si>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</si>
  <si>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</si>
  <si>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</si>
  <si>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</si>
  <si>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</si>
  <si>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</si>
  <si>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</si>
  <si>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</si>
  <si>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</si>
  <si>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</si>
  <si>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</si>
  <si>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</si>
  <si>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</si>
  <si>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</si>
  <si>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</si>
  <si>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</si>
  <si>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</si>
  <si>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</si>
  <si>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</si>
  <si>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</si>
  <si>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</si>
  <si>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07/09</t>
  </si>
  <si>
    <t>07/39</t>
  </si>
  <si>
    <t>07/10</t>
  </si>
  <si>
    <t>08/40</t>
  </si>
  <si>
    <t>Governor Wentworth Regional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</si>
</sst>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208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3119158.93</v>
      </c>
      <c r="G9" s="18">
        <v>0</v>
      </c>
      <c r="H9" s="18">
        <v>0</v>
      </c>
      <c r="I9" s="18">
        <v>0</v>
      </c>
      <c r="J9" s="67">
        <f>SUM(I440)</f>
        <v>0</v>
      </c>
      <c r="K9" s="24" t="s">
        <v>288</v>
      </c>
      <c r="L9" s="24" t="s">
        <v>288</v>
      </c>
      <c r="M9" s="8"/>
      <c r="N9" s="266"/>
    </row>
    <row r="10" spans="1:14" s="3" customFormat="1" ht="12.2" customHeight="1" x14ac:dyDescent="0.15">
      <c r="A10" s="1" t="s">
        <v>562</v>
      </c>
      <c r="B10" s="2" t="s">
        <v>289</v>
      </c>
      <c r="C10" s="6">
        <v>2</v>
      </c>
      <c r="D10" s="2" t="s">
        <v>428</v>
      </c>
      <c r="E10" s="6">
        <v>110</v>
      </c>
      <c r="F10" s="18">
        <v>10</v>
      </c>
      <c r="G10" s="18">
        <v>0</v>
      </c>
      <c r="H10" s="18">
        <v>0</v>
      </c>
      <c r="I10" s="18">
        <v>0</v>
      </c>
      <c r="J10" s="67">
        <f>SUM(I441)</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85469.08</v>
      </c>
      <c r="G12" s="18">
        <v>30080.83</v>
      </c>
      <c r="H12" s="18">
        <v>-192671.07</v>
      </c>
      <c r="I12" s="18">
        <v>0</v>
      </c>
      <c r="J12" s="67">
        <f>SUM(I442)</f>
        <v>44108.76</v>
      </c>
      <c r="K12" s="24" t="s">
        <v>288</v>
      </c>
      <c r="L12" s="24" t="s">
        <v>288</v>
      </c>
      <c r="M12" s="8"/>
      <c r="N12" s="266"/>
    </row>
    <row r="13" spans="1:14" s="3" customFormat="1" ht="12.2" customHeight="1" x14ac:dyDescent="0.15">
      <c r="A13" s="1" t="s">
        <v>604</v>
      </c>
      <c r="B13" s="2" t="s">
        <v>289</v>
      </c>
      <c r="C13" s="6">
        <v>5</v>
      </c>
      <c r="D13" s="2" t="s">
        <v>428</v>
      </c>
      <c r="E13" s="6">
        <v>140</v>
      </c>
      <c r="F13" s="18">
        <v>1335870.3700000001</v>
      </c>
      <c r="G13" s="18">
        <v>36000.57</v>
      </c>
      <c r="H13" s="18">
        <v>258867.05</v>
      </c>
      <c r="I13" s="18">
        <v>0</v>
      </c>
      <c r="J13" s="67">
        <f>SUM(I443)</f>
        <v>1756452.19</v>
      </c>
      <c r="K13" s="24" t="s">
        <v>288</v>
      </c>
      <c r="L13" s="24" t="s">
        <v>288</v>
      </c>
      <c r="M13" s="8"/>
      <c r="N13" s="266"/>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18868.09</v>
      </c>
      <c r="G17" s="18">
        <v>0</v>
      </c>
      <c r="H17" s="18">
        <v>0</v>
      </c>
      <c r="I17" s="18">
        <v>0</v>
      </c>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4559376.4700000007</v>
      </c>
      <c r="G19" s="41">
        <f>SUM(G9:G18)</f>
        <v>66081.399999999994</v>
      </c>
      <c r="H19" s="41">
        <f>SUM(H9:H18)</f>
        <v>66195.979999999981</v>
      </c>
      <c r="I19" s="41">
        <f>SUM(I9:I18)</f>
        <v>0</v>
      </c>
      <c r="J19" s="41">
        <f>SUM(J9:J18)</f>
        <v>1800560.95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0</v>
      </c>
      <c r="G23" s="18">
        <v>1788.29</v>
      </c>
      <c r="H23" s="18">
        <v>0</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125469.1</v>
      </c>
      <c r="G24" s="18">
        <v>0</v>
      </c>
      <c r="H24" s="18">
        <v>0</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324129.48</v>
      </c>
      <c r="G28" s="18">
        <v>33312.22</v>
      </c>
      <c r="H28" s="18">
        <v>19543.189999999999</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13798.32</v>
      </c>
      <c r="G29" s="18">
        <v>0</v>
      </c>
      <c r="H29" s="18">
        <v>1226.68</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30980.89</v>
      </c>
      <c r="H30" s="18">
        <v>45426.11</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463396.89999999997</v>
      </c>
      <c r="G32" s="41">
        <f>SUM(G22:G31)</f>
        <v>66081.399999999994</v>
      </c>
      <c r="H32" s="41">
        <f>SUM(H22:H31)</f>
        <v>66195.98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18868.09</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6"/>
    </row>
    <row r="44" spans="1:14" s="3" customFormat="1" ht="12.2" customHeight="1" x14ac:dyDescent="0.15">
      <c r="A44" s="1" t="s">
        <v>837</v>
      </c>
      <c r="B44" s="6">
        <v>1</v>
      </c>
      <c r="C44" s="6">
        <v>30</v>
      </c>
      <c r="D44" s="2" t="s">
        <v>653</v>
      </c>
      <c r="E44" s="6">
        <v>755</v>
      </c>
      <c r="F44" s="18">
        <v>60000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0</v>
      </c>
      <c r="J48" s="13">
        <f>SUM(I460)</f>
        <v>1800560.95</v>
      </c>
      <c r="K48" s="24" t="s">
        <v>288</v>
      </c>
      <c r="L48" s="24" t="s">
        <v>288</v>
      </c>
      <c r="M48" s="8"/>
      <c r="N48" s="266"/>
    </row>
    <row r="49" spans="1:14" s="3" customFormat="1" ht="12.2" customHeight="1" x14ac:dyDescent="0.15">
      <c r="A49" s="1" t="s">
        <v>859</v>
      </c>
      <c r="B49" s="2" t="s">
        <v>289</v>
      </c>
      <c r="C49" s="6">
        <v>34</v>
      </c>
      <c r="D49" s="2"/>
      <c r="E49" s="6">
        <v>753</v>
      </c>
      <c r="F49" s="18">
        <v>111772.82</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v>3905338.66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4095979.5700000003</v>
      </c>
      <c r="G51" s="41">
        <f>SUM(G35:G50)</f>
        <v>0</v>
      </c>
      <c r="H51" s="41">
        <f>SUM(H35:H50)</f>
        <v>0</v>
      </c>
      <c r="I51" s="41">
        <f>SUM(I35:I50)</f>
        <v>0</v>
      </c>
      <c r="J51" s="41">
        <f>SUM(J35:J50)</f>
        <v>1800560.95</v>
      </c>
      <c r="K51" s="45" t="s">
        <v>288</v>
      </c>
      <c r="L51" s="45" t="s">
        <v>288</v>
      </c>
      <c r="N51" s="264"/>
    </row>
    <row r="52" spans="1:14" s="3" customFormat="1" ht="12.2" customHeight="1" thickTop="1" x14ac:dyDescent="0.15">
      <c r="A52" s="38" t="s">
        <v>455</v>
      </c>
      <c r="B52" s="39" t="s">
        <v>289</v>
      </c>
      <c r="C52" s="6">
        <v>37</v>
      </c>
      <c r="D52" s="39" t="s">
        <v>653</v>
      </c>
      <c r="E52" s="39"/>
      <c r="F52" s="41">
        <f>F51+F32</f>
        <v>4559376.4700000007</v>
      </c>
      <c r="G52" s="41">
        <f>G51+G32</f>
        <v>66081.399999999994</v>
      </c>
      <c r="H52" s="41">
        <f>H51+H32</f>
        <v>66195.98</v>
      </c>
      <c r="I52" s="41">
        <f>I51+I32</f>
        <v>0</v>
      </c>
      <c r="J52" s="41">
        <f>J51+J32</f>
        <v>1800560.95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32813166</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32813166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3015</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1754502.41</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177563.67</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120438.46</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2055519.5399999998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64.64</v>
      </c>
      <c r="G96" s="18">
        <v>0</v>
      </c>
      <c r="H96" s="18">
        <v>0</v>
      </c>
      <c r="I96" s="18">
        <v>0</v>
      </c>
      <c r="J96" s="18">
        <v>44809.48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293837.53000000003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4247.84</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2470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1661.34</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9504</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189288</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200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158715.6</v>
      </c>
      <c r="G110" s="18">
        <v>0</v>
      </c>
      <c r="H110" s="18">
        <v>0</v>
      </c>
      <c r="I110" s="18">
        <v>0</v>
      </c>
      <c r="J110" s="18">
        <v>30927.26</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366151.42000000004</v>
      </c>
      <c r="G111" s="41">
        <f>SUM(G96:G110)</f>
        <v>293837.53000000003</v>
      </c>
      <c r="H111" s="41">
        <f>SUM(H96:H110)</f>
        <v>0</v>
      </c>
      <c r="I111" s="41">
        <f>SUM(I96:I110)</f>
        <v>0</v>
      </c>
      <c r="J111" s="41">
        <f>SUM(J96:J110)</f>
        <v>75736.740000000005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35234836.960000001</v>
      </c>
      <c r="G112" s="41">
        <f>G60+G111</f>
        <v>293837.53000000003</v>
      </c>
      <c r="H112" s="41">
        <f>H60+H79+H94+H111</f>
        <v>0</v>
      </c>
      <c r="I112" s="41">
        <f>I60+I111</f>
        <v>0</v>
      </c>
      <c r="J112" s="41">
        <f>J60+J111</f>
        <v>75736.740000000005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4359541.46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9607372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13966913.460000001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1395341.45</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906</v>
      </c>
      <c r="B125" s="2" t="s">
        <v>321</v>
      </c>
      <c r="C125" s="6">
        <v>8</v>
      </c>
      <c r="D125" s="2" t="s">
        <v>430</v>
      </c>
      <c r="E125" s="6">
        <v>3220</v>
      </c>
      <c r="F125" s="18">
        <v>16721</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311204.53999999998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224836.73</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12536.2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757.59</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1948861.31</v>
      </c>
      <c r="G136" s="41">
        <f>SUM(G123:G135)</f>
        <v>12536.2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15915774.770000001</v>
      </c>
      <c r="G140" s="41">
        <f>G121+SUM(G136:G137)</f>
        <v>12536.2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608720.39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322625.99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99405.22</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150657.59</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411807.58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565385.98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119107.56</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119107.56</v>
      </c>
      <c r="G163" s="41">
        <f>SUM(G150:G162)</f>
        <v>411807.58</v>
      </c>
      <c r="H163" s="41">
        <f>SUM(H150:H162)</f>
        <v>1746795.17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119107.56</v>
      </c>
      <c r="G170" s="41">
        <f>G147+G163+SUM(G164:G169)</f>
        <v>411807.58</v>
      </c>
      <c r="H170" s="41">
        <f>H147+H163+SUM(H164:H169)</f>
        <v>1746795.17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27869.87</v>
      </c>
      <c r="H180" s="18">
        <v>0</v>
      </c>
      <c r="I180" s="18">
        <v>0</v>
      </c>
      <c r="J180" s="18">
        <v>60000</v>
      </c>
      <c r="K180" s="24" t="s">
        <v>288</v>
      </c>
      <c r="L180" s="24" t="s">
        <v>288</v>
      </c>
      <c r="M180" s="8"/>
      <c r="N180" s="266"/>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6"/>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6"/>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27869.87</v>
      </c>
      <c r="H184" s="41">
        <f>SUM(H180:H183)</f>
        <v>0</v>
      </c>
      <c r="I184" s="41">
        <f>SUM(I180:I183)</f>
        <v>0</v>
      </c>
      <c r="J184" s="41">
        <f>SUM(J180:J183)</f>
        <v>60000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6"/>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4"/>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27869.87</v>
      </c>
      <c r="H193" s="41">
        <f>+H184+SUM(H189:H192)</f>
        <v>0</v>
      </c>
      <c r="I193" s="41">
        <f>I178+I184+SUM(I189:I192)</f>
        <v>0</v>
      </c>
      <c r="J193" s="41">
        <f>J184</f>
        <v>60000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51269719.290000007</v>
      </c>
      <c r="G194" s="47">
        <f>G112+G140+G170+G193</f>
        <v>746051.18</v>
      </c>
      <c r="H194" s="47">
        <f>H112+H140+H170+H193</f>
        <v>1746795.17</v>
      </c>
      <c r="I194" s="47">
        <f>I112+I140+I170+I193</f>
        <v>0</v>
      </c>
      <c r="J194" s="47">
        <f>J112+J140+J193</f>
        <v>135736.74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6162489.4400000004</v>
      </c>
      <c r="G198" s="18">
        <v>3084332.55</v>
      </c>
      <c r="H198" s="18">
        <v>2749.98</v>
      </c>
      <c r="I198" s="18">
        <v>194860.42</v>
      </c>
      <c r="J198" s="18">
        <v>201846.98</v>
      </c>
      <c r="K198" s="18">
        <v>0</v>
      </c>
      <c r="L198" s="19">
        <f>SUM(F198:K198)</f>
        <v>9646279.370000001</v>
      </c>
      <c r="M198" s="8"/>
      <c r="N198" s="266"/>
    </row>
    <row r="199" spans="1:14" s="3" customFormat="1" ht="12.2" customHeight="1" x14ac:dyDescent="0.15">
      <c r="A199" s="1" t="s">
        <v>439</v>
      </c>
      <c r="B199" s="2" t="s">
        <v>341</v>
      </c>
      <c r="C199" s="2" t="s">
        <v>291</v>
      </c>
      <c r="D199" s="2" t="s">
        <v>431</v>
      </c>
      <c r="E199" s="6">
        <v>1200</v>
      </c>
      <c r="F199" s="18">
        <v>3030697.67</v>
      </c>
      <c r="G199" s="18">
        <v>1342206.9</v>
      </c>
      <c r="H199" s="18">
        <v>716420.13</v>
      </c>
      <c r="I199" s="18">
        <v>17711.87</v>
      </c>
      <c r="J199" s="18">
        <v>1942.67</v>
      </c>
      <c r="K199" s="18">
        <v>677.5</v>
      </c>
      <c r="L199" s="19">
        <f>SUM(F199:K199)</f>
        <v>5109656.74</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14537.93</v>
      </c>
      <c r="G201" s="18">
        <v>2907.03</v>
      </c>
      <c r="H201" s="18">
        <v>0</v>
      </c>
      <c r="I201" s="18">
        <v>0</v>
      </c>
      <c r="J201" s="18">
        <v>0</v>
      </c>
      <c r="K201" s="18">
        <v>0</v>
      </c>
      <c r="L201" s="19">
        <f>SUM(F201:K201)</f>
        <v>17444.96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537093.73</v>
      </c>
      <c r="G203" s="18">
        <v>308707.09000000003</v>
      </c>
      <c r="H203" s="18">
        <v>182500.3</v>
      </c>
      <c r="I203" s="18">
        <v>6597.96</v>
      </c>
      <c r="J203" s="18">
        <v>601.76</v>
      </c>
      <c r="K203" s="18">
        <v>0</v>
      </c>
      <c r="L203" s="19">
        <f t="shared" ref="L203:L209" si="0">SUM(F203:K203)</f>
        <v>1035500.8400000001</v>
      </c>
      <c r="M203" s="8"/>
      <c r="N203" s="266"/>
    </row>
    <row r="204" spans="1:14" s="3" customFormat="1" ht="12.2" customHeight="1" x14ac:dyDescent="0.15">
      <c r="A204" s="1" t="s">
        <v>443</v>
      </c>
      <c r="B204" s="2" t="s">
        <v>341</v>
      </c>
      <c r="C204" s="2" t="s">
        <v>295</v>
      </c>
      <c r="D204" s="2" t="s">
        <v>431</v>
      </c>
      <c r="E204" s="6">
        <v>2200</v>
      </c>
      <c r="F204" s="18">
        <v>478889.33</v>
      </c>
      <c r="G204" s="18">
        <v>306074.28999999998</v>
      </c>
      <c r="H204" s="18">
        <v>122449.17</v>
      </c>
      <c r="I204" s="18">
        <v>93218.8</v>
      </c>
      <c r="J204" s="18">
        <v>123373.35</v>
      </c>
      <c r="K204" s="18">
        <v>72</v>
      </c>
      <c r="L204" s="19">
        <f t="shared" si="0"/>
        <v>1124076.9400000002</v>
      </c>
      <c r="M204" s="8"/>
      <c r="N204" s="266"/>
    </row>
    <row r="205" spans="1:14" s="3" customFormat="1" ht="12.2" customHeight="1" x14ac:dyDescent="0.15">
      <c r="A205" s="1" t="s">
        <v>444</v>
      </c>
      <c r="B205" s="2" t="s">
        <v>341</v>
      </c>
      <c r="C205" s="2" t="s">
        <v>296</v>
      </c>
      <c r="D205" s="2" t="s">
        <v>431</v>
      </c>
      <c r="E205" s="6">
        <v>2300</v>
      </c>
      <c r="F205" s="18">
        <v>298819.56</v>
      </c>
      <c r="G205" s="18">
        <v>125738.08</v>
      </c>
      <c r="H205" s="18">
        <v>40698.519999999997</v>
      </c>
      <c r="I205" s="18">
        <v>16331.28</v>
      </c>
      <c r="J205" s="18">
        <v>126.34</v>
      </c>
      <c r="K205" s="18">
        <v>4395.3</v>
      </c>
      <c r="L205" s="19">
        <f t="shared" si="0"/>
        <v>486109.08000000007</v>
      </c>
      <c r="M205" s="8"/>
      <c r="N205" s="266"/>
    </row>
    <row r="206" spans="1:14" s="3" customFormat="1" ht="12.2" customHeight="1" x14ac:dyDescent="0.15">
      <c r="A206" s="1" t="s">
        <v>445</v>
      </c>
      <c r="B206" s="2" t="s">
        <v>341</v>
      </c>
      <c r="C206" s="2" t="s">
        <v>297</v>
      </c>
      <c r="D206" s="2" t="s">
        <v>431</v>
      </c>
      <c r="E206" s="6">
        <v>2400</v>
      </c>
      <c r="F206" s="18">
        <v>803442.03</v>
      </c>
      <c r="G206" s="18">
        <v>448238.36</v>
      </c>
      <c r="H206" s="18">
        <v>141579.12</v>
      </c>
      <c r="I206" s="18">
        <v>7544.13</v>
      </c>
      <c r="J206" s="18">
        <v>880.46</v>
      </c>
      <c r="K206" s="18">
        <v>794</v>
      </c>
      <c r="L206" s="19">
        <f t="shared" si="0"/>
        <v>1402478.1</v>
      </c>
      <c r="M206" s="8"/>
      <c r="N206" s="266"/>
    </row>
    <row r="207" spans="1:14" s="3" customFormat="1" ht="12.2" customHeight="1" x14ac:dyDescent="0.15">
      <c r="A207" s="1" t="s">
        <v>446</v>
      </c>
      <c r="B207" s="2" t="s">
        <v>341</v>
      </c>
      <c r="C207" s="2" t="s">
        <v>298</v>
      </c>
      <c r="D207" s="2" t="s">
        <v>431</v>
      </c>
      <c r="E207" s="6">
        <v>2500</v>
      </c>
      <c r="F207" s="18">
        <v>154805.34</v>
      </c>
      <c r="G207" s="18">
        <v>73037.240000000005</v>
      </c>
      <c r="H207" s="18">
        <v>14255.19</v>
      </c>
      <c r="I207" s="18">
        <v>11107.25</v>
      </c>
      <c r="J207" s="18">
        <v>666.33</v>
      </c>
      <c r="K207" s="18">
        <v>6378.27</v>
      </c>
      <c r="L207" s="19">
        <f t="shared" si="0"/>
        <v>260249.62</v>
      </c>
      <c r="M207" s="8"/>
      <c r="N207" s="266"/>
    </row>
    <row r="208" spans="1:14" s="3" customFormat="1" ht="12.2" customHeight="1" x14ac:dyDescent="0.15">
      <c r="A208" s="1" t="s">
        <v>447</v>
      </c>
      <c r="B208" s="2" t="s">
        <v>341</v>
      </c>
      <c r="C208" s="2" t="s">
        <v>299</v>
      </c>
      <c r="D208" s="2" t="s">
        <v>431</v>
      </c>
      <c r="E208" s="6">
        <v>2600</v>
      </c>
      <c r="F208" s="18">
        <v>659962.02</v>
      </c>
      <c r="G208" s="18">
        <v>350296.03</v>
      </c>
      <c r="H208" s="18">
        <v>542624.67000000004</v>
      </c>
      <c r="I208" s="18">
        <v>335697.33</v>
      </c>
      <c r="J208" s="18">
        <v>53585.09</v>
      </c>
      <c r="K208" s="18">
        <v>0</v>
      </c>
      <c r="L208" s="19">
        <f t="shared" si="0"/>
        <v>1942165.1400000004</v>
      </c>
      <c r="M208" s="8"/>
      <c r="N208" s="266"/>
    </row>
    <row r="209" spans="1:14" s="3" customFormat="1" ht="12.2" customHeight="1" x14ac:dyDescent="0.15">
      <c r="A209" s="1" t="s">
        <v>448</v>
      </c>
      <c r="B209" s="2" t="s">
        <v>341</v>
      </c>
      <c r="C209" s="2" t="s">
        <v>300</v>
      </c>
      <c r="D209" s="2" t="s">
        <v>431</v>
      </c>
      <c r="E209" s="6">
        <v>2700</v>
      </c>
      <c r="F209" s="18">
        <v>890930.77</v>
      </c>
      <c r="G209" s="18">
        <v>316724.51</v>
      </c>
      <c r="H209" s="18">
        <v>95520.23</v>
      </c>
      <c r="I209" s="18">
        <v>83150.990000000005</v>
      </c>
      <c r="J209" s="18">
        <v>151198.48000000001</v>
      </c>
      <c r="K209" s="18">
        <v>0</v>
      </c>
      <c r="L209" s="19">
        <f t="shared" si="0"/>
        <v>1537524.98</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13031667.819999998</v>
      </c>
      <c r="G212" s="41">
        <f t="shared" si="1"/>
        <v>6358262.0800000001</v>
      </c>
      <c r="H212" s="41">
        <f t="shared" si="1"/>
        <v>1858797.3099999996</v>
      </c>
      <c r="I212" s="41">
        <f t="shared" si="1"/>
        <v>766220.03</v>
      </c>
      <c r="J212" s="41">
        <f t="shared" si="1"/>
        <v>534221.46000000008</v>
      </c>
      <c r="K212" s="41">
        <f t="shared" si="1"/>
        <v>12317.07</v>
      </c>
      <c r="L212" s="41">
        <f t="shared" si="1"/>
        <v>22561485.770000003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2307450.52</v>
      </c>
      <c r="G216" s="18">
        <v>1452756.3</v>
      </c>
      <c r="H216" s="18">
        <v>17598.3</v>
      </c>
      <c r="I216" s="18">
        <v>81069.94</v>
      </c>
      <c r="J216" s="18">
        <v>93270.85</v>
      </c>
      <c r="K216" s="18">
        <v>0</v>
      </c>
      <c r="L216" s="19">
        <f>SUM(F216:K216)</f>
        <v>3952145.91</v>
      </c>
      <c r="M216" s="8"/>
      <c r="N216" s="266"/>
    </row>
    <row r="217" spans="1:14" s="3" customFormat="1" ht="12.2" customHeight="1" x14ac:dyDescent="0.15">
      <c r="A217" s="1" t="s">
        <v>439</v>
      </c>
      <c r="B217" s="2" t="s">
        <v>346</v>
      </c>
      <c r="C217" s="2" t="s">
        <v>291</v>
      </c>
      <c r="D217" s="2" t="s">
        <v>431</v>
      </c>
      <c r="E217" s="6">
        <v>1200</v>
      </c>
      <c r="F217" s="18">
        <v>746093.72</v>
      </c>
      <c r="G217" s="18">
        <v>420730.02</v>
      </c>
      <c r="H217" s="18">
        <v>92874.75</v>
      </c>
      <c r="I217" s="18">
        <v>5258.01</v>
      </c>
      <c r="J217" s="18">
        <v>3607.4</v>
      </c>
      <c r="K217" s="18">
        <v>271</v>
      </c>
      <c r="L217" s="19">
        <f>SUM(F217:K217)</f>
        <v>1268834.8999999999</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62167.26</v>
      </c>
      <c r="G219" s="18">
        <v>10104.370000000001</v>
      </c>
      <c r="H219" s="18">
        <v>20826</v>
      </c>
      <c r="I219" s="18">
        <v>5644.52</v>
      </c>
      <c r="J219" s="18">
        <v>27732.01</v>
      </c>
      <c r="K219" s="18">
        <v>0</v>
      </c>
      <c r="L219" s="19">
        <f>SUM(F219:K219)</f>
        <v>126474.16</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129674.61</v>
      </c>
      <c r="G221" s="18">
        <v>103573.96</v>
      </c>
      <c r="H221" s="18">
        <v>70815.73</v>
      </c>
      <c r="I221" s="18">
        <v>2233.4499999999998</v>
      </c>
      <c r="J221" s="18">
        <v>2834.02</v>
      </c>
      <c r="K221" s="18">
        <v>100</v>
      </c>
      <c r="L221" s="19">
        <f t="shared" ref="L221:L227" si="2">SUM(F221:K221)</f>
        <v>309231.77</v>
      </c>
      <c r="M221" s="8"/>
      <c r="N221" s="266"/>
    </row>
    <row r="222" spans="1:14" s="3" customFormat="1" ht="12.2" customHeight="1" x14ac:dyDescent="0.15">
      <c r="A222" s="1" t="s">
        <v>443</v>
      </c>
      <c r="B222" s="2" t="s">
        <v>346</v>
      </c>
      <c r="C222" s="2" t="s">
        <v>295</v>
      </c>
      <c r="D222" s="2" t="s">
        <v>431</v>
      </c>
      <c r="E222" s="6">
        <v>2200</v>
      </c>
      <c r="F222" s="18">
        <v>102170.67</v>
      </c>
      <c r="G222" s="18">
        <v>102649.87</v>
      </c>
      <c r="H222" s="18">
        <v>18283.79</v>
      </c>
      <c r="I222" s="18">
        <v>42006.2</v>
      </c>
      <c r="J222" s="18">
        <v>56815.47</v>
      </c>
      <c r="K222" s="18">
        <v>84</v>
      </c>
      <c r="L222" s="19">
        <f t="shared" si="2"/>
        <v>322010</v>
      </c>
      <c r="M222" s="8"/>
      <c r="N222" s="266"/>
    </row>
    <row r="223" spans="1:14" s="3" customFormat="1" ht="12.2" customHeight="1" x14ac:dyDescent="0.15">
      <c r="A223" s="1" t="s">
        <v>444</v>
      </c>
      <c r="B223" s="2" t="s">
        <v>346</v>
      </c>
      <c r="C223" s="2" t="s">
        <v>296</v>
      </c>
      <c r="D223" s="2" t="s">
        <v>431</v>
      </c>
      <c r="E223" s="6">
        <v>2300</v>
      </c>
      <c r="F223" s="18">
        <v>83188.97</v>
      </c>
      <c r="G223" s="18">
        <v>41500.57</v>
      </c>
      <c r="H223" s="18">
        <v>15683.77</v>
      </c>
      <c r="I223" s="18">
        <v>6532.51</v>
      </c>
      <c r="J223" s="18">
        <v>50.53</v>
      </c>
      <c r="K223" s="18">
        <v>1758.12</v>
      </c>
      <c r="L223" s="19">
        <f t="shared" si="2"/>
        <v>148714.47</v>
      </c>
      <c r="M223" s="8"/>
      <c r="N223" s="266"/>
    </row>
    <row r="224" spans="1:14" s="3" customFormat="1" ht="12.2" customHeight="1" x14ac:dyDescent="0.15">
      <c r="A224" s="1" t="s">
        <v>445</v>
      </c>
      <c r="B224" s="2" t="s">
        <v>346</v>
      </c>
      <c r="C224" s="2" t="s">
        <v>297</v>
      </c>
      <c r="D224" s="2" t="s">
        <v>431</v>
      </c>
      <c r="E224" s="6">
        <v>2400</v>
      </c>
      <c r="F224" s="18">
        <v>300496.65000000002</v>
      </c>
      <c r="G224" s="18">
        <v>156152.09</v>
      </c>
      <c r="H224" s="18">
        <v>36121.93</v>
      </c>
      <c r="I224" s="18">
        <v>628.86</v>
      </c>
      <c r="J224" s="18">
        <v>2349.35</v>
      </c>
      <c r="K224" s="18">
        <v>910</v>
      </c>
      <c r="L224" s="19">
        <f t="shared" si="2"/>
        <v>496658.87999999995</v>
      </c>
      <c r="M224" s="8"/>
      <c r="N224" s="266"/>
    </row>
    <row r="225" spans="1:14" s="3" customFormat="1" ht="12.2" customHeight="1" x14ac:dyDescent="0.15">
      <c r="A225" s="1" t="s">
        <v>446</v>
      </c>
      <c r="B225" s="2" t="s">
        <v>346</v>
      </c>
      <c r="C225" s="2" t="s">
        <v>298</v>
      </c>
      <c r="D225" s="2" t="s">
        <v>431</v>
      </c>
      <c r="E225" s="6">
        <v>2500</v>
      </c>
      <c r="F225" s="18">
        <v>51953.49</v>
      </c>
      <c r="G225" s="18">
        <v>26192.11</v>
      </c>
      <c r="H225" s="18">
        <v>5702.08</v>
      </c>
      <c r="I225" s="18">
        <v>4442.8900000000003</v>
      </c>
      <c r="J225" s="18">
        <v>266.52999999999997</v>
      </c>
      <c r="K225" s="18">
        <v>2551.31</v>
      </c>
      <c r="L225" s="19">
        <f t="shared" si="2"/>
        <v>91108.41</v>
      </c>
      <c r="M225" s="8"/>
      <c r="N225" s="266"/>
    </row>
    <row r="226" spans="1:14" s="3" customFormat="1" ht="12.2" customHeight="1" x14ac:dyDescent="0.15">
      <c r="A226" s="1" t="s">
        <v>447</v>
      </c>
      <c r="B226" s="2" t="s">
        <v>346</v>
      </c>
      <c r="C226" s="2" t="s">
        <v>299</v>
      </c>
      <c r="D226" s="2" t="s">
        <v>431</v>
      </c>
      <c r="E226" s="6">
        <v>2600</v>
      </c>
      <c r="F226" s="18">
        <v>157909</v>
      </c>
      <c r="G226" s="18">
        <v>114091.33</v>
      </c>
      <c r="H226" s="18">
        <v>115658.71</v>
      </c>
      <c r="I226" s="18">
        <v>121553.22</v>
      </c>
      <c r="J226" s="18">
        <v>2609.1999999999998</v>
      </c>
      <c r="K226" s="18">
        <v>0</v>
      </c>
      <c r="L226" s="19">
        <f t="shared" si="2"/>
        <v>511821.46</v>
      </c>
      <c r="M226" s="8"/>
      <c r="N226" s="266"/>
    </row>
    <row r="227" spans="1:14" s="3" customFormat="1" ht="12.2" customHeight="1" x14ac:dyDescent="0.15">
      <c r="A227" s="1" t="s">
        <v>448</v>
      </c>
      <c r="B227" s="2" t="s">
        <v>346</v>
      </c>
      <c r="C227" s="2" t="s">
        <v>300</v>
      </c>
      <c r="D227" s="2" t="s">
        <v>431</v>
      </c>
      <c r="E227" s="6">
        <v>2700</v>
      </c>
      <c r="F227" s="18">
        <v>54705.37</v>
      </c>
      <c r="G227" s="18">
        <v>117558.25</v>
      </c>
      <c r="H227" s="18">
        <v>38208.089999999997</v>
      </c>
      <c r="I227" s="18">
        <v>41033.26</v>
      </c>
      <c r="J227" s="18">
        <v>60479.4</v>
      </c>
      <c r="K227" s="18">
        <v>0</v>
      </c>
      <c r="L227" s="19">
        <f t="shared" si="2"/>
        <v>311984.37</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3995810.2600000002</v>
      </c>
      <c r="G230" s="41">
        <f>SUM(G216:G229)</f>
        <v>2545308.8699999996</v>
      </c>
      <c r="H230" s="41">
        <f>SUM(H216:H229)</f>
        <v>431773.15</v>
      </c>
      <c r="I230" s="41">
        <f>SUM(I216:I229)</f>
        <v>310402.86</v>
      </c>
      <c r="J230" s="41">
        <f>SUM(J216:J229)</f>
        <v>250014.76</v>
      </c>
      <c r="K230" s="41">
        <f t="shared" si="3"/>
        <v>5674.43</v>
      </c>
      <c r="L230" s="41">
        <f t="shared" si="3"/>
        <v>7538984.3300000001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3417513.92</v>
      </c>
      <c r="G234" s="18">
        <v>2338447.34</v>
      </c>
      <c r="H234" s="18">
        <v>215909.71</v>
      </c>
      <c r="I234" s="18">
        <v>133638.32</v>
      </c>
      <c r="J234" s="18">
        <v>111802.23</v>
      </c>
      <c r="K234" s="18">
        <v>0</v>
      </c>
      <c r="L234" s="19">
        <f>SUM(F234:K234)</f>
        <v>6217311.5200000005</v>
      </c>
      <c r="M234" s="8"/>
      <c r="N234" s="266"/>
    </row>
    <row r="235" spans="1:14" s="3" customFormat="1" ht="12.2" customHeight="1" x14ac:dyDescent="0.15">
      <c r="A235" s="1" t="s">
        <v>439</v>
      </c>
      <c r="B235" s="2" t="s">
        <v>350</v>
      </c>
      <c r="C235" s="2" t="s">
        <v>291</v>
      </c>
      <c r="D235" s="2" t="s">
        <v>431</v>
      </c>
      <c r="E235" s="6">
        <v>1200</v>
      </c>
      <c r="F235" s="18">
        <v>835545.04</v>
      </c>
      <c r="G235" s="18">
        <v>691743.85</v>
      </c>
      <c r="H235" s="18">
        <v>558757.25</v>
      </c>
      <c r="I235" s="18">
        <v>6009.99</v>
      </c>
      <c r="J235" s="18">
        <v>1614.92</v>
      </c>
      <c r="K235" s="18">
        <v>406.5</v>
      </c>
      <c r="L235" s="19">
        <f>SUM(F235:K235)</f>
        <v>2094077.55</v>
      </c>
      <c r="M235" s="8"/>
      <c r="N235" s="266"/>
    </row>
    <row r="236" spans="1:14" s="3" customFormat="1" ht="12.2" customHeight="1" x14ac:dyDescent="0.15">
      <c r="A236" s="1" t="s">
        <v>440</v>
      </c>
      <c r="B236" s="2" t="s">
        <v>350</v>
      </c>
      <c r="C236" s="2" t="s">
        <v>292</v>
      </c>
      <c r="D236" s="2" t="s">
        <v>431</v>
      </c>
      <c r="E236" s="6">
        <v>1300</v>
      </c>
      <c r="F236" s="18">
        <v>986637.21</v>
      </c>
      <c r="G236" s="18">
        <v>476341.72</v>
      </c>
      <c r="H236" s="18">
        <v>12864.9</v>
      </c>
      <c r="I236" s="18">
        <v>28246.12</v>
      </c>
      <c r="J236" s="18">
        <v>29936.19</v>
      </c>
      <c r="K236" s="18">
        <v>560</v>
      </c>
      <c r="L236" s="19">
        <f>SUM(F236:K236)</f>
        <v>1534586.14</v>
      </c>
      <c r="M236" s="8"/>
      <c r="N236" s="266"/>
    </row>
    <row r="237" spans="1:14" s="3" customFormat="1" ht="12.2" customHeight="1" x14ac:dyDescent="0.15">
      <c r="A237" s="1" t="s">
        <v>441</v>
      </c>
      <c r="B237" s="2" t="s">
        <v>350</v>
      </c>
      <c r="C237" s="2" t="s">
        <v>293</v>
      </c>
      <c r="D237" s="2" t="s">
        <v>431</v>
      </c>
      <c r="E237" s="6">
        <v>1400</v>
      </c>
      <c r="F237" s="18">
        <v>350295.27</v>
      </c>
      <c r="G237" s="18">
        <v>63322.16</v>
      </c>
      <c r="H237" s="18">
        <v>126326.78</v>
      </c>
      <c r="I237" s="18">
        <v>12067.98</v>
      </c>
      <c r="J237" s="18">
        <v>98260.79</v>
      </c>
      <c r="K237" s="18">
        <v>7822</v>
      </c>
      <c r="L237" s="19">
        <f>SUM(F237:K237)</f>
        <v>658094.9800000001</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448156.97</v>
      </c>
      <c r="G239" s="18">
        <v>241545.45</v>
      </c>
      <c r="H239" s="18">
        <v>47203.6</v>
      </c>
      <c r="I239" s="18">
        <v>4522.78</v>
      </c>
      <c r="J239" s="18">
        <v>1627.03</v>
      </c>
      <c r="K239" s="18">
        <v>87.5</v>
      </c>
      <c r="L239" s="19">
        <f t="shared" ref="L239:L245" si="4">SUM(F239:K239)</f>
        <v>743143.33</v>
      </c>
      <c r="M239" s="8"/>
      <c r="N239" s="266"/>
    </row>
    <row r="240" spans="1:14" s="3" customFormat="1" ht="12.2" customHeight="1" x14ac:dyDescent="0.15">
      <c r="A240" s="1" t="s">
        <v>443</v>
      </c>
      <c r="B240" s="2" t="s">
        <v>350</v>
      </c>
      <c r="C240" s="2" t="s">
        <v>295</v>
      </c>
      <c r="D240" s="2" t="s">
        <v>431</v>
      </c>
      <c r="E240" s="6">
        <v>2200</v>
      </c>
      <c r="F240" s="18">
        <v>220547.75</v>
      </c>
      <c r="G240" s="18">
        <v>179979.51</v>
      </c>
      <c r="H240" s="18">
        <v>27363.200000000001</v>
      </c>
      <c r="I240" s="18">
        <v>63801.33</v>
      </c>
      <c r="J240" s="18">
        <v>92056.58</v>
      </c>
      <c r="K240" s="18">
        <v>438</v>
      </c>
      <c r="L240" s="19">
        <f t="shared" si="4"/>
        <v>584186.37</v>
      </c>
      <c r="M240" s="8"/>
      <c r="N240" s="266"/>
    </row>
    <row r="241" spans="1:14" s="3" customFormat="1" ht="12.2" customHeight="1" x14ac:dyDescent="0.15">
      <c r="A241" s="1" t="s">
        <v>444</v>
      </c>
      <c r="B241" s="2" t="s">
        <v>350</v>
      </c>
      <c r="C241" s="2" t="s">
        <v>296</v>
      </c>
      <c r="D241" s="2" t="s">
        <v>431</v>
      </c>
      <c r="E241" s="6">
        <v>2300</v>
      </c>
      <c r="F241" s="18">
        <v>159839.29999999999</v>
      </c>
      <c r="G241" s="18">
        <v>78693.36</v>
      </c>
      <c r="H241" s="18">
        <v>23525.65</v>
      </c>
      <c r="I241" s="18">
        <v>9798.77</v>
      </c>
      <c r="J241" s="18">
        <v>75.8</v>
      </c>
      <c r="K241" s="18">
        <v>2637.18</v>
      </c>
      <c r="L241" s="19">
        <f t="shared" si="4"/>
        <v>274570.05999999994</v>
      </c>
      <c r="M241" s="8"/>
      <c r="N241" s="266"/>
    </row>
    <row r="242" spans="1:14" s="3" customFormat="1" ht="12.2" customHeight="1" x14ac:dyDescent="0.15">
      <c r="A242" s="1" t="s">
        <v>445</v>
      </c>
      <c r="B242" s="2" t="s">
        <v>350</v>
      </c>
      <c r="C242" s="2" t="s">
        <v>297</v>
      </c>
      <c r="D242" s="2" t="s">
        <v>431</v>
      </c>
      <c r="E242" s="6">
        <v>2400</v>
      </c>
      <c r="F242" s="18">
        <v>427088.34</v>
      </c>
      <c r="G242" s="18">
        <v>273044.24</v>
      </c>
      <c r="H242" s="18">
        <v>82388.69</v>
      </c>
      <c r="I242" s="18">
        <v>15462.31</v>
      </c>
      <c r="J242" s="18">
        <v>0</v>
      </c>
      <c r="K242" s="18">
        <v>1620</v>
      </c>
      <c r="L242" s="19">
        <f t="shared" si="4"/>
        <v>799603.58000000007</v>
      </c>
      <c r="M242" s="8"/>
      <c r="N242" s="266"/>
    </row>
    <row r="243" spans="1:14" s="3" customFormat="1" ht="12.2" customHeight="1" x14ac:dyDescent="0.15">
      <c r="A243" s="1" t="s">
        <v>446</v>
      </c>
      <c r="B243" s="2" t="s">
        <v>350</v>
      </c>
      <c r="C243" s="2" t="s">
        <v>298</v>
      </c>
      <c r="D243" s="2" t="s">
        <v>431</v>
      </c>
      <c r="E243" s="6">
        <v>2500</v>
      </c>
      <c r="F243" s="18">
        <v>100851.09</v>
      </c>
      <c r="G243" s="18">
        <v>50515.67</v>
      </c>
      <c r="H243" s="18">
        <v>8553.1200000000008</v>
      </c>
      <c r="I243" s="18">
        <v>9874.34</v>
      </c>
      <c r="J243" s="18">
        <v>399.8</v>
      </c>
      <c r="K243" s="18">
        <v>3826.96</v>
      </c>
      <c r="L243" s="19">
        <f t="shared" si="4"/>
        <v>174020.97999999998</v>
      </c>
      <c r="M243" s="8"/>
      <c r="N243" s="266"/>
    </row>
    <row r="244" spans="1:14" s="3" customFormat="1" ht="12.2" customHeight="1" x14ac:dyDescent="0.15">
      <c r="A244" s="1" t="s">
        <v>447</v>
      </c>
      <c r="B244" s="2" t="s">
        <v>350</v>
      </c>
      <c r="C244" s="2" t="s">
        <v>299</v>
      </c>
      <c r="D244" s="2" t="s">
        <v>431</v>
      </c>
      <c r="E244" s="6">
        <v>2600</v>
      </c>
      <c r="F244" s="18">
        <v>404422.76</v>
      </c>
      <c r="G244" s="18">
        <v>234587.18</v>
      </c>
      <c r="H244" s="18">
        <v>390311.43</v>
      </c>
      <c r="I244" s="18">
        <v>285025.59000000003</v>
      </c>
      <c r="J244" s="18">
        <v>8697.57</v>
      </c>
      <c r="K244" s="18">
        <v>0</v>
      </c>
      <c r="L244" s="19">
        <f t="shared" si="4"/>
        <v>1323044.53</v>
      </c>
      <c r="M244" s="8"/>
      <c r="N244" s="266"/>
    </row>
    <row r="245" spans="1:14" s="3" customFormat="1" ht="12.2" customHeight="1" x14ac:dyDescent="0.15">
      <c r="A245" s="1" t="s">
        <v>448</v>
      </c>
      <c r="B245" s="2" t="s">
        <v>350</v>
      </c>
      <c r="C245" s="2" t="s">
        <v>300</v>
      </c>
      <c r="D245" s="2" t="s">
        <v>431</v>
      </c>
      <c r="E245" s="6">
        <v>2700</v>
      </c>
      <c r="F245" s="18">
        <v>123907.43</v>
      </c>
      <c r="G245" s="18">
        <v>77321.3</v>
      </c>
      <c r="H245" s="18">
        <v>62468.160000000003</v>
      </c>
      <c r="I245" s="18">
        <v>68200.679999999993</v>
      </c>
      <c r="J245" s="18">
        <v>90719.09</v>
      </c>
      <c r="K245" s="18">
        <v>0</v>
      </c>
      <c r="L245" s="19">
        <f t="shared" si="4"/>
        <v>422616.66000000003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7474805.0799999982</v>
      </c>
      <c r="G248" s="41">
        <f t="shared" si="5"/>
        <v>4705541.7799999993</v>
      </c>
      <c r="H248" s="41">
        <f t="shared" si="5"/>
        <v>1555672.49</v>
      </c>
      <c r="I248" s="41">
        <f t="shared" si="5"/>
        <v>636648.21</v>
      </c>
      <c r="J248" s="41">
        <f t="shared" si="5"/>
        <v>435190</v>
      </c>
      <c r="K248" s="41">
        <f t="shared" si="5"/>
        <v>17398.14</v>
      </c>
      <c r="L248" s="41">
        <f t="shared" si="5"/>
        <v>14825255.700000001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9544.4699999999993</v>
      </c>
      <c r="G252" s="18">
        <v>730.17</v>
      </c>
      <c r="H252" s="18">
        <v>0</v>
      </c>
      <c r="I252" s="18">
        <v>0</v>
      </c>
      <c r="J252" s="18">
        <v>0</v>
      </c>
      <c r="K252" s="18">
        <v>0</v>
      </c>
      <c r="L252" s="19">
        <f t="shared" si="6"/>
        <v>10274.64</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10057.23</v>
      </c>
      <c r="J254" s="18">
        <v>0</v>
      </c>
      <c r="K254" s="18">
        <v>0</v>
      </c>
      <c r="L254" s="19">
        <f t="shared" si="6"/>
        <v>10057.23</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200000</v>
      </c>
      <c r="K256" s="18">
        <v>0</v>
      </c>
      <c r="L256" s="19">
        <f t="shared" si="6"/>
        <v>200000</v>
      </c>
      <c r="M256" s="8"/>
      <c r="N256" s="266"/>
    </row>
    <row r="257" spans="1:14" s="3" customFormat="1" ht="12.2" customHeight="1" thickTop="1" thickBot="1" x14ac:dyDescent="0.2">
      <c r="A257" s="38" t="s">
        <v>461</v>
      </c>
      <c r="B257" s="40">
        <v>10</v>
      </c>
      <c r="C257" s="40">
        <v>7</v>
      </c>
      <c r="D257" s="39" t="s">
        <v>431</v>
      </c>
      <c r="E257" s="40"/>
      <c r="F257" s="41">
        <f t="shared" ref="F257:K257" si="7">SUM(F251:F256)</f>
        <v>9544.4699999999993</v>
      </c>
      <c r="G257" s="41">
        <f t="shared" si="7"/>
        <v>730.17</v>
      </c>
      <c r="H257" s="41">
        <f t="shared" si="7"/>
        <v>0</v>
      </c>
      <c r="I257" s="41">
        <f t="shared" si="7"/>
        <v>10057.23</v>
      </c>
      <c r="J257" s="41">
        <f t="shared" si="7"/>
        <v>200000</v>
      </c>
      <c r="K257" s="41">
        <f t="shared" si="7"/>
        <v>0</v>
      </c>
      <c r="L257" s="41">
        <f>SUM(F257:K257)</f>
        <v>220331.87</v>
      </c>
      <c r="M257" s="8"/>
      <c r="N257" s="266"/>
    </row>
    <row r="258" spans="1:14" s="3" customFormat="1" ht="12.2" customHeight="1" thickTop="1" x14ac:dyDescent="0.15">
      <c r="A258" s="38" t="s">
        <v>462</v>
      </c>
      <c r="B258" s="40">
        <v>10</v>
      </c>
      <c r="C258" s="40">
        <v>8</v>
      </c>
      <c r="D258" s="39" t="s">
        <v>431</v>
      </c>
      <c r="E258" s="40"/>
      <c r="F258" s="41">
        <f t="shared" ref="F258:L258" si="8">F212+F230+F248+F257</f>
        <v>24511827.629999995</v>
      </c>
      <c r="G258" s="41">
        <f t="shared" si="8"/>
        <v>13609842.899999999</v>
      </c>
      <c r="H258" s="41">
        <f t="shared" si="8"/>
        <v>3846242.9499999993</v>
      </c>
      <c r="I258" s="41">
        <f t="shared" si="8"/>
        <v>1723328.33</v>
      </c>
      <c r="J258" s="41">
        <f t="shared" si="8"/>
        <v>1419426.2200000002</v>
      </c>
      <c r="K258" s="41">
        <f t="shared" si="8"/>
        <v>35389.64</v>
      </c>
      <c r="L258" s="41">
        <f t="shared" si="8"/>
        <v>45146057.670000002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2405405.7599999998</v>
      </c>
      <c r="L261" s="19">
        <f>SUM(F261:K261)</f>
        <v>2405405.7599999998</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1190122.82</v>
      </c>
      <c r="L262" s="19">
        <f>SUM(F262:K262)</f>
        <v>1190122.82</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27869.87</v>
      </c>
      <c r="L264" s="19">
        <f>SUM(F264:K264)</f>
        <v>27869.87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3683398.45</v>
      </c>
      <c r="L271" s="41">
        <f t="shared" si="9"/>
        <v>3683398.45</v>
      </c>
      <c r="M271" s="8"/>
      <c r="N271" s="266"/>
    </row>
    <row r="272" spans="1:14" s="34" customFormat="1" ht="12.2" customHeight="1" thickTop="1" x14ac:dyDescent="0.2">
      <c r="A272" s="43" t="s">
        <v>464</v>
      </c>
      <c r="B272" s="40">
        <v>10</v>
      </c>
      <c r="C272" s="40">
        <v>18</v>
      </c>
      <c r="D272" s="39" t="s">
        <v>431</v>
      </c>
      <c r="E272" s="40"/>
      <c r="F272" s="42">
        <f t="shared" ref="F272:L272" si="11">F258+F271</f>
        <v>24511827.629999995</v>
      </c>
      <c r="G272" s="42">
        <f t="shared" si="11"/>
        <v>13609842.899999999</v>
      </c>
      <c r="H272" s="42">
        <f t="shared" si="11"/>
        <v>3846242.9499999993</v>
      </c>
      <c r="I272" s="42">
        <f t="shared" si="11"/>
        <v>1723328.33</v>
      </c>
      <c r="J272" s="42">
        <f t="shared" si="11"/>
        <v>1419426.2200000002</v>
      </c>
      <c r="K272" s="42">
        <f t="shared" si="11"/>
        <v>3718788.0900000003</v>
      </c>
      <c r="L272" s="42">
        <f t="shared" si="11"/>
        <v>48829456.120000005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330288.09000000003</v>
      </c>
      <c r="G277" s="18">
        <v>233344.46</v>
      </c>
      <c r="H277" s="18">
        <v>2137.39</v>
      </c>
      <c r="I277" s="18">
        <v>14928.19</v>
      </c>
      <c r="J277" s="18">
        <v>500</v>
      </c>
      <c r="K277" s="18">
        <v>0</v>
      </c>
      <c r="L277" s="19">
        <f>SUM(F277:K277)</f>
        <v>581198.13</v>
      </c>
      <c r="M277" s="8"/>
      <c r="N277" s="266"/>
    </row>
    <row r="278" spans="1:14" s="3" customFormat="1" ht="12.2" customHeight="1" x14ac:dyDescent="0.15">
      <c r="A278" s="1" t="s">
        <v>439</v>
      </c>
      <c r="B278" s="2" t="s">
        <v>357</v>
      </c>
      <c r="C278" s="2" t="s">
        <v>291</v>
      </c>
      <c r="D278" s="2" t="s">
        <v>431</v>
      </c>
      <c r="E278" s="6">
        <v>1200</v>
      </c>
      <c r="F278" s="18">
        <v>109387.94</v>
      </c>
      <c r="G278" s="18">
        <v>70482.34</v>
      </c>
      <c r="H278" s="18">
        <v>58353.5</v>
      </c>
      <c r="I278" s="18">
        <v>15202.71</v>
      </c>
      <c r="J278" s="18">
        <v>30499.360000000001</v>
      </c>
      <c r="K278" s="18">
        <v>0</v>
      </c>
      <c r="L278" s="19">
        <f>SUM(F278:K278)</f>
        <v>283925.84999999998</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15507.5</v>
      </c>
      <c r="G280" s="18">
        <v>2798.38</v>
      </c>
      <c r="H280" s="18">
        <v>0</v>
      </c>
      <c r="I280" s="18">
        <v>2513.86</v>
      </c>
      <c r="J280" s="18">
        <v>0</v>
      </c>
      <c r="K280" s="18">
        <v>0</v>
      </c>
      <c r="L280" s="19">
        <f>SUM(F280:K280)</f>
        <v>20819.740000000002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77439.44</v>
      </c>
      <c r="G283" s="18">
        <v>35152.75</v>
      </c>
      <c r="H283" s="18">
        <v>64783.34</v>
      </c>
      <c r="I283" s="18">
        <v>59333.13</v>
      </c>
      <c r="J283" s="18">
        <v>124.5</v>
      </c>
      <c r="K283" s="18">
        <v>0</v>
      </c>
      <c r="L283" s="19">
        <f t="shared" si="12"/>
        <v>236833.16</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10177.6</v>
      </c>
      <c r="I288" s="18">
        <v>0</v>
      </c>
      <c r="J288" s="18">
        <v>0</v>
      </c>
      <c r="K288" s="18">
        <v>0</v>
      </c>
      <c r="L288" s="19">
        <f t="shared" si="12"/>
        <v>10177.6</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532622.97</v>
      </c>
      <c r="G291" s="42">
        <f t="shared" si="13"/>
        <v>341777.93</v>
      </c>
      <c r="H291" s="42">
        <f t="shared" si="13"/>
        <v>135451.82999999999</v>
      </c>
      <c r="I291" s="42">
        <f t="shared" si="13"/>
        <v>91977.89</v>
      </c>
      <c r="J291" s="42">
        <f t="shared" si="13"/>
        <v>31123.86</v>
      </c>
      <c r="K291" s="42">
        <f t="shared" si="13"/>
        <v>0</v>
      </c>
      <c r="L291" s="41">
        <f t="shared" si="13"/>
        <v>1132954.48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6"/>
    </row>
    <row r="297" spans="1:14" s="3" customFormat="1" ht="12.2" customHeight="1" x14ac:dyDescent="0.15">
      <c r="A297" s="1" t="s">
        <v>439</v>
      </c>
      <c r="B297" s="2" t="s">
        <v>358</v>
      </c>
      <c r="C297" s="2" t="s">
        <v>291</v>
      </c>
      <c r="D297" s="2" t="s">
        <v>431</v>
      </c>
      <c r="E297" s="6">
        <v>1200</v>
      </c>
      <c r="F297" s="18">
        <v>43755.19</v>
      </c>
      <c r="G297" s="18">
        <v>28192.93</v>
      </c>
      <c r="H297" s="18">
        <v>23341.4</v>
      </c>
      <c r="I297" s="18">
        <v>4909.8</v>
      </c>
      <c r="J297" s="18">
        <v>12199.74</v>
      </c>
      <c r="K297" s="18">
        <v>0</v>
      </c>
      <c r="L297" s="19">
        <f>SUM(F297:K297)</f>
        <v>112399.06</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0</v>
      </c>
      <c r="G302" s="18">
        <v>0</v>
      </c>
      <c r="H302" s="18">
        <v>66.2</v>
      </c>
      <c r="I302" s="18">
        <v>79</v>
      </c>
      <c r="J302" s="18">
        <v>49.8</v>
      </c>
      <c r="K302" s="18">
        <v>0</v>
      </c>
      <c r="L302" s="19">
        <f t="shared" si="14"/>
        <v>195</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43755.19</v>
      </c>
      <c r="G310" s="42">
        <f t="shared" si="15"/>
        <v>28192.93</v>
      </c>
      <c r="H310" s="42">
        <f t="shared" si="15"/>
        <v>23407.600000000002</v>
      </c>
      <c r="I310" s="42">
        <f t="shared" si="15"/>
        <v>4988.8</v>
      </c>
      <c r="J310" s="42">
        <f t="shared" si="15"/>
        <v>12249.539999999999</v>
      </c>
      <c r="K310" s="42">
        <f t="shared" si="15"/>
        <v>0</v>
      </c>
      <c r="L310" s="41">
        <f t="shared" si="15"/>
        <v>112594.06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6"/>
    </row>
    <row r="316" spans="1:14" s="3" customFormat="1" ht="12.2" customHeight="1" x14ac:dyDescent="0.15">
      <c r="A316" s="1" t="s">
        <v>439</v>
      </c>
      <c r="B316" s="2" t="s">
        <v>359</v>
      </c>
      <c r="C316" s="2" t="s">
        <v>291</v>
      </c>
      <c r="D316" s="2" t="s">
        <v>431</v>
      </c>
      <c r="E316" s="6">
        <v>1200</v>
      </c>
      <c r="F316" s="18">
        <v>65632.75</v>
      </c>
      <c r="G316" s="18">
        <v>42289.4</v>
      </c>
      <c r="H316" s="18">
        <v>35012.1</v>
      </c>
      <c r="I316" s="18">
        <v>7364.71</v>
      </c>
      <c r="J316" s="18">
        <v>18299.62</v>
      </c>
      <c r="K316" s="18">
        <v>0</v>
      </c>
      <c r="L316" s="19">
        <f>SUM(F316:K316)</f>
        <v>168598.58</v>
      </c>
      <c r="M316" s="8"/>
      <c r="N316" s="266"/>
    </row>
    <row r="317" spans="1:14" s="3" customFormat="1" ht="12.2" customHeight="1" x14ac:dyDescent="0.15">
      <c r="A317" s="1" t="s">
        <v>440</v>
      </c>
      <c r="B317" s="2" t="s">
        <v>359</v>
      </c>
      <c r="C317" s="2" t="s">
        <v>292</v>
      </c>
      <c r="D317" s="2" t="s">
        <v>431</v>
      </c>
      <c r="E317" s="6">
        <v>1300</v>
      </c>
      <c r="F317" s="18">
        <v>22730.75</v>
      </c>
      <c r="G317" s="18">
        <v>5097.8</v>
      </c>
      <c r="H317" s="18">
        <v>2061.61</v>
      </c>
      <c r="I317" s="18">
        <v>0</v>
      </c>
      <c r="J317" s="18">
        <v>63696.02</v>
      </c>
      <c r="K317" s="18">
        <v>5819.04</v>
      </c>
      <c r="L317" s="19">
        <f>SUM(F317:K317)</f>
        <v>99405.219999999987</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20508.8</v>
      </c>
      <c r="G321" s="18">
        <v>1862.94</v>
      </c>
      <c r="H321" s="18">
        <v>99.3</v>
      </c>
      <c r="I321" s="18">
        <v>118.5</v>
      </c>
      <c r="J321" s="18">
        <v>74.7</v>
      </c>
      <c r="K321" s="18">
        <v>0</v>
      </c>
      <c r="L321" s="19">
        <f t="shared" si="16"/>
        <v>22664.239999999998</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46968</v>
      </c>
      <c r="G323" s="18">
        <v>36498.42</v>
      </c>
      <c r="H323" s="18">
        <v>151.80000000000001</v>
      </c>
      <c r="I323" s="18">
        <v>0</v>
      </c>
      <c r="J323" s="18">
        <v>0</v>
      </c>
      <c r="K323" s="18">
        <v>0</v>
      </c>
      <c r="L323" s="19">
        <f t="shared" si="16"/>
        <v>83618.22</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155840.29999999999</v>
      </c>
      <c r="G329" s="42">
        <f t="shared" si="17"/>
        <v>85748.56</v>
      </c>
      <c r="H329" s="42">
        <f t="shared" si="17"/>
        <v>37324.810000000005</v>
      </c>
      <c r="I329" s="42">
        <f t="shared" si="17"/>
        <v>7483.21</v>
      </c>
      <c r="J329" s="42">
        <f t="shared" si="17"/>
        <v>82070.34</v>
      </c>
      <c r="K329" s="42">
        <f t="shared" si="17"/>
        <v>5819.04</v>
      </c>
      <c r="L329" s="41">
        <f t="shared" si="17"/>
        <v>374286.26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10653</v>
      </c>
      <c r="G334" s="18">
        <v>1397.23</v>
      </c>
      <c r="H334" s="18">
        <v>20774.28</v>
      </c>
      <c r="I334" s="18">
        <v>7859.83</v>
      </c>
      <c r="J334" s="18">
        <v>2099.9699999999998</v>
      </c>
      <c r="K334" s="18">
        <v>125</v>
      </c>
      <c r="L334" s="19">
        <f t="shared" si="18"/>
        <v>42909.31</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39524.339999999997</v>
      </c>
      <c r="G336" s="18">
        <v>42768.4</v>
      </c>
      <c r="H336" s="18">
        <v>0</v>
      </c>
      <c r="I336" s="18">
        <v>0</v>
      </c>
      <c r="J336" s="18">
        <v>0</v>
      </c>
      <c r="K336" s="18">
        <v>0</v>
      </c>
      <c r="L336" s="19">
        <f t="shared" si="18"/>
        <v>82292.739999999991</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50177.34</v>
      </c>
      <c r="G338" s="41">
        <f t="shared" si="19"/>
        <v>44165.630000000005</v>
      </c>
      <c r="H338" s="41">
        <f t="shared" si="19"/>
        <v>20774.28</v>
      </c>
      <c r="I338" s="41">
        <f t="shared" si="19"/>
        <v>7859.83</v>
      </c>
      <c r="J338" s="41">
        <f t="shared" si="19"/>
        <v>2099.9699999999998</v>
      </c>
      <c r="K338" s="41">
        <f t="shared" si="19"/>
        <v>125</v>
      </c>
      <c r="L338" s="41">
        <f t="shared" si="18"/>
        <v>125202.05</v>
      </c>
      <c r="M338" s="8"/>
      <c r="N338" s="266"/>
    </row>
    <row r="339" spans="1:43" s="3" customFormat="1" ht="12.2" customHeight="1" thickTop="1" x14ac:dyDescent="0.15">
      <c r="A339" s="38" t="s">
        <v>468</v>
      </c>
      <c r="B339" s="40">
        <v>14</v>
      </c>
      <c r="C339" s="40">
        <v>7</v>
      </c>
      <c r="D339" s="39" t="s">
        <v>431</v>
      </c>
      <c r="E339" s="40"/>
      <c r="F339" s="41">
        <f t="shared" ref="F339:L339" si="20">F291+F310+F329+F338</f>
        <v>782395.79999999993</v>
      </c>
      <c r="G339" s="41">
        <f t="shared" si="20"/>
        <v>499885.05</v>
      </c>
      <c r="H339" s="41">
        <f t="shared" si="20"/>
        <v>216958.52</v>
      </c>
      <c r="I339" s="41">
        <f t="shared" si="20"/>
        <v>112309.73000000001</v>
      </c>
      <c r="J339" s="41">
        <f t="shared" si="20"/>
        <v>127543.70999999999</v>
      </c>
      <c r="K339" s="41">
        <f t="shared" si="20"/>
        <v>5944.04</v>
      </c>
      <c r="L339" s="41">
        <f t="shared" si="20"/>
        <v>1745036.85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1758.32</v>
      </c>
      <c r="L345" s="19">
        <f t="shared" ref="L345:L351" si="21">SUM(F345:K345)</f>
        <v>1758.32</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1758.32</v>
      </c>
      <c r="L352" s="41">
        <f>SUM(L342:L351)</f>
        <v>1758.32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782395.79999999993</v>
      </c>
      <c r="G353" s="41">
        <f>G339</f>
        <v>499885.05</v>
      </c>
      <c r="H353" s="41">
        <f>H339</f>
        <v>216958.52</v>
      </c>
      <c r="I353" s="41">
        <f>I339</f>
        <v>112309.73000000001</v>
      </c>
      <c r="J353" s="41">
        <f>J339</f>
        <v>127543.70999999999</v>
      </c>
      <c r="K353" s="47">
        <f>K339+K352</f>
        <v>7702.36</v>
      </c>
      <c r="L353" s="41">
        <f>L339+L352</f>
        <v>1746795.1700000002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96919.21</v>
      </c>
      <c r="G359" s="18">
        <v>10324.34</v>
      </c>
      <c r="H359" s="18">
        <v>2352.83</v>
      </c>
      <c r="I359" s="18">
        <v>155968.88</v>
      </c>
      <c r="J359" s="18">
        <v>340.17</v>
      </c>
      <c r="K359" s="18">
        <v>0</v>
      </c>
      <c r="L359" s="13">
        <f>SUM(F359:K359)</f>
        <v>265905.43</v>
      </c>
      <c r="M359" s="8"/>
      <c r="N359" s="266"/>
    </row>
    <row r="360" spans="1:22" s="3" customFormat="1" ht="12.2" customHeight="1" x14ac:dyDescent="0.15">
      <c r="A360" s="1" t="s">
        <v>542</v>
      </c>
      <c r="B360" s="2" t="s">
        <v>366</v>
      </c>
      <c r="C360" s="6">
        <v>2</v>
      </c>
      <c r="D360" s="2" t="s">
        <v>431</v>
      </c>
      <c r="E360" s="6"/>
      <c r="F360" s="18">
        <v>126749.12</v>
      </c>
      <c r="G360" s="18">
        <v>14553.19</v>
      </c>
      <c r="H360" s="18">
        <v>941.13</v>
      </c>
      <c r="I360" s="18">
        <v>62387.55</v>
      </c>
      <c r="J360" s="18">
        <v>136.07</v>
      </c>
      <c r="K360" s="18">
        <v>0</v>
      </c>
      <c r="L360" s="19">
        <f>SUM(F360:K360)</f>
        <v>204767.06</v>
      </c>
      <c r="M360" s="8"/>
      <c r="N360" s="266"/>
    </row>
    <row r="361" spans="1:22" s="3" customFormat="1" ht="12.2" customHeight="1" x14ac:dyDescent="0.15">
      <c r="A361" s="3" t="s">
        <v>543</v>
      </c>
      <c r="B361" s="2" t="s">
        <v>366</v>
      </c>
      <c r="C361" s="6">
        <v>3</v>
      </c>
      <c r="D361" s="2" t="s">
        <v>431</v>
      </c>
      <c r="E361" s="6"/>
      <c r="F361" s="18">
        <v>257923.57</v>
      </c>
      <c r="G361" s="18">
        <v>39927.629999999997</v>
      </c>
      <c r="H361" s="18">
        <v>1411.7</v>
      </c>
      <c r="I361" s="18">
        <v>93581.33</v>
      </c>
      <c r="J361" s="18">
        <v>204.1</v>
      </c>
      <c r="K361" s="18">
        <v>0</v>
      </c>
      <c r="L361" s="19">
        <f>SUM(F361:K361)</f>
        <v>393048.33</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481591.9</v>
      </c>
      <c r="G363" s="47">
        <f t="shared" si="22"/>
        <v>64805.159999999996</v>
      </c>
      <c r="H363" s="47">
        <f t="shared" si="22"/>
        <v>4705.66</v>
      </c>
      <c r="I363" s="47">
        <f t="shared" si="22"/>
        <v>311937.76</v>
      </c>
      <c r="J363" s="47">
        <f t="shared" si="22"/>
        <v>680.34</v>
      </c>
      <c r="K363" s="47">
        <f t="shared" si="22"/>
        <v>0</v>
      </c>
      <c r="L363" s="47">
        <f t="shared" si="22"/>
        <v>863720.82000000007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147733.70000000001</v>
      </c>
      <c r="G368" s="18">
        <v>61309.86</v>
      </c>
      <c r="H368" s="18">
        <v>86423.84</v>
      </c>
      <c r="I368" s="56">
        <f>SUM(F368:H368)</f>
        <v>295467.40000000002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8235.18</v>
      </c>
      <c r="G369" s="63">
        <v>2750.55</v>
      </c>
      <c r="H369" s="63">
        <v>5484.63</v>
      </c>
      <c r="I369" s="56">
        <f>SUM(F369:H369)</f>
        <v>16470.36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155968.88</v>
      </c>
      <c r="G370" s="47">
        <f>SUM(G368:G369)</f>
        <v>64060.41</v>
      </c>
      <c r="H370" s="47">
        <f>SUM(H368:H369)</f>
        <v>91908.47</v>
      </c>
      <c r="I370" s="47">
        <f>SUM(I368:I369)</f>
        <v>311937.76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v>0</v>
      </c>
      <c r="G397" s="18">
        <v>0</v>
      </c>
      <c r="H397" s="18">
        <v>3425.79</v>
      </c>
      <c r="I397" s="18">
        <v>0</v>
      </c>
      <c r="J397" s="24" t="s">
        <v>288</v>
      </c>
      <c r="K397" s="24" t="s">
        <v>288</v>
      </c>
      <c r="L397" s="56">
        <f t="shared" si="26"/>
        <v>3425.79</v>
      </c>
      <c r="M397" s="8"/>
      <c r="N397" s="266"/>
    </row>
    <row r="398" spans="1:14" s="3" customFormat="1" ht="12.2" customHeight="1" x14ac:dyDescent="0.15">
      <c r="A398" s="79" t="s">
        <v>515</v>
      </c>
      <c r="B398" s="2" t="s">
        <v>381</v>
      </c>
      <c r="C398" s="6">
        <v>10</v>
      </c>
      <c r="D398" s="2" t="s">
        <v>432</v>
      </c>
      <c r="E398" s="6"/>
      <c r="F398" s="18">
        <v>0</v>
      </c>
      <c r="G398" s="18">
        <v>0</v>
      </c>
      <c r="H398" s="18">
        <v>3637.39</v>
      </c>
      <c r="I398" s="18">
        <v>0</v>
      </c>
      <c r="J398" s="24" t="s">
        <v>288</v>
      </c>
      <c r="K398" s="24" t="s">
        <v>288</v>
      </c>
      <c r="L398" s="56">
        <f t="shared" si="26"/>
        <v>3637.39</v>
      </c>
      <c r="M398" s="8"/>
      <c r="N398" s="266"/>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v>0</v>
      </c>
      <c r="G401" s="18">
        <v>60000</v>
      </c>
      <c r="H401" s="18">
        <v>37746.300000000003</v>
      </c>
      <c r="I401" s="18">
        <v>30927.26</v>
      </c>
      <c r="J401" s="24" t="s">
        <v>288</v>
      </c>
      <c r="K401" s="24" t="s">
        <v>288</v>
      </c>
      <c r="L401" s="56">
        <f t="shared" si="26"/>
        <v>128673.56</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44809.48</v>
      </c>
      <c r="I402" s="47">
        <f>SUM(I396:I401)</f>
        <v>30927.26</v>
      </c>
      <c r="J402" s="45" t="s">
        <v>288</v>
      </c>
      <c r="K402" s="45" t="s">
        <v>288</v>
      </c>
      <c r="L402" s="47">
        <f>SUM(L396:L401)</f>
        <v>135736.74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60000</v>
      </c>
      <c r="H409" s="47">
        <f>H394+H402+H408</f>
        <v>44809.48</v>
      </c>
      <c r="I409" s="47">
        <f>I394+I402+I408</f>
        <v>30927.26</v>
      </c>
      <c r="J409" s="24" t="s">
        <v>288</v>
      </c>
      <c r="K409" s="24" t="s">
        <v>288</v>
      </c>
      <c r="L409" s="47">
        <f>L394+L402+L408</f>
        <v>135736.74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6"/>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6"/>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6"/>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6"/>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6"/>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49648.81</v>
      </c>
      <c r="L427" s="56">
        <f t="shared" si="29"/>
        <v>49648.81</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49648.81</v>
      </c>
      <c r="L428" s="47">
        <f t="shared" si="30"/>
        <v>49648.81</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49648.81</v>
      </c>
      <c r="L435" s="47">
        <f t="shared" si="32"/>
        <v>49648.81</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0</v>
      </c>
      <c r="G442" s="18">
        <v>44108.76</v>
      </c>
      <c r="H442" s="18">
        <v>0</v>
      </c>
      <c r="I442" s="56">
        <f t="shared" si="33"/>
        <v>44108.76</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0</v>
      </c>
      <c r="G443" s="18">
        <v>1756452.19</v>
      </c>
      <c r="H443" s="18">
        <v>0</v>
      </c>
      <c r="I443" s="56">
        <f t="shared" si="33"/>
        <v>1756452.19</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1800560.95</v>
      </c>
      <c r="H447" s="13">
        <f>SUM(H440:H446)</f>
        <v>0</v>
      </c>
      <c r="I447" s="13">
        <f>SUM(I440:I446)</f>
        <v>1800560.95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v>1800560.95</v>
      </c>
      <c r="H460" s="18">
        <v>0</v>
      </c>
      <c r="I460" s="56">
        <f t="shared" si="34"/>
        <v>1800560.95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1800560.95</v>
      </c>
      <c r="H461" s="83">
        <f>SUM(H455:H460)</f>
        <v>0</v>
      </c>
      <c r="I461" s="83">
        <f>SUM(I455:I460)</f>
        <v>1800560.95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1800560.95</v>
      </c>
      <c r="H462" s="42">
        <f>H453+H461</f>
        <v>0</v>
      </c>
      <c r="I462" s="42">
        <f>I453+I461</f>
        <v>1800560.95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1655716.4</v>
      </c>
      <c r="G466" s="18">
        <v>117669.64</v>
      </c>
      <c r="H466" s="18">
        <v>0</v>
      </c>
      <c r="I466" s="18">
        <v>0</v>
      </c>
      <c r="J466" s="18">
        <v>1714473.02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51269719.289999999</v>
      </c>
      <c r="G469" s="18">
        <v>746051.18</v>
      </c>
      <c r="H469" s="18">
        <v>1746795.17</v>
      </c>
      <c r="I469" s="18">
        <v>0</v>
      </c>
      <c r="J469" s="18">
        <v>135736.74</v>
      </c>
      <c r="K469" s="24" t="s">
        <v>288</v>
      </c>
      <c r="L469" s="24" t="s">
        <v>288</v>
      </c>
      <c r="N469" s="265"/>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5"/>
    </row>
    <row r="471" spans="1:14" s="52" customFormat="1" ht="12.2" customHeight="1" x14ac:dyDescent="0.2">
      <c r="A471" s="92" t="s">
        <v>425</v>
      </c>
      <c r="B471" s="75">
        <v>19</v>
      </c>
      <c r="C471" s="80">
        <v>4</v>
      </c>
      <c r="D471" s="2" t="s">
        <v>432</v>
      </c>
      <c r="E471" s="80"/>
      <c r="F471" s="53">
        <f>SUM(F469:F470)</f>
        <v>51269719.289999999</v>
      </c>
      <c r="G471" s="53">
        <f>SUM(G469:G470)</f>
        <v>746051.18</v>
      </c>
      <c r="H471" s="53">
        <f>SUM(H469:H470)</f>
        <v>1746795.17</v>
      </c>
      <c r="I471" s="53">
        <f>SUM(I469:I470)</f>
        <v>0</v>
      </c>
      <c r="J471" s="53">
        <f>SUM(J469:J470)</f>
        <v>135736.74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48829456.119999997</v>
      </c>
      <c r="G473" s="18">
        <v>863720.82</v>
      </c>
      <c r="H473" s="18">
        <v>1746795.17</v>
      </c>
      <c r="I473" s="18">
        <v>0</v>
      </c>
      <c r="J473" s="18">
        <v>49648.81</v>
      </c>
      <c r="K473" s="24" t="s">
        <v>288</v>
      </c>
      <c r="L473" s="24" t="s">
        <v>288</v>
      </c>
      <c r="N473" s="265"/>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5"/>
    </row>
    <row r="475" spans="1:14" s="52" customFormat="1" ht="12.2" customHeight="1" x14ac:dyDescent="0.2">
      <c r="A475" s="92" t="s">
        <v>426</v>
      </c>
      <c r="B475" s="75">
        <v>19</v>
      </c>
      <c r="C475" s="80">
        <v>7</v>
      </c>
      <c r="D475" s="2" t="s">
        <v>432</v>
      </c>
      <c r="E475" s="80"/>
      <c r="F475" s="53">
        <f>SUM(F473:F474)</f>
        <v>48829456.119999997</v>
      </c>
      <c r="G475" s="53">
        <f>SUM(G473:G474)</f>
        <v>863720.82</v>
      </c>
      <c r="H475" s="53">
        <f>SUM(H473:H474)</f>
        <v>1746795.17</v>
      </c>
      <c r="I475" s="53">
        <f>SUM(I473:I474)</f>
        <v>0</v>
      </c>
      <c r="J475" s="53">
        <f>SUM(J473:J474)</f>
        <v>49648.81</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4095979.5700000003</v>
      </c>
      <c r="G477" s="53">
        <f>(G466+G471)- G475</f>
        <v>0</v>
      </c>
      <c r="H477" s="53">
        <f>(H466+H471)- H475</f>
        <v>0</v>
      </c>
      <c r="I477" s="53">
        <f>(I466+I471)- I475</f>
        <v>0</v>
      </c>
      <c r="J477" s="53">
        <f>(J466+J471)- J475</f>
        <v>1800560.95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30</v>
      </c>
      <c r="G491" s="154">
        <v>30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1644</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t="s">
        <v>1645</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25000000</v>
      </c>
      <c r="G494" s="18">
        <v>32508500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4.3</v>
      </c>
      <c r="G495" s="18">
        <v>4.46</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13755149.92</v>
      </c>
      <c r="G496" s="18">
        <v>18188061.699999999</v>
      </c>
      <c r="H496" s="18"/>
      <c r="I496" s="18"/>
      <c r="J496" s="18"/>
      <c r="K496" s="53">
        <f>SUM(F496:J496)</f>
        <v>31943211.619999997</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0</v>
      </c>
      <c r="G498" s="18">
        <v>0</v>
      </c>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12774943.130000001</v>
      </c>
      <c r="G499" s="204">
        <v>16840628.469999999</v>
      </c>
      <c r="H499" s="204"/>
      <c r="I499" s="204"/>
      <c r="J499" s="204"/>
      <c r="K499" s="205">
        <f t="shared" si="35"/>
        <v>29615571.600000001</v>
      </c>
      <c r="L499" s="206" t="s">
        <v>288</v>
      </c>
      <c r="N499" s="265"/>
    </row>
    <row r="500" spans="1:14" s="52" customFormat="1" ht="12.2" customHeight="1" thickBot="1" x14ac:dyDescent="0.25">
      <c r="A500" s="22" t="s">
        <v>623</v>
      </c>
      <c r="B500" s="75">
        <v>20</v>
      </c>
      <c r="C500" s="115">
        <v>10</v>
      </c>
      <c r="D500" s="2" t="s">
        <v>432</v>
      </c>
      <c r="E500" s="115"/>
      <c r="F500" s="18">
        <v>16130009.65</v>
      </c>
      <c r="G500" s="18">
        <v>25353687.280000001</v>
      </c>
      <c r="H500" s="18"/>
      <c r="I500" s="18"/>
      <c r="J500" s="18"/>
      <c r="K500" s="53">
        <f t="shared" si="35"/>
        <v>41483696.93</v>
      </c>
      <c r="L500" s="24" t="s">
        <v>288</v>
      </c>
      <c r="N500" s="265"/>
    </row>
    <row r="501" spans="1:14" s="52" customFormat="1" ht="12.2" customHeight="1" thickTop="1" x14ac:dyDescent="0.2">
      <c r="A501" s="139" t="s">
        <v>624</v>
      </c>
      <c r="B501" s="44">
        <v>20</v>
      </c>
      <c r="C501" s="195">
        <v>11</v>
      </c>
      <c r="D501" s="39" t="s">
        <v>432</v>
      </c>
      <c r="E501" s="195"/>
      <c r="F501" s="42">
        <f>SUM(F499:F500)</f>
        <v>28904952.780000001</v>
      </c>
      <c r="G501" s="42">
        <f>SUM(G499:G500)</f>
        <v>42194315.75</v>
      </c>
      <c r="H501" s="42">
        <f>SUM(H499:H500)</f>
        <v>0</v>
      </c>
      <c r="I501" s="42">
        <f>SUM(I499:I500)</f>
        <v>0</v>
      </c>
      <c r="J501" s="42">
        <f>SUM(J499:J500)</f>
        <v>0</v>
      </c>
      <c r="K501" s="42">
        <f t="shared" si="35"/>
        <v>71099268.530000001</v>
      </c>
      <c r="L501" s="45" t="s">
        <v>288</v>
      </c>
      <c r="N501" s="265"/>
    </row>
    <row r="502" spans="1:14" s="52" customFormat="1" ht="12.2" customHeight="1" x14ac:dyDescent="0.2">
      <c r="A502" s="200" t="s">
        <v>651</v>
      </c>
      <c r="B502" s="201">
        <v>20</v>
      </c>
      <c r="C502" s="202">
        <v>12</v>
      </c>
      <c r="D502" s="203" t="s">
        <v>432</v>
      </c>
      <c r="E502" s="202"/>
      <c r="F502" s="204">
        <v>939589.83</v>
      </c>
      <c r="G502" s="204">
        <v>1284671.3500000001</v>
      </c>
      <c r="H502" s="204"/>
      <c r="I502" s="204"/>
      <c r="J502" s="204"/>
      <c r="K502" s="205">
        <f t="shared" si="35"/>
        <v>2224261.1800000002</v>
      </c>
      <c r="L502" s="206" t="s">
        <v>288</v>
      </c>
      <c r="N502" s="265"/>
    </row>
    <row r="503" spans="1:14" s="52" customFormat="1" ht="12.2" customHeight="1" thickBot="1" x14ac:dyDescent="0.25">
      <c r="A503" s="22" t="s">
        <v>625</v>
      </c>
      <c r="B503" s="75">
        <v>20</v>
      </c>
      <c r="C503" s="115">
        <v>13</v>
      </c>
      <c r="D503" s="2" t="s">
        <v>432</v>
      </c>
      <c r="E503" s="115"/>
      <c r="F503" s="18">
        <v>522655.67</v>
      </c>
      <c r="G503" s="18">
        <v>713846.15</v>
      </c>
      <c r="H503" s="18"/>
      <c r="I503" s="18"/>
      <c r="J503" s="18"/>
      <c r="K503" s="53">
        <f t="shared" si="35"/>
        <v>1236501.82</v>
      </c>
      <c r="L503" s="24" t="s">
        <v>288</v>
      </c>
      <c r="N503" s="265"/>
    </row>
    <row r="504" spans="1:14" s="52" customFormat="1" ht="12.2" customHeight="1" thickTop="1" x14ac:dyDescent="0.2">
      <c r="A504" s="139" t="s">
        <v>626</v>
      </c>
      <c r="B504" s="44">
        <v>20</v>
      </c>
      <c r="C504" s="195">
        <v>14</v>
      </c>
      <c r="D504" s="39" t="s">
        <v>432</v>
      </c>
      <c r="E504" s="195"/>
      <c r="F504" s="42">
        <f>SUM(F502:F503)</f>
        <v>1462245.5</v>
      </c>
      <c r="G504" s="42">
        <f>SUM(G502:G503)</f>
        <v>1998517.5</v>
      </c>
      <c r="H504" s="42">
        <f>SUM(H502:H503)</f>
        <v>0</v>
      </c>
      <c r="I504" s="42">
        <f>SUM(I502:I503)</f>
        <v>0</v>
      </c>
      <c r="J504" s="42">
        <f>SUM(J502:J503)</f>
        <v>0</v>
      </c>
      <c r="K504" s="42">
        <f t="shared" si="35"/>
        <v>3460763</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1545955.93</v>
      </c>
      <c r="G522" s="18">
        <v>830606.54</v>
      </c>
      <c r="H522" s="18">
        <v>469694.02</v>
      </c>
      <c r="I522" s="18">
        <v>18066.27</v>
      </c>
      <c r="J522" s="18">
        <v>21812.39</v>
      </c>
      <c r="K522" s="18">
        <v>433.6</v>
      </c>
      <c r="L522" s="88">
        <f>SUM(F522:K522)</f>
        <v>2886568.75</v>
      </c>
      <c r="N522" s="265"/>
    </row>
    <row r="523" spans="1:14" s="52" customFormat="1" ht="12.2" customHeight="1" x14ac:dyDescent="0.2">
      <c r="A523" s="22" t="s">
        <v>634</v>
      </c>
      <c r="B523" s="105">
        <v>21</v>
      </c>
      <c r="C523" s="115">
        <v>2</v>
      </c>
      <c r="D523" s="2" t="s">
        <v>432</v>
      </c>
      <c r="E523" s="115"/>
      <c r="F523" s="18">
        <v>525625.02</v>
      </c>
      <c r="G523" s="18">
        <v>282406.21999999997</v>
      </c>
      <c r="H523" s="18">
        <v>159695.97</v>
      </c>
      <c r="I523" s="18">
        <v>6142.53</v>
      </c>
      <c r="J523" s="18">
        <v>7416.21</v>
      </c>
      <c r="K523" s="18">
        <v>147.41999999999999</v>
      </c>
      <c r="L523" s="88">
        <f>SUM(F523:K523)</f>
        <v>981433.37</v>
      </c>
      <c r="N523" s="265"/>
    </row>
    <row r="524" spans="1:14" s="52" customFormat="1" ht="12.2" customHeight="1" thickBot="1" x14ac:dyDescent="0.25">
      <c r="A524" s="22" t="s">
        <v>635</v>
      </c>
      <c r="B524" s="105">
        <v>21</v>
      </c>
      <c r="C524" s="115">
        <v>3</v>
      </c>
      <c r="D524" s="2" t="s">
        <v>432</v>
      </c>
      <c r="E524" s="115"/>
      <c r="F524" s="18">
        <v>1020330.92</v>
      </c>
      <c r="G524" s="18">
        <v>548200.31000000006</v>
      </c>
      <c r="H524" s="18">
        <v>309998.05</v>
      </c>
      <c r="I524" s="18">
        <v>11923.74</v>
      </c>
      <c r="J524" s="18">
        <v>14396.18</v>
      </c>
      <c r="K524" s="18">
        <v>286.18</v>
      </c>
      <c r="L524" s="88">
        <f>SUM(F524:K524)</f>
        <v>1905135.38</v>
      </c>
      <c r="N524" s="265"/>
    </row>
    <row r="525" spans="1:14" s="52" customFormat="1" ht="12.2" customHeight="1" thickTop="1" x14ac:dyDescent="0.2">
      <c r="A525" s="139" t="s">
        <v>63</v>
      </c>
      <c r="B525" s="107">
        <v>21</v>
      </c>
      <c r="C525" s="195">
        <v>4</v>
      </c>
      <c r="D525" s="196" t="s">
        <v>432</v>
      </c>
      <c r="E525" s="195"/>
      <c r="F525" s="108">
        <f>SUM(F522:F524)</f>
        <v>3091911.87</v>
      </c>
      <c r="G525" s="108">
        <f t="shared" ref="G525:L525" si="36">SUM(G522:G524)</f>
        <v>1661213.07</v>
      </c>
      <c r="H525" s="108">
        <f t="shared" si="36"/>
        <v>939388.04</v>
      </c>
      <c r="I525" s="108">
        <f t="shared" si="36"/>
        <v>36132.54</v>
      </c>
      <c r="J525" s="108">
        <f t="shared" si="36"/>
        <v>43624.78</v>
      </c>
      <c r="K525" s="108">
        <f t="shared" si="36"/>
        <v>867.2</v>
      </c>
      <c r="L525" s="89">
        <f t="shared" si="36"/>
        <v>5773137.5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724666.85</v>
      </c>
      <c r="G527" s="18">
        <v>389346.81</v>
      </c>
      <c r="H527" s="18">
        <v>220169.07</v>
      </c>
      <c r="I527" s="18">
        <v>8468.56</v>
      </c>
      <c r="J527" s="18">
        <v>10224.56</v>
      </c>
      <c r="K527" s="18">
        <v>203.25</v>
      </c>
      <c r="L527" s="88">
        <f>SUM(F527:K527)</f>
        <v>1353079.1</v>
      </c>
      <c r="M527" s="8"/>
      <c r="N527" s="266"/>
    </row>
    <row r="528" spans="1:14" s="3" customFormat="1" ht="12.2" customHeight="1" x14ac:dyDescent="0.15">
      <c r="A528" s="22" t="s">
        <v>634</v>
      </c>
      <c r="B528" s="105">
        <v>21</v>
      </c>
      <c r="C528" s="115">
        <v>6</v>
      </c>
      <c r="D528" s="2" t="s">
        <v>432</v>
      </c>
      <c r="E528" s="115"/>
      <c r="F528" s="18">
        <v>246386.72</v>
      </c>
      <c r="G528" s="18">
        <v>132377.92000000001</v>
      </c>
      <c r="H528" s="18">
        <v>74857.48</v>
      </c>
      <c r="I528" s="18">
        <v>2879.31</v>
      </c>
      <c r="J528" s="18">
        <v>3476.35</v>
      </c>
      <c r="K528" s="18">
        <v>69.11</v>
      </c>
      <c r="L528" s="88">
        <f>SUM(F528:K528)</f>
        <v>460046.88999999996</v>
      </c>
      <c r="M528" s="8"/>
      <c r="N528" s="266"/>
    </row>
    <row r="529" spans="1:14" s="3" customFormat="1" ht="12.2" customHeight="1" thickBot="1" x14ac:dyDescent="0.2">
      <c r="A529" s="22" t="s">
        <v>635</v>
      </c>
      <c r="B529" s="118">
        <v>21</v>
      </c>
      <c r="C529" s="118">
        <v>7</v>
      </c>
      <c r="D529" s="2" t="s">
        <v>432</v>
      </c>
      <c r="E529" s="118"/>
      <c r="F529" s="18">
        <v>478280.11</v>
      </c>
      <c r="G529" s="18">
        <v>256968.9</v>
      </c>
      <c r="H529" s="18">
        <v>145311.59</v>
      </c>
      <c r="I529" s="18">
        <v>5589.25</v>
      </c>
      <c r="J529" s="18">
        <v>6748.21</v>
      </c>
      <c r="K529" s="18">
        <v>134.15</v>
      </c>
      <c r="L529" s="88">
        <f>SUM(F529:K529)</f>
        <v>893032.21</v>
      </c>
      <c r="M529" s="8"/>
      <c r="N529" s="266"/>
    </row>
    <row r="530" spans="1:14" s="3" customFormat="1" ht="12.2" customHeight="1" thickTop="1" x14ac:dyDescent="0.15">
      <c r="A530" s="139" t="s">
        <v>65</v>
      </c>
      <c r="B530" s="107">
        <v>21</v>
      </c>
      <c r="C530" s="107">
        <v>8</v>
      </c>
      <c r="D530" s="158" t="s">
        <v>432</v>
      </c>
      <c r="E530" s="107"/>
      <c r="F530" s="89">
        <f>SUM(F527:F529)</f>
        <v>1449333.68</v>
      </c>
      <c r="G530" s="89">
        <f t="shared" ref="G530:L530" si="37">SUM(G527:G529)</f>
        <v>778693.63</v>
      </c>
      <c r="H530" s="89">
        <f t="shared" si="37"/>
        <v>440338.14</v>
      </c>
      <c r="I530" s="89">
        <f t="shared" si="37"/>
        <v>16937.12</v>
      </c>
      <c r="J530" s="89">
        <f t="shared" si="37"/>
        <v>20449.12</v>
      </c>
      <c r="K530" s="89">
        <f t="shared" si="37"/>
        <v>406.51</v>
      </c>
      <c r="L530" s="89">
        <f t="shared" si="37"/>
        <v>2706158.2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144933.38</v>
      </c>
      <c r="G532" s="18">
        <v>77869.36</v>
      </c>
      <c r="H532" s="18">
        <v>44033.81</v>
      </c>
      <c r="I532" s="18">
        <v>1693.71</v>
      </c>
      <c r="J532" s="18">
        <v>2044.91</v>
      </c>
      <c r="K532" s="18">
        <v>40.65</v>
      </c>
      <c r="L532" s="88">
        <f>SUM(F532:K532)</f>
        <v>270615.82</v>
      </c>
      <c r="M532" s="8"/>
      <c r="N532" s="266"/>
    </row>
    <row r="533" spans="1:14" s="3" customFormat="1" ht="12.2" customHeight="1" x14ac:dyDescent="0.15">
      <c r="A533" s="22" t="s">
        <v>634</v>
      </c>
      <c r="B533" s="105">
        <v>21</v>
      </c>
      <c r="C533" s="105">
        <v>10</v>
      </c>
      <c r="D533" s="2" t="s">
        <v>432</v>
      </c>
      <c r="E533" s="105"/>
      <c r="F533" s="18">
        <v>49277.35</v>
      </c>
      <c r="G533" s="18">
        <v>26475.58</v>
      </c>
      <c r="H533" s="18">
        <v>14971.5</v>
      </c>
      <c r="I533" s="18">
        <v>575.86</v>
      </c>
      <c r="J533" s="18">
        <v>695.27</v>
      </c>
      <c r="K533" s="18">
        <v>13.82</v>
      </c>
      <c r="L533" s="88">
        <f>SUM(F533:K533)</f>
        <v>92009.38</v>
      </c>
      <c r="M533" s="8"/>
      <c r="N533" s="266"/>
    </row>
    <row r="534" spans="1:14" s="3" customFormat="1" ht="12.2" customHeight="1" thickBot="1" x14ac:dyDescent="0.2">
      <c r="A534" s="22" t="s">
        <v>635</v>
      </c>
      <c r="B534" s="105">
        <v>21</v>
      </c>
      <c r="C534" s="105">
        <v>11</v>
      </c>
      <c r="D534" s="2" t="s">
        <v>432</v>
      </c>
      <c r="E534" s="105"/>
      <c r="F534" s="18">
        <v>95656.02</v>
      </c>
      <c r="G534" s="18">
        <v>51393.78</v>
      </c>
      <c r="H534" s="18">
        <v>29062.32</v>
      </c>
      <c r="I534" s="18">
        <v>1117.8499999999999</v>
      </c>
      <c r="J534" s="18">
        <v>1349.64</v>
      </c>
      <c r="K534" s="18">
        <v>26.83</v>
      </c>
      <c r="L534" s="88">
        <f>SUM(F534:K534)</f>
        <v>178606.44</v>
      </c>
      <c r="M534" s="8"/>
      <c r="N534" s="266"/>
    </row>
    <row r="535" spans="1:14" s="3" customFormat="1" ht="12.2" customHeight="1" thickTop="1" x14ac:dyDescent="0.15">
      <c r="A535" s="139" t="s">
        <v>67</v>
      </c>
      <c r="B535" s="107">
        <v>21</v>
      </c>
      <c r="C535" s="107">
        <v>12</v>
      </c>
      <c r="D535" s="158" t="s">
        <v>432</v>
      </c>
      <c r="E535" s="107"/>
      <c r="F535" s="89">
        <f>SUM(F532:F534)</f>
        <v>289866.75</v>
      </c>
      <c r="G535" s="89">
        <f t="shared" ref="G535:L535" si="38">SUM(G532:G534)</f>
        <v>155738.72</v>
      </c>
      <c r="H535" s="89">
        <f t="shared" si="38"/>
        <v>88067.63</v>
      </c>
      <c r="I535" s="89">
        <f t="shared" si="38"/>
        <v>3387.42</v>
      </c>
      <c r="J535" s="89">
        <f t="shared" si="38"/>
        <v>4089.8200000000006</v>
      </c>
      <c r="K535" s="89">
        <f t="shared" si="38"/>
        <v>81.3</v>
      </c>
      <c r="L535" s="89">
        <f t="shared" si="38"/>
        <v>541231.64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8482.66</v>
      </c>
      <c r="I537" s="18">
        <v>0</v>
      </c>
      <c r="J537" s="18">
        <v>0</v>
      </c>
      <c r="K537" s="18">
        <v>0</v>
      </c>
      <c r="L537" s="88">
        <f>SUM(F537:K537)</f>
        <v>8482.66</v>
      </c>
      <c r="M537" s="8"/>
      <c r="N537" s="266"/>
    </row>
    <row r="538" spans="1:14" s="3" customFormat="1" ht="12.2" customHeight="1" x14ac:dyDescent="0.15">
      <c r="A538" s="22" t="s">
        <v>634</v>
      </c>
      <c r="B538" s="105">
        <v>21</v>
      </c>
      <c r="C538" s="105">
        <v>14</v>
      </c>
      <c r="D538" s="2" t="s">
        <v>432</v>
      </c>
      <c r="E538" s="105"/>
      <c r="F538" s="18">
        <v>0</v>
      </c>
      <c r="G538" s="18">
        <v>0</v>
      </c>
      <c r="H538" s="18">
        <v>2884.1</v>
      </c>
      <c r="I538" s="18">
        <v>0</v>
      </c>
      <c r="J538" s="18">
        <v>0</v>
      </c>
      <c r="K538" s="18">
        <v>0</v>
      </c>
      <c r="L538" s="88">
        <f>SUM(F538:K538)</f>
        <v>2884.1</v>
      </c>
      <c r="M538" s="8"/>
      <c r="N538" s="266"/>
    </row>
    <row r="539" spans="1:14" s="3" customFormat="1" ht="12.2" customHeight="1" thickBot="1" x14ac:dyDescent="0.2">
      <c r="A539" s="22" t="s">
        <v>635</v>
      </c>
      <c r="B539" s="105">
        <v>21</v>
      </c>
      <c r="C539" s="105">
        <v>15</v>
      </c>
      <c r="D539" s="2" t="s">
        <v>432</v>
      </c>
      <c r="E539" s="105"/>
      <c r="F539" s="18">
        <v>0</v>
      </c>
      <c r="G539" s="18">
        <v>0</v>
      </c>
      <c r="H539" s="18">
        <v>5598.56</v>
      </c>
      <c r="I539" s="18">
        <v>0</v>
      </c>
      <c r="J539" s="18">
        <v>0</v>
      </c>
      <c r="K539" s="18">
        <v>0</v>
      </c>
      <c r="L539" s="88">
        <f>SUM(F539:K539)</f>
        <v>5598.56</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16965.32</v>
      </c>
      <c r="I540" s="89">
        <f t="shared" si="39"/>
        <v>0</v>
      </c>
      <c r="J540" s="89">
        <f t="shared" si="39"/>
        <v>0</v>
      </c>
      <c r="K540" s="89">
        <f t="shared" si="39"/>
        <v>0</v>
      </c>
      <c r="L540" s="89">
        <f t="shared" si="39"/>
        <v>16965.32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130342.53</v>
      </c>
      <c r="G542" s="18">
        <v>22981.66</v>
      </c>
      <c r="H542" s="18">
        <v>2578.0100000000002</v>
      </c>
      <c r="I542" s="18">
        <v>3.6</v>
      </c>
      <c r="J542" s="18">
        <v>0</v>
      </c>
      <c r="K542" s="18">
        <v>0</v>
      </c>
      <c r="L542" s="88">
        <f>SUM(F542:K542)</f>
        <v>155905.80000000002</v>
      </c>
      <c r="M542" s="8"/>
      <c r="N542" s="266"/>
    </row>
    <row r="543" spans="1:14" s="3" customFormat="1" ht="12.2" customHeight="1" x14ac:dyDescent="0.15">
      <c r="A543" s="22" t="s">
        <v>634</v>
      </c>
      <c r="B543" s="105">
        <v>21</v>
      </c>
      <c r="C543" s="105">
        <v>18</v>
      </c>
      <c r="D543" s="2" t="s">
        <v>432</v>
      </c>
      <c r="E543" s="105"/>
      <c r="F543" s="18">
        <v>44316.47</v>
      </c>
      <c r="G543" s="18">
        <v>7813.76</v>
      </c>
      <c r="H543" s="18">
        <v>876.52</v>
      </c>
      <c r="I543" s="18">
        <v>1.22</v>
      </c>
      <c r="J543" s="18">
        <v>0</v>
      </c>
      <c r="K543" s="18">
        <v>0</v>
      </c>
      <c r="L543" s="88">
        <f>SUM(F543:K543)</f>
        <v>53007.97</v>
      </c>
      <c r="M543" s="8"/>
      <c r="N543" s="266"/>
    </row>
    <row r="544" spans="1:14" s="3" customFormat="1" ht="12.2" customHeight="1" thickBot="1" x14ac:dyDescent="0.2">
      <c r="A544" s="22" t="s">
        <v>635</v>
      </c>
      <c r="B544" s="105">
        <v>21</v>
      </c>
      <c r="C544" s="105">
        <v>19</v>
      </c>
      <c r="D544" s="2" t="s">
        <v>432</v>
      </c>
      <c r="E544" s="105"/>
      <c r="F544" s="18">
        <v>86026.06</v>
      </c>
      <c r="G544" s="18">
        <v>15167.89</v>
      </c>
      <c r="H544" s="18">
        <v>1701.49</v>
      </c>
      <c r="I544" s="18">
        <v>2.38</v>
      </c>
      <c r="J544" s="18">
        <v>0</v>
      </c>
      <c r="K544" s="18">
        <v>0</v>
      </c>
      <c r="L544" s="88">
        <f>SUM(F544:K544)</f>
        <v>102897.82</v>
      </c>
      <c r="M544" s="8"/>
      <c r="N544" s="266"/>
    </row>
    <row r="545" spans="1:14" s="3" customFormat="1" ht="12.2" customHeight="1" thickTop="1" thickBot="1" x14ac:dyDescent="0.2">
      <c r="A545" s="130" t="s">
        <v>71</v>
      </c>
      <c r="B545" s="191">
        <v>21</v>
      </c>
      <c r="C545" s="191">
        <v>20</v>
      </c>
      <c r="D545" s="192" t="s">
        <v>432</v>
      </c>
      <c r="E545" s="191"/>
      <c r="F545" s="193">
        <f>SUM(F542:F544)</f>
        <v>260685.06</v>
      </c>
      <c r="G545" s="193">
        <f t="shared" ref="G545:L545" si="40">SUM(G542:G544)</f>
        <v>45963.31</v>
      </c>
      <c r="H545" s="193">
        <f t="shared" si="40"/>
        <v>5156.0200000000004</v>
      </c>
      <c r="I545" s="193">
        <f t="shared" si="40"/>
        <v>7.2</v>
      </c>
      <c r="J545" s="193">
        <f t="shared" si="40"/>
        <v>0</v>
      </c>
      <c r="K545" s="193">
        <f t="shared" si="40"/>
        <v>0</v>
      </c>
      <c r="L545" s="193">
        <f t="shared" si="40"/>
        <v>311811.59000000003</v>
      </c>
      <c r="M545" s="8"/>
      <c r="N545" s="266"/>
    </row>
    <row r="546" spans="1:14" s="3" customFormat="1" ht="12.2" customHeight="1" thickTop="1" x14ac:dyDescent="0.15">
      <c r="A546" s="98" t="s">
        <v>72</v>
      </c>
      <c r="B546" s="107">
        <v>21</v>
      </c>
      <c r="C546" s="107">
        <v>21</v>
      </c>
      <c r="D546" s="158" t="s">
        <v>432</v>
      </c>
      <c r="E546" s="107"/>
      <c r="F546" s="89">
        <f>F525+F530+F535+F540+F545</f>
        <v>5091797.3599999994</v>
      </c>
      <c r="G546" s="89">
        <f t="shared" ref="G546:L546" si="41">G525+G530+G535+G540+G545</f>
        <v>2641608.7300000004</v>
      </c>
      <c r="H546" s="89">
        <f t="shared" si="41"/>
        <v>1489915.1500000001</v>
      </c>
      <c r="I546" s="89">
        <f t="shared" si="41"/>
        <v>56464.28</v>
      </c>
      <c r="J546" s="89">
        <f t="shared" si="41"/>
        <v>68163.72</v>
      </c>
      <c r="K546" s="89">
        <f t="shared" si="41"/>
        <v>1355.01</v>
      </c>
      <c r="L546" s="89">
        <f t="shared" si="41"/>
        <v>9349304.25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2886568.75</v>
      </c>
      <c r="G550" s="87">
        <f>L527</f>
        <v>1353079.1</v>
      </c>
      <c r="H550" s="87">
        <f>L532</f>
        <v>270615.82</v>
      </c>
      <c r="I550" s="87">
        <f>L537</f>
        <v>8482.66</v>
      </c>
      <c r="J550" s="87">
        <f>L542</f>
        <v>155905.80000000002</v>
      </c>
      <c r="K550" s="87">
        <f>SUM(F550:J550)</f>
        <v>4674652.13</v>
      </c>
      <c r="L550" s="24" t="s">
        <v>288</v>
      </c>
      <c r="M550" s="8"/>
      <c r="N550" s="266"/>
    </row>
    <row r="551" spans="1:14" s="3" customFormat="1" ht="12.2" customHeight="1" x14ac:dyDescent="0.15">
      <c r="A551" s="22" t="s">
        <v>634</v>
      </c>
      <c r="B551" s="75">
        <v>21</v>
      </c>
      <c r="C551" s="75">
        <v>23</v>
      </c>
      <c r="D551" s="2" t="s">
        <v>432</v>
      </c>
      <c r="E551" s="75"/>
      <c r="F551" s="87">
        <f>L523</f>
        <v>981433.37</v>
      </c>
      <c r="G551" s="87">
        <f>L528</f>
        <v>460046.88999999996</v>
      </c>
      <c r="H551" s="87">
        <f>L533</f>
        <v>92009.38</v>
      </c>
      <c r="I551" s="87">
        <f>L538</f>
        <v>2884.1</v>
      </c>
      <c r="J551" s="87">
        <f>L543</f>
        <v>53007.97</v>
      </c>
      <c r="K551" s="87">
        <f>SUM(F551:J551)</f>
        <v>1589381.7100000002</v>
      </c>
      <c r="L551" s="24" t="s">
        <v>288</v>
      </c>
      <c r="M551" s="8"/>
      <c r="N551" s="266"/>
    </row>
    <row r="552" spans="1:14" s="3" customFormat="1" ht="12.2" customHeight="1" thickBot="1" x14ac:dyDescent="0.2">
      <c r="A552" s="22" t="s">
        <v>635</v>
      </c>
      <c r="B552" s="75">
        <v>21</v>
      </c>
      <c r="C552" s="75">
        <v>24</v>
      </c>
      <c r="D552" s="2" t="s">
        <v>432</v>
      </c>
      <c r="E552" s="75"/>
      <c r="F552" s="87">
        <f>L524</f>
        <v>1905135.38</v>
      </c>
      <c r="G552" s="87">
        <f>L529</f>
        <v>893032.21</v>
      </c>
      <c r="H552" s="87">
        <f>L534</f>
        <v>178606.44</v>
      </c>
      <c r="I552" s="87">
        <f>L539</f>
        <v>5598.56</v>
      </c>
      <c r="J552" s="87">
        <f>L544</f>
        <v>102897.82</v>
      </c>
      <c r="K552" s="87">
        <f>SUM(F552:J552)</f>
        <v>3085270.4099999997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5773137.5</v>
      </c>
      <c r="G553" s="89">
        <f t="shared" si="42"/>
        <v>2706158.2</v>
      </c>
      <c r="H553" s="89">
        <f t="shared" si="42"/>
        <v>541231.64</v>
      </c>
      <c r="I553" s="89">
        <f t="shared" si="42"/>
        <v>16965.32</v>
      </c>
      <c r="J553" s="89">
        <f t="shared" si="42"/>
        <v>311811.59000000003</v>
      </c>
      <c r="K553" s="89">
        <f t="shared" si="42"/>
        <v>9349304.25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6"/>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6"/>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55949.66</v>
      </c>
      <c r="G563" s="18">
        <v>14066.69</v>
      </c>
      <c r="H563" s="18">
        <v>0</v>
      </c>
      <c r="I563" s="18">
        <v>252.45</v>
      </c>
      <c r="J563" s="18">
        <v>0</v>
      </c>
      <c r="K563" s="18">
        <v>0</v>
      </c>
      <c r="L563" s="88">
        <f>SUM(F563:K563)</f>
        <v>70268.800000000003</v>
      </c>
      <c r="M563" s="8"/>
      <c r="N563" s="266"/>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6"/>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55949.66</v>
      </c>
      <c r="G566" s="89">
        <f t="shared" si="44"/>
        <v>14066.69</v>
      </c>
      <c r="H566" s="89">
        <f t="shared" si="44"/>
        <v>0</v>
      </c>
      <c r="I566" s="89">
        <f t="shared" si="44"/>
        <v>252.45</v>
      </c>
      <c r="J566" s="89">
        <f t="shared" si="44"/>
        <v>0</v>
      </c>
      <c r="K566" s="89">
        <f t="shared" si="44"/>
        <v>0</v>
      </c>
      <c r="L566" s="89">
        <f t="shared" si="44"/>
        <v>70268.800000000003</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6"/>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55949.66</v>
      </c>
      <c r="G572" s="89">
        <f t="shared" ref="G572:L572" si="46">G561+G566+G571</f>
        <v>14066.69</v>
      </c>
      <c r="H572" s="89">
        <f t="shared" si="46"/>
        <v>0</v>
      </c>
      <c r="I572" s="89">
        <f t="shared" si="46"/>
        <v>252.45</v>
      </c>
      <c r="J572" s="89">
        <f t="shared" si="46"/>
        <v>0</v>
      </c>
      <c r="K572" s="89">
        <f t="shared" si="46"/>
        <v>0</v>
      </c>
      <c r="L572" s="89">
        <f t="shared" si="46"/>
        <v>70268.800000000003</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202079.34</v>
      </c>
      <c r="G580" s="18">
        <v>500</v>
      </c>
      <c r="H580" s="18">
        <v>4458.41</v>
      </c>
      <c r="I580" s="87">
        <f t="shared" si="47"/>
        <v>207037.75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416710.9</v>
      </c>
      <c r="G583" s="18">
        <v>75852.460000000006</v>
      </c>
      <c r="H583" s="18">
        <v>447964.98</v>
      </c>
      <c r="I583" s="87">
        <f t="shared" si="47"/>
        <v>940528.34000000008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81246.36</v>
      </c>
      <c r="I584" s="87">
        <f t="shared" si="47"/>
        <v>81246.36</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1222098.8999999999</v>
      </c>
      <c r="I592" s="18">
        <v>292812.23</v>
      </c>
      <c r="J592" s="18">
        <v>356899.31</v>
      </c>
      <c r="K592" s="104">
        <f t="shared" ref="K592:K598" si="48">SUM(H592:J592)</f>
        <v>1871810.44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303622.14</v>
      </c>
      <c r="I593" s="18">
        <v>0</v>
      </c>
      <c r="J593" s="18">
        <v>8189.45</v>
      </c>
      <c r="K593" s="104">
        <f t="shared" si="48"/>
        <v>311811.59000000003</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1585.6</v>
      </c>
      <c r="K594" s="104">
        <f t="shared" si="48"/>
        <v>1585.6</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13264.58</v>
      </c>
      <c r="J595" s="18">
        <v>49307.85</v>
      </c>
      <c r="K595" s="104">
        <f t="shared" si="48"/>
        <v>62572.43</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11803.94</v>
      </c>
      <c r="I596" s="18">
        <v>5907.56</v>
      </c>
      <c r="J596" s="18">
        <v>6634.45</v>
      </c>
      <c r="K596" s="104">
        <f t="shared" si="48"/>
        <v>24345.95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1537524.98</v>
      </c>
      <c r="I599" s="108">
        <f>SUM(I592:I598)</f>
        <v>311984.37</v>
      </c>
      <c r="J599" s="108">
        <f>SUM(J592:J598)</f>
        <v>422616.66</v>
      </c>
      <c r="K599" s="108">
        <f>SUM(K592:K598)</f>
        <v>2272126.0100000002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1421.47</v>
      </c>
      <c r="I604" s="18"/>
      <c r="J604" s="18"/>
      <c r="K604" s="104">
        <f>SUM(H604:J604)</f>
        <v>1421.47</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563923.85</v>
      </c>
      <c r="I605" s="18">
        <v>262264.3</v>
      </c>
      <c r="J605" s="18">
        <v>519360.31</v>
      </c>
      <c r="K605" s="104">
        <f>SUM(H605:J605)</f>
        <v>1345548.46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565345.31999999995</v>
      </c>
      <c r="I606" s="108">
        <f>SUM(I603:I605)</f>
        <v>262264.3</v>
      </c>
      <c r="J606" s="108">
        <f>SUM(J603:J605)</f>
        <v>519360.31</v>
      </c>
      <c r="K606" s="108">
        <f>SUM(K603:K605)</f>
        <v>1346969.93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22105</v>
      </c>
      <c r="G612" s="18">
        <v>3799.27</v>
      </c>
      <c r="H612" s="18">
        <v>0</v>
      </c>
      <c r="I612" s="18">
        <v>561.14</v>
      </c>
      <c r="J612" s="18">
        <v>0</v>
      </c>
      <c r="K612" s="18">
        <v>0</v>
      </c>
      <c r="L612" s="88">
        <f>SUM(F612:K612)</f>
        <v>26465.41</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42031.48</v>
      </c>
      <c r="G614" s="18">
        <v>10596.9</v>
      </c>
      <c r="H614" s="18">
        <v>0</v>
      </c>
      <c r="I614" s="18">
        <v>750</v>
      </c>
      <c r="J614" s="18">
        <v>0</v>
      </c>
      <c r="K614" s="18">
        <v>0</v>
      </c>
      <c r="L614" s="88">
        <f>SUM(F614:K614)</f>
        <v>53378.380000000005</v>
      </c>
      <c r="M614" s="8"/>
      <c r="N614" s="266"/>
    </row>
    <row r="615" spans="1:14" s="3" customFormat="1" ht="12.2" customHeight="1" thickTop="1" x14ac:dyDescent="0.15">
      <c r="A615" s="98" t="s">
        <v>340</v>
      </c>
      <c r="B615" s="107">
        <v>23</v>
      </c>
      <c r="C615" s="107">
        <v>16</v>
      </c>
      <c r="D615" s="39" t="s">
        <v>432</v>
      </c>
      <c r="E615" s="107"/>
      <c r="F615" s="108">
        <f t="shared" ref="F615:L615" si="49">SUM(F612:F614)</f>
        <v>64136.480000000003</v>
      </c>
      <c r="G615" s="108">
        <f t="shared" si="49"/>
        <v>14396.17</v>
      </c>
      <c r="H615" s="108">
        <f t="shared" si="49"/>
        <v>0</v>
      </c>
      <c r="I615" s="108">
        <f t="shared" si="49"/>
        <v>1311.1399999999999</v>
      </c>
      <c r="J615" s="108">
        <f t="shared" si="49"/>
        <v>0</v>
      </c>
      <c r="K615" s="108">
        <f t="shared" si="49"/>
        <v>0</v>
      </c>
      <c r="L615" s="89">
        <f t="shared" si="49"/>
        <v>79843.790000000008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4559376.4700000007</v>
      </c>
      <c r="H618" s="109">
        <f>SUM(F52)</f>
        <v>4559376.4700000007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66081.399999999994</v>
      </c>
      <c r="H619" s="109">
        <f>SUM(G52)</f>
        <v>66081.399999999994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66195.979999999981</v>
      </c>
      <c r="H620" s="109">
        <f>SUM(H52)</f>
        <v>66195.98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1800560.95</v>
      </c>
      <c r="H622" s="109">
        <f>SUM(J52)</f>
        <v>1800560.95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4095979.5700000003</v>
      </c>
      <c r="H623" s="109">
        <f>F477</f>
        <v>4095979.5700000003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1800560.95</v>
      </c>
      <c r="H627" s="109">
        <f>J477</f>
        <v>1800560.95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51269719.290000007</v>
      </c>
      <c r="H628" s="104">
        <f>SUM(F469)</f>
        <v>51269719.289999999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746051.18</v>
      </c>
      <c r="H629" s="104">
        <f>SUM(G469)</f>
        <v>746051.18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1746795.17</v>
      </c>
      <c r="H630" s="104">
        <f>SUM(H469)</f>
        <v>1746795.17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135736.74</v>
      </c>
      <c r="H632" s="104">
        <f>SUM(J469)</f>
        <v>135736.74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48829456.120000005</v>
      </c>
      <c r="H633" s="104">
        <f>SUM(F473)</f>
        <v>48829456.119999997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1746795.1700000002</v>
      </c>
      <c r="H634" s="104">
        <f>SUM(H473)</f>
        <v>1746795.17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311937.76</v>
      </c>
      <c r="H635" s="104">
        <f>I370</f>
        <v>311937.76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863720.82000000007</v>
      </c>
      <c r="H636" s="104">
        <f>SUM(G473)</f>
        <v>863720.82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135736.74</v>
      </c>
      <c r="H638" s="164">
        <f>SUM(J469)</f>
        <v>135736.74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49648.81</v>
      </c>
      <c r="H639" s="164">
        <f>SUM(J473)</f>
        <v>49648.81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1800560.95</v>
      </c>
      <c r="H641" s="104">
        <f>SUM(G462)</f>
        <v>1800560.95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1800560.95</v>
      </c>
      <c r="H643" s="104">
        <f>SUM(I462)</f>
        <v>1800560.95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44809.48</v>
      </c>
      <c r="H645" s="104">
        <f>H409</f>
        <v>44809.48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135736.74</v>
      </c>
      <c r="H647" s="104">
        <f>L409</f>
        <v>135736.74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2272126.0100000002</v>
      </c>
      <c r="H648" s="104">
        <f>L209+L227+L245</f>
        <v>2272126.0100000002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1346969.93</v>
      </c>
      <c r="H649" s="104">
        <f>(J258+J339)-(J256+J337)</f>
        <v>1346969.9300000002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1537524.98</v>
      </c>
      <c r="H650" s="104">
        <f>H599</f>
        <v>1537524.98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311984.37</v>
      </c>
      <c r="H651" s="104">
        <f>I599</f>
        <v>311984.37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422616.66000000003</v>
      </c>
      <c r="H652" s="104">
        <f>J599</f>
        <v>422616.66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27869.87</v>
      </c>
      <c r="H653" s="104">
        <f>K264+K346</f>
        <v>27869.87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23960345.680000003</v>
      </c>
      <c r="G661" s="19">
        <f>(L230+L310+L360)</f>
        <v>7856345.4499999993</v>
      </c>
      <c r="H661" s="19">
        <f>(L248+L329+L361)</f>
        <v>15592590.290000001</v>
      </c>
      <c r="I661" s="19">
        <f>SUM(F661:H661)</f>
        <v>47409281.420000002</v>
      </c>
      <c r="J661" s="13"/>
      <c r="K661" s="13"/>
      <c r="L661" s="13"/>
      <c r="M661" s="9"/>
    </row>
    <row r="662" spans="1:13" s="3" customFormat="1" ht="12.2" customHeight="1" x14ac:dyDescent="0.2">
      <c r="A662" s="1" t="s">
        <v>127</v>
      </c>
      <c r="F662" s="19">
        <f>(L359/IF(SUM(L359:L361)=0,1,SUM(L359:L361))*(SUM(G97:G110)))</f>
        <v>90460.937093988192</v>
      </c>
      <c r="G662" s="19">
        <f>(L360/IF(SUM(L359:L361)=0,1,SUM(L359:L361))*(SUM(G97:G110)))</f>
        <v>69661.684357408216</v>
      </c>
      <c r="H662" s="19">
        <f>(L361/IF(SUM(L359:L361)=0,1,SUM(L359:L361))*(SUM(G97:G110)))</f>
        <v>133714.90854860359</v>
      </c>
      <c r="I662" s="19">
        <f>SUM(F662:H662)</f>
        <v>293837.53000000003</v>
      </c>
      <c r="J662"/>
      <c r="K662" s="13"/>
      <c r="L662" s="13"/>
      <c r="M662" s="8"/>
    </row>
    <row r="663" spans="1:13" s="3" customFormat="1" ht="12.2" customHeight="1" x14ac:dyDescent="0.2">
      <c r="A663" s="1" t="s">
        <v>128</v>
      </c>
      <c r="F663" s="19">
        <f>(L209+L288)-(J209+J288)</f>
        <v>1396504.1</v>
      </c>
      <c r="G663" s="19">
        <f>(L227+L307)-(J227+J307)</f>
        <v>251504.97</v>
      </c>
      <c r="H663" s="19">
        <f>(L245+L326)-(J245+J326)</f>
        <v>331897.57000000007</v>
      </c>
      <c r="I663" s="19">
        <f>SUM(F663:H663)</f>
        <v>1979906.6400000001</v>
      </c>
      <c r="J663"/>
      <c r="K663" s="13"/>
      <c r="L663" s="13"/>
      <c r="M663" s="9"/>
    </row>
    <row r="664" spans="1:13" s="3" customFormat="1" ht="12.2" customHeight="1" x14ac:dyDescent="0.15">
      <c r="A664" s="198" t="s">
        <v>129</v>
      </c>
      <c r="B664" s="169"/>
      <c r="C664" s="169"/>
      <c r="D664" s="169"/>
      <c r="E664" s="169"/>
      <c r="F664" s="199">
        <f>SUM(F576:F588)+SUM(H603:H605)+SUM(L612)</f>
        <v>1210600.97</v>
      </c>
      <c r="G664" s="199">
        <f>SUM(G576:G588)+SUM(I603:I605)+L613</f>
        <v>338616.76</v>
      </c>
      <c r="H664" s="199">
        <f>SUM(H576:H588)+SUM(J603:J605)+L614</f>
        <v>1106408.44</v>
      </c>
      <c r="I664" s="19">
        <f>SUM(F664:H664)</f>
        <v>2655626.17</v>
      </c>
      <c r="J664" s="13"/>
      <c r="K664" s="13"/>
      <c r="L664" s="13"/>
      <c r="M664" s="9"/>
    </row>
    <row r="665" spans="1:13" s="3" customFormat="1" ht="12.2" customHeight="1" x14ac:dyDescent="0.15">
      <c r="A665" s="1" t="s">
        <v>130</v>
      </c>
      <c r="F665" s="19">
        <f>F661-SUM(F662:F664)</f>
        <v>21262779.672906015</v>
      </c>
      <c r="G665" s="19">
        <f>G661-SUM(G662:G664)</f>
        <v>7196562.0356425913</v>
      </c>
      <c r="H665" s="19">
        <f>H661-SUM(H662:H664)</f>
        <v>14020569.371451396</v>
      </c>
      <c r="I665" s="19">
        <f>I661-SUM(I662:I664)</f>
        <v>42479911.079999998</v>
      </c>
      <c r="J665" s="13"/>
      <c r="K665" s="13"/>
      <c r="L665" s="13"/>
      <c r="M665" s="8"/>
    </row>
    <row r="666" spans="1:13" s="3" customFormat="1" ht="12.2" customHeight="1" x14ac:dyDescent="0.2">
      <c r="A666" s="1" t="s">
        <v>131</v>
      </c>
      <c r="F666" s="246">
        <f>16.18+128.58+982.5</f>
        <v>1127.26</v>
      </c>
      <c r="G666" s="247">
        <v>370.49</v>
      </c>
      <c r="H666" s="247">
        <v>772.31</v>
      </c>
      <c r="I666" s="19">
        <f>SUM(F666:H666)</f>
        <v>2270.06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18862.36</v>
      </c>
      <c r="G668" s="19">
        <f>ROUND(G665/G666,2)</f>
        <v>19424.439999999999</v>
      </c>
      <c r="H668" s="19">
        <f>ROUND(H665/H666,2)</f>
        <v>18154.07</v>
      </c>
      <c r="I668" s="19">
        <f>ROUND(I665/I666,2)</f>
        <v>18713.12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20.95</v>
      </c>
      <c r="I671" s="19">
        <f>SUM(F671:H671)</f>
        <v>20.95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18862.36</v>
      </c>
      <c r="G673" s="19">
        <f>ROUND((G665+G670)/(G666+G671),2)</f>
        <v>19424.439999999999</v>
      </c>
      <c r="H673" s="19">
        <f>ROUND((H665+H670)/(H666+H671),2)</f>
        <v>17674.62</v>
      </c>
      <c r="I673" s="19">
        <f>ROUND((I665+I670)/(I666+I671),2)</f>
        <v>18542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Governor Wentworth Regional School District</v>
      </c>
      <c r="C5" s="344"/>
      <c r="D5" s="344"/>
      <c r="E5" s="344"/>
      <c r="F5" s="344"/>
    </row>
    <row r="8" spans="1:9" ht="18" x14ac:dyDescent="0.25">
      <c r="A8" s="323" t="s">
        <v>1591</v>
      </c>
      <c r="F8" s="330" t="s">
        <v>1609</v>
      </c>
    </row>
    <row r="9" spans="1:9" ht="15" x14ac:dyDescent="0.2">
      <c r="A9" s="321" t="s">
        <v>1592</v>
      </c>
      <c r="B9" s="324">
        <f>'DOE25'!G97</f>
        <v>293837.53000000003</v>
      </c>
      <c r="F9" s="321" t="s">
        <v>1605</v>
      </c>
    </row>
    <row r="10" spans="1:9" ht="15" x14ac:dyDescent="0.2">
      <c r="A10" s="321" t="s">
        <v>1593</v>
      </c>
      <c r="B10" s="324">
        <f>'DOE25'!G112-'DOE25'!G97</f>
        <v>0</v>
      </c>
      <c r="F10" s="321" t="s">
        <v>1606</v>
      </c>
    </row>
    <row r="11" spans="1:9" ht="15" x14ac:dyDescent="0.2">
      <c r="A11" s="321" t="s">
        <v>1594</v>
      </c>
      <c r="B11" s="324">
        <f>'DOE25'!G140</f>
        <v>12536.2</v>
      </c>
      <c r="F11" s="321" t="s">
        <v>1607</v>
      </c>
    </row>
    <row r="12" spans="1:9" ht="15" x14ac:dyDescent="0.2">
      <c r="A12" s="321" t="s">
        <v>1595</v>
      </c>
      <c r="B12" s="324">
        <f>'DOE25'!G170</f>
        <v>411807.58</v>
      </c>
      <c r="F12" s="321" t="s">
        <v>1608</v>
      </c>
    </row>
    <row r="13" spans="1:9" ht="15" x14ac:dyDescent="0.2">
      <c r="A13" s="321" t="s">
        <v>1596</v>
      </c>
      <c r="B13" s="324">
        <f>'DOE25'!G193-'DOE25'!G180</f>
        <v>0</v>
      </c>
      <c r="F13" s="321" t="s">
        <v>1618</v>
      </c>
    </row>
    <row r="14" spans="1:9" ht="18" x14ac:dyDescent="0.25">
      <c r="A14" s="323" t="s">
        <v>732</v>
      </c>
      <c r="B14" s="325">
        <f>SUM(B9:B13)</f>
        <v>718181.31</v>
      </c>
    </row>
    <row r="16" spans="1:9" ht="18" x14ac:dyDescent="0.25">
      <c r="A16" s="323" t="s">
        <v>786</v>
      </c>
      <c r="F16" s="330" t="s">
        <v>1610</v>
      </c>
    </row>
    <row r="17" spans="1:6" ht="15" x14ac:dyDescent="0.2">
      <c r="A17" s="321" t="s">
        <v>1597</v>
      </c>
      <c r="B17" s="324">
        <f>'DOE25'!L363-'DOE25'!L362</f>
        <v>863720.82000000007</v>
      </c>
      <c r="F17" s="321" t="s">
        <v>1611</v>
      </c>
    </row>
    <row r="18" spans="1:6" ht="15" x14ac:dyDescent="0.2">
      <c r="A18" s="321" t="s">
        <v>1598</v>
      </c>
      <c r="B18" s="338"/>
      <c r="F18" s="330" t="s">
        <v>1637</v>
      </c>
    </row>
    <row r="19" spans="1:6" ht="18" x14ac:dyDescent="0.25">
      <c r="A19" s="323" t="s">
        <v>725</v>
      </c>
      <c r="B19" s="325">
        <f>SUM(B17:B18)</f>
        <v>863720.82000000007</v>
      </c>
    </row>
    <row r="21" spans="1:6" ht="18.75" thickBot="1" x14ac:dyDescent="0.3">
      <c r="A21" s="323" t="s">
        <v>1599</v>
      </c>
    </row>
    <row r="22" spans="1:6" ht="18.75" thickTop="1" x14ac:dyDescent="0.25">
      <c r="A22" s="323" t="s">
        <v>1600</v>
      </c>
      <c r="B22" s="329">
        <f>B14-B19</f>
        <v>-145539.51</v>
      </c>
      <c r="F22" s="321" t="s">
        <v>1612</v>
      </c>
    </row>
    <row r="26" spans="1:6" ht="18" x14ac:dyDescent="0.25">
      <c r="A26" s="323" t="s">
        <v>186</v>
      </c>
    </row>
    <row r="27" spans="1:6" ht="15" x14ac:dyDescent="0.2">
      <c r="A27" s="321" t="s">
        <v>1601</v>
      </c>
      <c r="B27" s="324">
        <f>'DOE25'!G180</f>
        <v>27869.87</v>
      </c>
      <c r="F27" s="321" t="s">
        <v>1613</v>
      </c>
    </row>
    <row r="28" spans="1:6" ht="15" x14ac:dyDescent="0.2">
      <c r="A28" s="321" t="s">
        <v>1603</v>
      </c>
      <c r="B28" s="324">
        <f>'DOE25'!L362</f>
        <v>0</v>
      </c>
      <c r="F28" s="321" t="s">
        <v>1614</v>
      </c>
    </row>
    <row r="31" spans="1:6" ht="15" x14ac:dyDescent="0.2">
      <c r="A31" s="321" t="s">
        <v>1640</v>
      </c>
      <c r="B31" s="324">
        <f>'DOE25'!G466</f>
        <v>117669.64</v>
      </c>
      <c r="F31" s="321" t="s">
        <v>1615</v>
      </c>
    </row>
    <row r="33" spans="1:6" ht="15" x14ac:dyDescent="0.2">
      <c r="A33" s="321" t="s">
        <v>1641</v>
      </c>
      <c r="B33" s="324">
        <f>'DOE25'!G477</f>
        <v>0</v>
      </c>
      <c r="F33" s="321" t="s">
        <v>1616</v>
      </c>
    </row>
    <row r="36" spans="1:6" ht="15" x14ac:dyDescent="0.2">
      <c r="A36" s="321" t="s">
        <v>1602</v>
      </c>
      <c r="B36" s="339">
        <v>64184.36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Governor Wentworth Regional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12217741.970000001</v>
      </c>
      <c r="C9" s="229">
        <f>'DOE25'!G198+'DOE25'!G216+'DOE25'!G234+'DOE25'!G277+'DOE25'!G296+'DOE25'!G315</f>
        <v>7108880.6499999994</v>
      </c>
    </row>
    <row r="10" spans="1:3" x14ac:dyDescent="0.2">
      <c r="A10" t="s">
        <v>775</v>
      </c>
      <c r="B10" s="240">
        <v>11299341.720000001</v>
      </c>
      <c r="C10" s="240">
        <v>5938623.0300000003</v>
      </c>
    </row>
    <row r="11" spans="1:3" x14ac:dyDescent="0.2">
      <c r="A11" t="s">
        <v>776</v>
      </c>
      <c r="B11" s="240">
        <v>918400.25</v>
      </c>
      <c r="C11" s="240">
        <v>1170257.6200000001</v>
      </c>
    </row>
    <row r="12" spans="1:3" x14ac:dyDescent="0.2">
      <c r="A12" t="s">
        <v>777</v>
      </c>
      <c r="B12" s="240"/>
      <c r="C12" s="240"/>
    </row>
    <row r="13" spans="1:3" x14ac:dyDescent="0.2">
      <c r="A13" t="str">
        <f>IF(B9=B13,IF(C9=C13,"Check Total OK","Check Total Error"),"Check Total Error")</f>
        <v>Check Total OK</v>
      </c>
      <c r="B13" s="231">
        <f>SUM(B10:B12)</f>
        <v>12217741.970000001</v>
      </c>
      <c r="C13" s="231">
        <f>SUM(C10:C12)</f>
        <v>7108880.6500000004</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4831112.3100000005</v>
      </c>
      <c r="C18" s="229">
        <f>'DOE25'!G199+'DOE25'!G217+'DOE25'!G235+'DOE25'!G278+'DOE25'!G297+'DOE25'!G316</f>
        <v>2595645.4399999999</v>
      </c>
    </row>
    <row r="19" spans="1:3" x14ac:dyDescent="0.2">
      <c r="A19" t="s">
        <v>775</v>
      </c>
      <c r="B19" s="240">
        <v>3515876.23</v>
      </c>
      <c r="C19" s="240">
        <v>1589489.84</v>
      </c>
    </row>
    <row r="20" spans="1:3" x14ac:dyDescent="0.2">
      <c r="A20" t="s">
        <v>776</v>
      </c>
      <c r="B20" s="240">
        <v>1315236.08</v>
      </c>
      <c r="C20" s="240">
        <v>1006155.6</v>
      </c>
    </row>
    <row r="21" spans="1:3" x14ac:dyDescent="0.2">
      <c r="A21" t="s">
        <v>777</v>
      </c>
      <c r="B21" s="240"/>
      <c r="C21" s="240"/>
    </row>
    <row r="22" spans="1:3" x14ac:dyDescent="0.2">
      <c r="A22" t="str">
        <f>IF(B18=B22,IF(C18=C22,"Check Total OK","Check Total Error"),"Check Total Error")</f>
        <v>Check Total OK</v>
      </c>
      <c r="B22" s="231">
        <f>SUM(B19:B21)</f>
        <v>4831112.3100000005</v>
      </c>
      <c r="C22" s="231">
        <f>SUM(C19:C21)</f>
        <v>2595645.4399999999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1009367.96</v>
      </c>
      <c r="C27" s="234">
        <f>'DOE25'!G200+'DOE25'!G218+'DOE25'!G236+'DOE25'!G279+'DOE25'!G298+'DOE25'!G317</f>
        <v>481439.51999999996</v>
      </c>
    </row>
    <row r="28" spans="1:3" x14ac:dyDescent="0.2">
      <c r="A28" t="s">
        <v>775</v>
      </c>
      <c r="B28" s="240">
        <v>902115.36</v>
      </c>
      <c r="C28" s="240">
        <v>399391.28</v>
      </c>
    </row>
    <row r="29" spans="1:3" x14ac:dyDescent="0.2">
      <c r="A29" t="s">
        <v>776</v>
      </c>
      <c r="B29" s="240">
        <v>107252.6</v>
      </c>
      <c r="C29" s="240">
        <v>82048.240000000005</v>
      </c>
    </row>
    <row r="30" spans="1:3" x14ac:dyDescent="0.2">
      <c r="A30" t="s">
        <v>777</v>
      </c>
      <c r="B30" s="240"/>
      <c r="C30" s="240"/>
    </row>
    <row r="31" spans="1:3" x14ac:dyDescent="0.2">
      <c r="A31" t="str">
        <f>IF(B27=B31,IF(C27=C31,"Check Total OK","Check Total Error"),"Check Total Error")</f>
        <v>Check Total OK</v>
      </c>
      <c r="B31" s="231">
        <f>SUM(B28:B30)</f>
        <v>1009367.96</v>
      </c>
      <c r="C31" s="231">
        <f>SUM(C28:C30)</f>
        <v>481439.52</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442507.96</v>
      </c>
      <c r="C36" s="235">
        <f>'DOE25'!G201+'DOE25'!G219+'DOE25'!G237+'DOE25'!G280+'DOE25'!G299+'DOE25'!G318</f>
        <v>79131.94</v>
      </c>
    </row>
    <row r="37" spans="1:3" x14ac:dyDescent="0.2">
      <c r="A37" t="s">
        <v>775</v>
      </c>
      <c r="B37" s="240">
        <v>59256.94</v>
      </c>
      <c r="C37" s="240">
        <v>45331.56</v>
      </c>
    </row>
    <row r="38" spans="1:3" x14ac:dyDescent="0.2">
      <c r="A38" t="s">
        <v>776</v>
      </c>
      <c r="B38" s="240">
        <v>22477.5</v>
      </c>
      <c r="C38" s="240">
        <v>17195.29</v>
      </c>
    </row>
    <row r="39" spans="1:3" x14ac:dyDescent="0.2">
      <c r="A39" t="s">
        <v>777</v>
      </c>
      <c r="B39" s="240">
        <v>360773.52</v>
      </c>
      <c r="C39" s="240">
        <v>16605.09</v>
      </c>
    </row>
    <row r="40" spans="1:3" x14ac:dyDescent="0.2">
      <c r="A40" t="str">
        <f>IF(B36=B40,IF(C36=C40,"Check Total OK","Check Total Error"),"Check Total Error")</f>
        <v>Check Total OK</v>
      </c>
      <c r="B40" s="231">
        <f>SUM(B37:B39)</f>
        <v>442507.96</v>
      </c>
      <c r="C40" s="231">
        <f>SUM(C37:C39)</f>
        <v>79131.94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Governor Wentworth Regional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30624906.230000004</v>
      </c>
      <c r="D5" s="20">
        <f>SUM('DOE25'!L198:L201)+SUM('DOE25'!L216:L219)+SUM('DOE25'!L234:L237)-F5-G5-H5</f>
        <v>30031071.190000005</v>
      </c>
      <c r="E5" s="243"/>
      <c r="F5" s="244">
        <v>14084</v>
      </c>
      <c r="G5" s="53">
        <f>SUM('DOE25'!J198:J201)+SUM('DOE25'!J216:J219)+SUM('DOE25'!J234:J237)</f>
        <v>570014.04</v>
      </c>
      <c r="H5" s="53">
        <f>SUM('DOE25'!K198:K201)+SUM('DOE25'!K216:K219)+SUM('DOE25'!K234:K237)</f>
        <v>9737</v>
      </c>
      <c r="I5" s="256"/>
    </row>
    <row r="6" spans="1:9" x14ac:dyDescent="0.2">
      <c r="A6" s="32">
        <v>2100</v>
      </c>
      <c r="B6" t="s">
        <v>796</v>
      </c>
      <c r="C6" s="276">
        <f t="shared" si="0"/>
        <v>2087875.94</v>
      </c>
      <c r="D6" s="20">
        <f>'DOE25'!L203+'DOE25'!L221+'DOE25'!L239-F6-G6-H6</f>
        <v>1931659.5899999999</v>
      </c>
      <c r="E6" s="243"/>
      <c r="F6" s="244">
        <v>150966.04</v>
      </c>
      <c r="G6" s="53">
        <f>'DOE25'!J203+'DOE25'!J221+'DOE25'!J239</f>
        <v>5062.8099999999995</v>
      </c>
      <c r="H6" s="53">
        <f>'DOE25'!K203+'DOE25'!K221+'DOE25'!K239</f>
        <v>187.5</v>
      </c>
      <c r="I6" s="256"/>
    </row>
    <row r="7" spans="1:9" x14ac:dyDescent="0.2">
      <c r="A7" s="32">
        <v>2200</v>
      </c>
      <c r="B7" t="s">
        <v>821</v>
      </c>
      <c r="C7" s="276">
        <f t="shared" si="0"/>
        <v>2030273.31</v>
      </c>
      <c r="D7" s="20">
        <f>'DOE25'!L204+'DOE25'!L222+'DOE25'!L240-F7-G7-H7</f>
        <v>1757433.9100000001</v>
      </c>
      <c r="E7" s="243"/>
      <c r="F7" s="244">
        <v>0</v>
      </c>
      <c r="G7" s="53">
        <f>'DOE25'!J204+'DOE25'!J222+'DOE25'!J240</f>
        <v>272245.40000000002</v>
      </c>
      <c r="H7" s="53">
        <f>'DOE25'!K204+'DOE25'!K222+'DOE25'!K240</f>
        <v>594</v>
      </c>
      <c r="I7" s="256"/>
    </row>
    <row r="8" spans="1:9" x14ac:dyDescent="0.2">
      <c r="A8" s="32">
        <v>2300</v>
      </c>
      <c r="B8" t="s">
        <v>797</v>
      </c>
      <c r="C8" s="276">
        <f t="shared" si="0"/>
        <v>55730.849999999955</v>
      </c>
      <c r="D8" s="243"/>
      <c r="E8" s="20">
        <f>'DOE25'!L205+'DOE25'!L223+'DOE25'!L241-F8-G8-H8-D9-D11</f>
        <v>46687.579999999958</v>
      </c>
      <c r="F8" s="244">
        <v>0</v>
      </c>
      <c r="G8" s="53">
        <f>'DOE25'!J205+'DOE25'!J223+'DOE25'!J241</f>
        <v>252.67000000000002</v>
      </c>
      <c r="H8" s="53">
        <f>'DOE25'!K205+'DOE25'!K223+'DOE25'!K241</f>
        <v>8790.6</v>
      </c>
      <c r="I8" s="256"/>
    </row>
    <row r="9" spans="1:9" ht="14.25" x14ac:dyDescent="0.2">
      <c r="A9" s="32">
        <v>2310</v>
      </c>
      <c r="B9" s="185" t="s">
        <v>890</v>
      </c>
      <c r="C9" s="276">
        <f t="shared" si="0"/>
        <v>68357.710000000006</v>
      </c>
      <c r="D9" s="244">
        <v>68357.710000000006</v>
      </c>
      <c r="E9" s="243"/>
      <c r="F9" s="253"/>
      <c r="G9" s="253"/>
      <c r="H9" s="253"/>
      <c r="I9" s="256"/>
    </row>
    <row r="10" spans="1:9" ht="14.25" x14ac:dyDescent="0.2">
      <c r="A10" s="32">
        <v>2317</v>
      </c>
      <c r="B10" s="185" t="s">
        <v>891</v>
      </c>
      <c r="C10" s="276">
        <f t="shared" si="0"/>
        <v>18334.89</v>
      </c>
      <c r="D10" s="243"/>
      <c r="E10" s="244">
        <v>18334.89</v>
      </c>
      <c r="F10" s="253"/>
      <c r="G10" s="253"/>
      <c r="H10" s="253"/>
      <c r="I10" s="256"/>
    </row>
    <row r="11" spans="1:9" ht="14.25" x14ac:dyDescent="0.2">
      <c r="A11" s="32">
        <v>2321</v>
      </c>
      <c r="B11" s="185" t="s">
        <v>892</v>
      </c>
      <c r="C11" s="276">
        <f t="shared" si="0"/>
        <v>785305.05</v>
      </c>
      <c r="D11" s="244">
        <v>785305.05</v>
      </c>
      <c r="E11" s="243"/>
      <c r="F11" s="253"/>
      <c r="G11" s="253"/>
      <c r="H11" s="253"/>
      <c r="I11" s="256"/>
    </row>
    <row r="12" spans="1:9" x14ac:dyDescent="0.2">
      <c r="A12" s="32">
        <v>2400</v>
      </c>
      <c r="B12" t="s">
        <v>711</v>
      </c>
      <c r="C12" s="276">
        <f t="shared" si="0"/>
        <v>2698740.56</v>
      </c>
      <c r="D12" s="20">
        <f>'DOE25'!L206+'DOE25'!L224+'DOE25'!L242-F12-G12-H12</f>
        <v>2692186.75</v>
      </c>
      <c r="E12" s="243"/>
      <c r="F12" s="244">
        <v>0</v>
      </c>
      <c r="G12" s="53">
        <f>'DOE25'!J206+'DOE25'!J224+'DOE25'!J242</f>
        <v>3229.81</v>
      </c>
      <c r="H12" s="53">
        <f>'DOE25'!K206+'DOE25'!K224+'DOE25'!K242</f>
        <v>3324</v>
      </c>
      <c r="I12" s="256"/>
    </row>
    <row r="13" spans="1:9" x14ac:dyDescent="0.2">
      <c r="A13" s="32">
        <v>2500</v>
      </c>
      <c r="B13" t="s">
        <v>798</v>
      </c>
      <c r="C13" s="276">
        <f t="shared" si="0"/>
        <v>525379.01</v>
      </c>
      <c r="D13" s="243"/>
      <c r="E13" s="20">
        <f>'DOE25'!L207+'DOE25'!L225+'DOE25'!L243-F13-G13-H13</f>
        <v>511289.81000000006</v>
      </c>
      <c r="F13" s="244">
        <v>0</v>
      </c>
      <c r="G13" s="53">
        <f>'DOE25'!J207+'DOE25'!J225+'DOE25'!J243</f>
        <v>1332.66</v>
      </c>
      <c r="H13" s="53">
        <f>'DOE25'!K207+'DOE25'!K225+'DOE25'!K243</f>
        <v>12756.54</v>
      </c>
      <c r="I13" s="256"/>
    </row>
    <row r="14" spans="1:9" x14ac:dyDescent="0.2">
      <c r="A14" s="32">
        <v>2600</v>
      </c>
      <c r="B14" t="s">
        <v>819</v>
      </c>
      <c r="C14" s="276">
        <f t="shared" si="0"/>
        <v>3777031.1300000008</v>
      </c>
      <c r="D14" s="20">
        <f>'DOE25'!L208+'DOE25'!L226+'DOE25'!L244-F14-G14-H14</f>
        <v>3442203.9300000011</v>
      </c>
      <c r="E14" s="243"/>
      <c r="F14" s="244">
        <v>269935.34000000003</v>
      </c>
      <c r="G14" s="53">
        <f>'DOE25'!J208+'DOE25'!J226+'DOE25'!J244</f>
        <v>64891.859999999993</v>
      </c>
      <c r="H14" s="53">
        <f>'DOE25'!K208+'DOE25'!K226+'DOE25'!K244</f>
        <v>0</v>
      </c>
      <c r="I14" s="256"/>
    </row>
    <row r="15" spans="1:9" x14ac:dyDescent="0.2">
      <c r="A15" s="32">
        <v>2700</v>
      </c>
      <c r="B15" t="s">
        <v>799</v>
      </c>
      <c r="C15" s="276">
        <f t="shared" si="0"/>
        <v>2272126.0100000002</v>
      </c>
      <c r="D15" s="20">
        <f>'DOE25'!L209+'DOE25'!L227+'DOE25'!L245-F15-G15-H15</f>
        <v>1969729.0400000003</v>
      </c>
      <c r="E15" s="243"/>
      <c r="F15" s="244">
        <v>0</v>
      </c>
      <c r="G15" s="53">
        <f>'DOE25'!J209+'DOE25'!J227+'DOE25'!J245</f>
        <v>302396.96999999997</v>
      </c>
      <c r="H15" s="53">
        <f>'DOE25'!K209+'DOE25'!K227+'DOE25'!K245</f>
        <v>0</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10274.64</v>
      </c>
      <c r="D17" s="20">
        <f>'DOE25'!L252-F17-G17-H17</f>
        <v>10274.64</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10057.23</v>
      </c>
      <c r="D19" s="20">
        <f>'DOE25'!L254-F19-G19-H19</f>
        <v>10057.23</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200000</v>
      </c>
      <c r="D22" s="243"/>
      <c r="E22" s="243"/>
      <c r="F22" s="243"/>
      <c r="G22" s="53">
        <f>'DOE25'!L256+'DOE25'!L337</f>
        <v>200000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3595528.58</v>
      </c>
      <c r="D25" s="243"/>
      <c r="E25" s="243"/>
      <c r="F25" s="255"/>
      <c r="G25" s="253"/>
      <c r="H25" s="253"/>
      <c r="I25" s="254">
        <f>'DOE25'!L261+'DOE25'!L262+'DOE25'!L342+'DOE25'!L343</f>
        <v>3595528.58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568253.42000000004</v>
      </c>
      <c r="D29" s="284">
        <f>'DOE25'!L359+'DOE25'!L360+'DOE25'!L361-'DOE25'!I368-F29-G29-H29</f>
        <v>567573.08000000007</v>
      </c>
      <c r="E29" s="243"/>
      <c r="F29" s="244">
        <v>0</v>
      </c>
      <c r="G29" s="53">
        <f>'DOE25'!J359+'DOE25'!J360+'DOE25'!J361</f>
        <v>680.34</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1745036.85</v>
      </c>
      <c r="D31" s="20">
        <f>'DOE25'!L291+'DOE25'!L310+'DOE25'!L329+'DOE25'!L334+'DOE25'!L335+'DOE25'!L336-F31-G31-H31</f>
        <v>1564513.6</v>
      </c>
      <c r="E31" s="243"/>
      <c r="F31" s="244">
        <f>43435.5+3600</f>
        <v>47035.5</v>
      </c>
      <c r="G31" s="53">
        <f>'DOE25'!J291+'DOE25'!J310+'DOE25'!J329+'DOE25'!J334+'DOE25'!J335+'DOE25'!J336</f>
        <v>127543.70999999999</v>
      </c>
      <c r="H31" s="53">
        <f>'DOE25'!K291+'DOE25'!K310+'DOE25'!K329+'DOE25'!K334+'DOE25'!K335+'DOE25'!K336</f>
        <v>5944.04</v>
      </c>
      <c r="I31" s="256"/>
    </row>
    <row r="32" spans="1:9" ht="12" thickBot="1" x14ac:dyDescent="0.25">
      <c r="C32" s="277"/>
      <c r="G32" s="251"/>
      <c r="H32" s="251"/>
      <c r="I32" s="258"/>
    </row>
    <row r="33" spans="1:9" ht="12" thickTop="1" x14ac:dyDescent="0.2">
      <c r="B33" t="s">
        <v>809</v>
      </c>
      <c r="D33" s="245">
        <f t="shared" ref="D33:I33" si="1">SUM(D5:D31)</f>
        <v>44830365.719999999</v>
      </c>
      <c r="E33" s="245">
        <f t="shared" si="1"/>
        <v>576312.28</v>
      </c>
      <c r="F33" s="245">
        <f t="shared" si="1"/>
        <v>482020.88</v>
      </c>
      <c r="G33" s="245">
        <f t="shared" si="1"/>
        <v>1547650.2700000003</v>
      </c>
      <c r="H33" s="245">
        <f t="shared" si="1"/>
        <v>41333.68</v>
      </c>
      <c r="I33" s="245">
        <f t="shared" si="1"/>
        <v>3595528.58</v>
      </c>
    </row>
    <row r="35" spans="1:9" ht="12" thickBot="1" x14ac:dyDescent="0.25">
      <c r="B35" s="251" t="s">
        <v>831</v>
      </c>
      <c r="D35" s="252">
        <f>E33</f>
        <v>576312.28</v>
      </c>
      <c r="E35" s="248"/>
    </row>
    <row r="36" spans="1:9" ht="12" thickTop="1" x14ac:dyDescent="0.2">
      <c r="B36" t="s">
        <v>810</v>
      </c>
      <c r="D36" s="20">
        <f>D33</f>
        <v>44830365.719999999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A10" sqref="A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Governor Wentworth Regional School District</v>
      </c>
      <c r="B2" s="126">
        <f>'DOE25'!B2</f>
        <v>208</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23694440.250000004</v>
      </c>
      <c r="G4" s="303">
        <f>'DOE25'!L212+'DOE25'!L291</f>
        <v>23694440.250000004</v>
      </c>
      <c r="H4" s="337">
        <f>F4-G4</f>
        <v>0</v>
      </c>
      <c r="I4" s="309" t="str">
        <f>IF(H4=0,"","Does not match DOE25 page 7 and 11 Totals!!")</f>
        <v/>
      </c>
      <c r="N4"/>
    </row>
    <row r="5" spans="1:18" x14ac:dyDescent="0.2">
      <c r="A5" s="21" t="s">
        <v>1083</v>
      </c>
      <c r="B5" s="304">
        <f>IFERROR(VLOOKUP(A5,'School Tables'!$C$3:$D$365,2,FALSE),"")</f>
        <v>22430</v>
      </c>
      <c r="C5" s="297" t="str">
        <f>IFERROR(INDEX('School Tables'!$B$3:$B$365,MATCH('School Level Expenditures'!B5,'School Tables'!$D$3:$D$365,0)),"")</f>
        <v>Governor Wentworth Regional</v>
      </c>
      <c r="D5" s="294">
        <v>4500881.6100000003</v>
      </c>
      <c r="E5" s="294">
        <v>226017.65</v>
      </c>
      <c r="F5" s="312">
        <f>D5+E5</f>
        <v>4726899.2600000007</v>
      </c>
      <c r="G5" s="297"/>
      <c r="H5" s="297"/>
      <c r="I5" s="126"/>
      <c r="N5"/>
    </row>
    <row r="6" spans="1:18" x14ac:dyDescent="0.2">
      <c r="A6" s="21" t="s">
        <v>1078</v>
      </c>
      <c r="B6" s="304">
        <f>IFERROR(VLOOKUP(A6,'School Tables'!$C$3:$D$365,2,FALSE),"")</f>
        <v>22395</v>
      </c>
      <c r="C6" s="297" t="str">
        <f>IFERROR(INDEX('School Tables'!$B$3:$B$365,MATCH('School Level Expenditures'!B6,'School Tables'!$D$3:$D$365,0)),"")</f>
        <v>Governor Wentworth Regional</v>
      </c>
      <c r="D6" s="294">
        <v>2430177.91</v>
      </c>
      <c r="E6" s="294">
        <v>122034.56</v>
      </c>
      <c r="F6" s="307">
        <f t="shared" ref="F6:F20" si="0">D6+E6</f>
        <v>2552212.4700000002</v>
      </c>
      <c r="G6" s="297"/>
      <c r="H6" s="297"/>
      <c r="I6" s="126"/>
      <c r="N6"/>
    </row>
    <row r="7" spans="1:18" x14ac:dyDescent="0.2">
      <c r="A7" s="21" t="s">
        <v>1085</v>
      </c>
      <c r="B7" s="304">
        <f>IFERROR(VLOOKUP(A7,'School Tables'!$C$3:$D$365,2,FALSE),"")</f>
        <v>27515</v>
      </c>
      <c r="C7" s="297" t="str">
        <f>IFERROR(INDEX('School Tables'!$B$3:$B$365,MATCH('School Level Expenditures'!B7,'School Tables'!$D$3:$D$365,0)),"")</f>
        <v>Governor Wentworth Regional</v>
      </c>
      <c r="D7" s="294">
        <v>3785692.56</v>
      </c>
      <c r="E7" s="294">
        <v>190103.5</v>
      </c>
      <c r="F7" s="307">
        <f t="shared" si="0"/>
        <v>3975796.06</v>
      </c>
      <c r="G7" s="297"/>
      <c r="H7" s="297"/>
      <c r="I7" s="126"/>
      <c r="N7"/>
    </row>
    <row r="8" spans="1:18" x14ac:dyDescent="0.2">
      <c r="A8" s="21" t="s">
        <v>1079</v>
      </c>
      <c r="B8" s="304">
        <f>IFERROR(VLOOKUP(A8,'School Tables'!$C$3:$D$365,2,FALSE),"")</f>
        <v>22400</v>
      </c>
      <c r="C8" s="297" t="str">
        <f>IFERROR(INDEX('School Tables'!$B$3:$B$365,MATCH('School Level Expenditures'!B8,'School Tables'!$D$3:$D$365,0)),"")</f>
        <v>Governor Wentworth Regional</v>
      </c>
      <c r="D8" s="294">
        <v>4640367.46</v>
      </c>
      <c r="E8" s="294">
        <v>233022.11</v>
      </c>
      <c r="F8" s="307">
        <f t="shared" si="0"/>
        <v>4873389.57</v>
      </c>
      <c r="G8" s="297"/>
      <c r="H8" s="297"/>
      <c r="I8" s="126"/>
      <c r="N8"/>
    </row>
    <row r="9" spans="1:18" x14ac:dyDescent="0.2">
      <c r="A9" s="21" t="s">
        <v>1080</v>
      </c>
      <c r="B9" s="304">
        <f>IFERROR(VLOOKUP(A9,'School Tables'!$C$3:$D$365,2,FALSE),"")</f>
        <v>22405</v>
      </c>
      <c r="C9" s="297" t="str">
        <f>IFERROR(INDEX('School Tables'!$B$3:$B$365,MATCH('School Level Expenditures'!B9,'School Tables'!$D$3:$D$365,0)),"")</f>
        <v>Governor Wentworth Regional</v>
      </c>
      <c r="D9" s="294">
        <v>4372673.9000000004</v>
      </c>
      <c r="E9" s="294">
        <v>219579.53</v>
      </c>
      <c r="F9" s="307">
        <f t="shared" si="0"/>
        <v>4592253.4300000006</v>
      </c>
      <c r="G9" s="297"/>
      <c r="H9" s="297"/>
      <c r="I9" s="126"/>
      <c r="N9"/>
    </row>
    <row r="10" spans="1:18" x14ac:dyDescent="0.2">
      <c r="A10" s="21" t="s">
        <v>1081</v>
      </c>
      <c r="B10" s="304">
        <f>IFERROR(VLOOKUP(A10,'School Tables'!$C$3:$D$365,2,FALSE),"")</f>
        <v>22410</v>
      </c>
      <c r="C10" s="297" t="str">
        <f>IFERROR(INDEX('School Tables'!$B$3:$B$365,MATCH('School Level Expenditures'!B10,'School Tables'!$D$3:$D$365,0)),"")</f>
        <v>Governor Wentworth Regional</v>
      </c>
      <c r="D10" s="294">
        <v>2831692.33</v>
      </c>
      <c r="E10" s="294">
        <v>142197.13</v>
      </c>
      <c r="F10" s="307">
        <f t="shared" si="0"/>
        <v>2973889.46</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7651578.3899999997</v>
      </c>
      <c r="G24" s="303">
        <f>'DOE25'!L230+'DOE25'!L310</f>
        <v>7651578.3899999997</v>
      </c>
      <c r="H24" s="337">
        <f>F24-G24</f>
        <v>0</v>
      </c>
      <c r="I24" s="309" t="str">
        <f>IF(H24=0,"","Does not match DOE25 page 8 and 12 Totals!!")</f>
        <v/>
      </c>
      <c r="N24"/>
    </row>
    <row r="25" spans="1:14" x14ac:dyDescent="0.2">
      <c r="A25" s="21" t="s">
        <v>1084</v>
      </c>
      <c r="B25" s="304">
        <f>IFERROR(VLOOKUP(A25,'School Tables'!$I$3:$J$80,2,FALSE),"")</f>
        <v>22440</v>
      </c>
      <c r="C25" s="297" t="str">
        <f t="array" ref="C25">IFERROR(INDEX('School Tables'!$H$3:$H$80,MATCH('School Level Expenditures'!B25,'School Tables'!$J$3:$J$80,0)),"")</f>
        <v>Governor Wentworth Regional</v>
      </c>
      <c r="D25" s="294">
        <v>7538984.3300000001</v>
      </c>
      <c r="E25" s="294">
        <v>112594.06</v>
      </c>
      <c r="F25" s="307">
        <f>D25+E25</f>
        <v>7651578.3899999997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15199541.959999999</v>
      </c>
      <c r="G36" s="303">
        <f>'DOE25'!L248+'DOE25'!L329</f>
        <v>15199541.960000001</v>
      </c>
      <c r="H36" s="337">
        <f>F36-G36</f>
        <v>0</v>
      </c>
      <c r="I36" s="309" t="str">
        <f>IF(H36=0,"","Does not match DOE25 page 9 and 13 Totals!!")</f>
        <v/>
      </c>
      <c r="N36"/>
    </row>
    <row r="37" spans="1:14" x14ac:dyDescent="0.2">
      <c r="A37" s="21" t="s">
        <v>1082</v>
      </c>
      <c r="B37" s="304">
        <f>IFERROR(VLOOKUP(A37,'School Tables'!$O$3:$P$118,2,FALSE),"")</f>
        <v>22425</v>
      </c>
      <c r="C37" s="297" t="str">
        <f t="array" ref="C37">IFERROR(INDEX('School Tables'!$N$3:$N$118,MATCH('School Level Expenditures'!B37,'School Tables'!$P$3:$P$118,0)),"")</f>
        <v>Governor Wentworth Regional</v>
      </c>
      <c r="D37" s="294">
        <v>14825255.699999999</v>
      </c>
      <c r="E37" s="294">
        <v>374286.26</v>
      </c>
      <c r="F37" s="307">
        <f>D37+E37</f>
        <v>15199541.959999999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Governor Wentworth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3119158.93</v>
      </c>
      <c r="D8" s="95">
        <f>'DOE25'!G9</f>
        <v>0</v>
      </c>
      <c r="E8" s="95">
        <f>'DOE25'!H9</f>
        <v>0</v>
      </c>
      <c r="F8" s="95">
        <f>'DOE25'!I9</f>
        <v>0</v>
      </c>
      <c r="G8" s="95">
        <f>'DOE25'!J9</f>
        <v>0</v>
      </c>
      <c r="H8" s="124"/>
      <c r="I8" s="124"/>
    </row>
    <row r="9" spans="1:9" x14ac:dyDescent="0.2">
      <c r="A9" s="1" t="s">
        <v>140</v>
      </c>
      <c r="B9" s="6">
        <v>110</v>
      </c>
      <c r="C9" s="95">
        <f>'DOE25'!F10</f>
        <v>10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85469.08</v>
      </c>
      <c r="D11" s="95">
        <f>'DOE25'!G12</f>
        <v>30080.83</v>
      </c>
      <c r="E11" s="95">
        <f>'DOE25'!H12</f>
        <v>-192671.07</v>
      </c>
      <c r="F11" s="95">
        <f>'DOE25'!I12</f>
        <v>0</v>
      </c>
      <c r="G11" s="95">
        <f>'DOE25'!J12</f>
        <v>44108.76</v>
      </c>
      <c r="H11" s="124"/>
      <c r="I11" s="124"/>
    </row>
    <row r="12" spans="1:9" x14ac:dyDescent="0.2">
      <c r="A12" s="1" t="s">
        <v>143</v>
      </c>
      <c r="B12" s="6">
        <v>140</v>
      </c>
      <c r="C12" s="95">
        <f>'DOE25'!F13</f>
        <v>1335870.3700000001</v>
      </c>
      <c r="D12" s="95">
        <f>'DOE25'!G13</f>
        <v>36000.57</v>
      </c>
      <c r="E12" s="95">
        <f>'DOE25'!H13</f>
        <v>258867.05</v>
      </c>
      <c r="F12" s="95">
        <f>'DOE25'!I13</f>
        <v>0</v>
      </c>
      <c r="G12" s="95">
        <f>'DOE25'!J13</f>
        <v>1756452.19</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18868.09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4559376.4700000007</v>
      </c>
      <c r="D18" s="41">
        <f>SUM(D8:D17)</f>
        <v>66081.399999999994</v>
      </c>
      <c r="E18" s="41">
        <f>SUM(E8:E17)</f>
        <v>66195.979999999981</v>
      </c>
      <c r="F18" s="41">
        <f>SUM(F8:F17)</f>
        <v>0</v>
      </c>
      <c r="G18" s="41">
        <f>SUM(G8:G17)</f>
        <v>1800560.95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1788.29</v>
      </c>
      <c r="E22" s="95">
        <f>'DOE25'!H23</f>
        <v>0</v>
      </c>
      <c r="F22" s="95">
        <f>'DOE25'!I23</f>
        <v>0</v>
      </c>
      <c r="G22" s="95">
        <f>'DOE25'!J23</f>
        <v>0</v>
      </c>
      <c r="H22" s="124"/>
      <c r="I22" s="124"/>
    </row>
    <row r="23" spans="1:9" x14ac:dyDescent="0.2">
      <c r="A23" s="1" t="s">
        <v>152</v>
      </c>
      <c r="B23" s="6">
        <v>420</v>
      </c>
      <c r="C23" s="95">
        <f>'DOE25'!F24</f>
        <v>125469.1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324129.48</v>
      </c>
      <c r="D27" s="95">
        <f>'DOE25'!G28</f>
        <v>33312.22</v>
      </c>
      <c r="E27" s="95">
        <f>'DOE25'!H28</f>
        <v>19543.189999999999</v>
      </c>
      <c r="F27" s="95">
        <f>'DOE25'!I28</f>
        <v>0</v>
      </c>
      <c r="G27" s="24" t="s">
        <v>288</v>
      </c>
      <c r="H27" s="124"/>
      <c r="I27" s="124"/>
    </row>
    <row r="28" spans="1:9" x14ac:dyDescent="0.2">
      <c r="A28" s="1" t="s">
        <v>157</v>
      </c>
      <c r="B28" s="6">
        <v>470</v>
      </c>
      <c r="C28" s="95">
        <f>'DOE25'!F29</f>
        <v>13798.32</v>
      </c>
      <c r="D28" s="95">
        <f>'DOE25'!G29</f>
        <v>0</v>
      </c>
      <c r="E28" s="95">
        <f>'DOE25'!H29</f>
        <v>1226.68</v>
      </c>
      <c r="F28" s="95">
        <f>'DOE25'!I29</f>
        <v>0</v>
      </c>
      <c r="G28" s="24" t="s">
        <v>288</v>
      </c>
      <c r="H28" s="124"/>
      <c r="I28" s="124"/>
    </row>
    <row r="29" spans="1:9" x14ac:dyDescent="0.2">
      <c r="A29" s="1" t="s">
        <v>158</v>
      </c>
      <c r="B29" s="6">
        <v>480</v>
      </c>
      <c r="C29" s="95">
        <f>'DOE25'!F30</f>
        <v>0</v>
      </c>
      <c r="D29" s="95">
        <f>'DOE25'!G30</f>
        <v>30980.89</v>
      </c>
      <c r="E29" s="95">
        <f>'DOE25'!H30</f>
        <v>45426.11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463396.89999999997</v>
      </c>
      <c r="D31" s="41">
        <f>SUM(D21:D30)</f>
        <v>66081.399999999994</v>
      </c>
      <c r="E31" s="41">
        <f>SUM(E21:E30)</f>
        <v>66195.98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18868.09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1800560.95</v>
      </c>
      <c r="H47" s="124"/>
      <c r="I47" s="124"/>
    </row>
    <row r="48" spans="1:9" x14ac:dyDescent="0.2">
      <c r="A48" s="1" t="s">
        <v>882</v>
      </c>
      <c r="B48" s="6">
        <v>753</v>
      </c>
      <c r="C48" s="95">
        <f>'DOE25'!F49</f>
        <v>111772.82</v>
      </c>
      <c r="D48" s="95">
        <f>'DOE25'!G49</f>
        <v>0</v>
      </c>
      <c r="E48" s="95">
        <f>'DOE25'!H49</f>
        <v>0</v>
      </c>
      <c r="F48" s="95">
        <f>'DOE25'!I49</f>
        <v>0</v>
      </c>
      <c r="G48" s="95">
        <f>'DOE25'!J49</f>
        <v>0</v>
      </c>
      <c r="H48" s="124"/>
      <c r="I48" s="124"/>
    </row>
    <row r="49" spans="1:9" ht="12" thickBot="1" x14ac:dyDescent="0.25">
      <c r="A49" s="29" t="s">
        <v>883</v>
      </c>
      <c r="B49" s="71">
        <v>770</v>
      </c>
      <c r="C49" s="95">
        <f>'DOE25'!F50</f>
        <v>3905338.66</v>
      </c>
      <c r="D49" s="24" t="s">
        <v>288</v>
      </c>
      <c r="E49" s="24" t="s">
        <v>288</v>
      </c>
      <c r="F49" s="24" t="s">
        <v>288</v>
      </c>
      <c r="G49" s="24" t="s">
        <v>288</v>
      </c>
      <c r="H49" s="124"/>
      <c r="I49" s="124"/>
    </row>
    <row r="50" spans="1:9" ht="12.75" thickTop="1" thickBot="1" x14ac:dyDescent="0.25">
      <c r="A50" s="38" t="s">
        <v>884</v>
      </c>
      <c r="B50" s="48"/>
      <c r="C50" s="41">
        <f>SUM(C34:C49)</f>
        <v>4095979.5700000003</v>
      </c>
      <c r="D50" s="41">
        <f>SUM(D34:D49)</f>
        <v>0</v>
      </c>
      <c r="E50" s="41">
        <f>SUM(E34:E49)</f>
        <v>0</v>
      </c>
      <c r="F50" s="41">
        <f>SUM(F34:F49)</f>
        <v>0</v>
      </c>
      <c r="G50" s="41">
        <f>SUM(G34:G49)</f>
        <v>1800560.95</v>
      </c>
      <c r="H50" s="124"/>
      <c r="I50" s="124"/>
    </row>
    <row r="51" spans="1:9" ht="12" thickTop="1" x14ac:dyDescent="0.2">
      <c r="A51" s="38" t="s">
        <v>885</v>
      </c>
      <c r="B51" s="2"/>
      <c r="C51" s="41">
        <f>C50+C31</f>
        <v>4559376.4700000007</v>
      </c>
      <c r="D51" s="41">
        <f>D50+D31</f>
        <v>66081.399999999994</v>
      </c>
      <c r="E51" s="41">
        <f>E50+E31</f>
        <v>66195.98</v>
      </c>
      <c r="F51" s="41">
        <f>F50+F31</f>
        <v>0</v>
      </c>
      <c r="G51" s="41">
        <f>G50+G31</f>
        <v>1800560.95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32813166</v>
      </c>
      <c r="D56" s="95">
        <f>'DOE25'!G60</f>
        <v>0</v>
      </c>
      <c r="E56" s="95">
        <f>'DOE25'!H60</f>
        <v>0</v>
      </c>
      <c r="F56" s="95">
        <f>'DOE25'!I60</f>
        <v>0</v>
      </c>
      <c r="G56" s="95">
        <f>'DOE25'!J60</f>
        <v>0</v>
      </c>
      <c r="H56"/>
      <c r="I56"/>
    </row>
    <row r="57" spans="1:9" x14ac:dyDescent="0.2">
      <c r="A57" s="1" t="s">
        <v>164</v>
      </c>
      <c r="B57" s="6" t="s">
        <v>165</v>
      </c>
      <c r="C57" s="95">
        <f>'DOE25'!F79</f>
        <v>2055519.5399999998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64.64</v>
      </c>
      <c r="D59" s="95">
        <f>'DOE25'!G96</f>
        <v>0</v>
      </c>
      <c r="E59" s="95">
        <f>'DOE25'!H96</f>
        <v>0</v>
      </c>
      <c r="F59" s="95">
        <f>'DOE25'!I96</f>
        <v>0</v>
      </c>
      <c r="G59" s="95">
        <f>'DOE25'!J96</f>
        <v>44809.48</v>
      </c>
      <c r="H59"/>
      <c r="I59"/>
    </row>
    <row r="60" spans="1:9" x14ac:dyDescent="0.2">
      <c r="A60" s="1" t="s">
        <v>170</v>
      </c>
      <c r="B60" s="118" t="s">
        <v>171</v>
      </c>
      <c r="C60" s="24" t="s">
        <v>288</v>
      </c>
      <c r="D60" s="95">
        <f>'DOE25'!G97</f>
        <v>293837.53000000003</v>
      </c>
      <c r="E60" s="24" t="s">
        <v>288</v>
      </c>
      <c r="F60" s="24" t="s">
        <v>288</v>
      </c>
      <c r="G60" s="24" t="s">
        <v>288</v>
      </c>
      <c r="H60"/>
      <c r="I60"/>
    </row>
    <row r="61" spans="1:9" ht="12" thickBot="1" x14ac:dyDescent="0.25">
      <c r="A61" s="1" t="s">
        <v>172</v>
      </c>
      <c r="B61" s="118" t="s">
        <v>173</v>
      </c>
      <c r="C61" s="95">
        <f>SUM('DOE25'!F98:F110)</f>
        <v>366086.78</v>
      </c>
      <c r="D61" s="95">
        <f>SUM('DOE25'!G98:G110)</f>
        <v>0</v>
      </c>
      <c r="E61" s="95">
        <f>SUM('DOE25'!H98:H110)</f>
        <v>0</v>
      </c>
      <c r="F61" s="95">
        <f>SUM('DOE25'!I98:I110)</f>
        <v>0</v>
      </c>
      <c r="G61" s="95">
        <f>SUM('DOE25'!J98:J110)</f>
        <v>30927.26</v>
      </c>
      <c r="H61"/>
      <c r="I61"/>
    </row>
    <row r="62" spans="1:9" ht="12.75" thickTop="1" thickBot="1" x14ac:dyDescent="0.25">
      <c r="A62" s="29" t="s">
        <v>174</v>
      </c>
      <c r="B62" s="6"/>
      <c r="C62" s="130">
        <f>SUM(C57:C61)</f>
        <v>2421670.96</v>
      </c>
      <c r="D62" s="130">
        <f>SUM(D57:D61)</f>
        <v>293837.53000000003</v>
      </c>
      <c r="E62" s="130">
        <f>SUM(E57:E61)</f>
        <v>0</v>
      </c>
      <c r="F62" s="130">
        <f>SUM(F57:F61)</f>
        <v>0</v>
      </c>
      <c r="G62" s="130">
        <f>SUM(G57:G61)</f>
        <v>75736.740000000005</v>
      </c>
      <c r="H62"/>
      <c r="I62"/>
    </row>
    <row r="63" spans="1:9" ht="12" thickTop="1" x14ac:dyDescent="0.2">
      <c r="A63" s="29" t="s">
        <v>175</v>
      </c>
      <c r="B63" s="6"/>
      <c r="C63" s="22">
        <f>C56+C62</f>
        <v>35234836.960000001</v>
      </c>
      <c r="D63" s="22">
        <f>D56+D62</f>
        <v>293837.53000000003</v>
      </c>
      <c r="E63" s="22">
        <f>E56+E62</f>
        <v>0</v>
      </c>
      <c r="F63" s="22">
        <f>F56+F62</f>
        <v>0</v>
      </c>
      <c r="G63" s="22">
        <f>G56+G62</f>
        <v>75736.740000000005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4359541.46</v>
      </c>
      <c r="D66" s="24" t="s">
        <v>288</v>
      </c>
      <c r="E66" s="24" t="s">
        <v>288</v>
      </c>
      <c r="F66" s="24" t="s">
        <v>288</v>
      </c>
      <c r="G66" s="24" t="s">
        <v>288</v>
      </c>
      <c r="H66"/>
      <c r="I66"/>
    </row>
    <row r="67" spans="1:9" x14ac:dyDescent="0.2">
      <c r="A67" s="1" t="s">
        <v>770</v>
      </c>
      <c r="B67" s="6">
        <v>3112</v>
      </c>
      <c r="C67" s="95">
        <f>'DOE25'!F118</f>
        <v>9607372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13966913.460000001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1395341.45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16721</v>
      </c>
      <c r="D74" s="24"/>
      <c r="E74" s="24"/>
      <c r="F74" s="24"/>
      <c r="G74" s="24"/>
      <c r="H74"/>
      <c r="I74"/>
    </row>
    <row r="75" spans="1:9" x14ac:dyDescent="0.2">
      <c r="A75" s="1" t="s">
        <v>256</v>
      </c>
      <c r="B75" s="6">
        <v>3230</v>
      </c>
      <c r="C75" s="95">
        <f>'DOE25'!F126</f>
        <v>311204.53999999998</v>
      </c>
      <c r="D75" s="24" t="s">
        <v>288</v>
      </c>
      <c r="E75" s="24" t="s">
        <v>288</v>
      </c>
      <c r="F75" s="24" t="s">
        <v>288</v>
      </c>
      <c r="G75" s="24" t="s">
        <v>288</v>
      </c>
      <c r="H75"/>
      <c r="I75"/>
    </row>
    <row r="76" spans="1:9" x14ac:dyDescent="0.2">
      <c r="A76" s="1" t="s">
        <v>257</v>
      </c>
      <c r="B76" s="6" t="s">
        <v>179</v>
      </c>
      <c r="C76" s="95">
        <f>SUM('DOE25'!F127:F130)</f>
        <v>224836.73</v>
      </c>
      <c r="D76" s="24" t="s">
        <v>288</v>
      </c>
      <c r="E76" s="95">
        <f>SUM('DOE25'!H127:H130)</f>
        <v>0</v>
      </c>
      <c r="F76" s="95">
        <f>SUM('DOE25'!I127:I130)</f>
        <v>0</v>
      </c>
      <c r="G76" s="24" t="s">
        <v>288</v>
      </c>
      <c r="H76"/>
      <c r="I76"/>
    </row>
    <row r="77" spans="1:9" ht="12" thickBot="1" x14ac:dyDescent="0.25">
      <c r="A77" s="1" t="s">
        <v>258</v>
      </c>
      <c r="B77" s="6" t="s">
        <v>180</v>
      </c>
      <c r="C77" s="95">
        <f>SUM('DOE25'!F131:F135)</f>
        <v>757.59</v>
      </c>
      <c r="D77" s="95">
        <f>SUM('DOE25'!G131:G135)</f>
        <v>12536.2</v>
      </c>
      <c r="E77" s="95">
        <f>SUM('DOE25'!H131:H135)</f>
        <v>0</v>
      </c>
      <c r="F77" s="95">
        <f>SUM('DOE25'!I131:I135)</f>
        <v>0</v>
      </c>
      <c r="G77" s="95">
        <f>SUM('DOE25'!J131:J135)</f>
        <v>0</v>
      </c>
      <c r="H77"/>
      <c r="I77"/>
    </row>
    <row r="78" spans="1:9" ht="12.75" thickTop="1" thickBot="1" x14ac:dyDescent="0.25">
      <c r="A78" s="29" t="s">
        <v>259</v>
      </c>
      <c r="B78" s="6"/>
      <c r="C78" s="130">
        <f>SUM(C72:C77)</f>
        <v>1948861.31</v>
      </c>
      <c r="D78" s="130">
        <f>SUM(D72:D77)</f>
        <v>12536.2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15915774.770000001</v>
      </c>
      <c r="D81" s="130">
        <f>SUM(D79:D80)+D78+D70</f>
        <v>12536.2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119107.56</v>
      </c>
      <c r="D88" s="341">
        <f>SUM('DOE25'!G153:G162)</f>
        <v>411807.58</v>
      </c>
      <c r="E88" s="341">
        <f>SUM('DOE25'!H153:H162)</f>
        <v>1746795.17</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119107.56</v>
      </c>
      <c r="D91" s="131">
        <f>SUM(D85:D90)</f>
        <v>411807.58</v>
      </c>
      <c r="E91" s="131">
        <f>SUM(E85:E90)</f>
        <v>1746795.17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27869.87</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27869.87</v>
      </c>
      <c r="E103" s="86">
        <f>SUM(E93:E102)</f>
        <v>0</v>
      </c>
      <c r="F103" s="86">
        <f>SUM(F93:F102)</f>
        <v>0</v>
      </c>
      <c r="G103" s="86">
        <f>SUM(G93:G102)</f>
        <v>60000</v>
      </c>
    </row>
    <row r="104" spans="1:7" ht="12.75" thickTop="1" thickBot="1" x14ac:dyDescent="0.25">
      <c r="A104" s="33" t="s">
        <v>761</v>
      </c>
      <c r="C104" s="86">
        <f>C63+C81+C91+C103</f>
        <v>51269719.290000007</v>
      </c>
      <c r="D104" s="86">
        <f>D63+D81+D91+D103</f>
        <v>746051.18</v>
      </c>
      <c r="E104" s="86">
        <f>E63+E81+E91+E103</f>
        <v>1746795.17</v>
      </c>
      <c r="F104" s="86">
        <f>F63+F81+F91+F103</f>
        <v>0</v>
      </c>
      <c r="G104" s="86">
        <f>G63+G81+G103</f>
        <v>135736.74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19815736.800000001</v>
      </c>
      <c r="D109" s="24" t="s">
        <v>288</v>
      </c>
      <c r="E109" s="95">
        <f>('DOE25'!L277)+('DOE25'!L296)+('DOE25'!L315)</f>
        <v>581198.13</v>
      </c>
      <c r="F109" s="24" t="s">
        <v>288</v>
      </c>
      <c r="G109" s="24" t="s">
        <v>288</v>
      </c>
    </row>
    <row r="110" spans="1:7" x14ac:dyDescent="0.2">
      <c r="A110" t="s">
        <v>198</v>
      </c>
      <c r="B110" s="32" t="s">
        <v>199</v>
      </c>
      <c r="C110" s="95">
        <f>('DOE25'!L199)+('DOE25'!L217)+('DOE25'!L235)</f>
        <v>8472569.1900000013</v>
      </c>
      <c r="D110" s="24" t="s">
        <v>288</v>
      </c>
      <c r="E110" s="95">
        <f>('DOE25'!L278)+('DOE25'!L297)+('DOE25'!L316)</f>
        <v>564923.49</v>
      </c>
      <c r="F110" s="24" t="s">
        <v>288</v>
      </c>
      <c r="G110" s="24" t="s">
        <v>288</v>
      </c>
    </row>
    <row r="111" spans="1:7" x14ac:dyDescent="0.2">
      <c r="A111" t="s">
        <v>200</v>
      </c>
      <c r="B111" s="32" t="s">
        <v>165</v>
      </c>
      <c r="C111" s="95">
        <f>('DOE25'!L200)+('DOE25'!L218)+('DOE25'!L236)</f>
        <v>1534586.14</v>
      </c>
      <c r="D111" s="24" t="s">
        <v>288</v>
      </c>
      <c r="E111" s="95">
        <f>('DOE25'!L279)+('DOE25'!L298)+('DOE25'!L317)</f>
        <v>99405.219999999987</v>
      </c>
      <c r="F111" s="24" t="s">
        <v>288</v>
      </c>
      <c r="G111" s="24" t="s">
        <v>288</v>
      </c>
    </row>
    <row r="112" spans="1:7" x14ac:dyDescent="0.2">
      <c r="A112" t="s">
        <v>201</v>
      </c>
      <c r="B112" s="32" t="s">
        <v>167</v>
      </c>
      <c r="C112" s="95">
        <f>('DOE25'!L201)+('DOE25'!L219)+('DOE25'!L237)</f>
        <v>802014.10000000009</v>
      </c>
      <c r="D112" s="24" t="s">
        <v>288</v>
      </c>
      <c r="E112" s="95">
        <f>+('DOE25'!L280)+('DOE25'!L299)+('DOE25'!L318)</f>
        <v>20819.740000000002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20331.87</v>
      </c>
      <c r="D114" s="24" t="s">
        <v>288</v>
      </c>
      <c r="E114" s="95">
        <f>+ SUM('DOE25'!L334:L336)</f>
        <v>125202.04999999999</v>
      </c>
      <c r="F114" s="24" t="s">
        <v>288</v>
      </c>
      <c r="G114" s="24" t="s">
        <v>288</v>
      </c>
    </row>
    <row r="115" spans="1:7" ht="12.75" thickTop="1" thickBot="1" x14ac:dyDescent="0.25">
      <c r="A115" s="33" t="s">
        <v>205</v>
      </c>
      <c r="C115" s="86">
        <f>SUM(C109:C114)</f>
        <v>30645238.100000005</v>
      </c>
      <c r="D115" s="86">
        <f>SUM(D109:D114)</f>
        <v>0</v>
      </c>
      <c r="E115" s="86">
        <f>SUM(E109:E114)</f>
        <v>1391548.6300000001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2087875.94</v>
      </c>
      <c r="D118" s="24" t="s">
        <v>288</v>
      </c>
      <c r="E118" s="95">
        <f>+('DOE25'!L282)+('DOE25'!L301)+('DOE25'!L320)</f>
        <v>0</v>
      </c>
      <c r="F118" s="24" t="s">
        <v>288</v>
      </c>
      <c r="G118" s="24" t="s">
        <v>288</v>
      </c>
    </row>
    <row r="119" spans="1:7" x14ac:dyDescent="0.2">
      <c r="A119" t="s">
        <v>208</v>
      </c>
      <c r="B119" s="32" t="s">
        <v>209</v>
      </c>
      <c r="C119" s="95">
        <f>('DOE25'!L204)+('DOE25'!L222)+('DOE25'!L240)</f>
        <v>2030273.31</v>
      </c>
      <c r="D119" s="24" t="s">
        <v>288</v>
      </c>
      <c r="E119" s="95">
        <f>+('DOE25'!L283)+('DOE25'!L302)+('DOE25'!L321)</f>
        <v>259692.4</v>
      </c>
      <c r="F119" s="24" t="s">
        <v>288</v>
      </c>
      <c r="G119" s="24" t="s">
        <v>288</v>
      </c>
    </row>
    <row r="120" spans="1:7" x14ac:dyDescent="0.2">
      <c r="A120" t="s">
        <v>210</v>
      </c>
      <c r="B120" s="32" t="s">
        <v>211</v>
      </c>
      <c r="C120" s="95">
        <f>('DOE25'!L205)+('DOE25'!L223)+('DOE25'!L241)</f>
        <v>909393.61</v>
      </c>
      <c r="D120" s="24" t="s">
        <v>288</v>
      </c>
      <c r="E120" s="95">
        <f>+('DOE25'!L284)+('DOE25'!L303)+('DOE25'!L322)</f>
        <v>0</v>
      </c>
      <c r="F120" s="24" t="s">
        <v>288</v>
      </c>
      <c r="G120" s="24" t="s">
        <v>288</v>
      </c>
    </row>
    <row r="121" spans="1:7" x14ac:dyDescent="0.2">
      <c r="A121" t="s">
        <v>212</v>
      </c>
      <c r="B121" s="32" t="s">
        <v>213</v>
      </c>
      <c r="C121" s="95">
        <f>('DOE25'!L206)+('DOE25'!L224)+('DOE25'!L242)</f>
        <v>2698740.56</v>
      </c>
      <c r="D121" s="24" t="s">
        <v>288</v>
      </c>
      <c r="E121" s="95">
        <f>+('DOE25'!L285)+('DOE25'!L304)+('DOE25'!L323)</f>
        <v>83618.22</v>
      </c>
      <c r="F121" s="24" t="s">
        <v>288</v>
      </c>
      <c r="G121" s="24" t="s">
        <v>288</v>
      </c>
    </row>
    <row r="122" spans="1:7" x14ac:dyDescent="0.2">
      <c r="A122" t="s">
        <v>214</v>
      </c>
      <c r="B122" s="32" t="s">
        <v>215</v>
      </c>
      <c r="C122" s="95">
        <f>('DOE25'!L207)+('DOE25'!L225)+('DOE25'!L243)</f>
        <v>525379.01</v>
      </c>
      <c r="D122" s="24" t="s">
        <v>288</v>
      </c>
      <c r="E122" s="95">
        <f>+('DOE25'!L286)+('DOE25'!L305)+('DOE25'!L324)</f>
        <v>0</v>
      </c>
      <c r="F122" s="24" t="s">
        <v>288</v>
      </c>
      <c r="G122" s="24" t="s">
        <v>288</v>
      </c>
    </row>
    <row r="123" spans="1:7" x14ac:dyDescent="0.2">
      <c r="A123" t="s">
        <v>216</v>
      </c>
      <c r="B123" s="32" t="s">
        <v>217</v>
      </c>
      <c r="C123" s="95">
        <f>('DOE25'!L208)+('DOE25'!L226)+('DOE25'!L244)</f>
        <v>3777031.1300000008</v>
      </c>
      <c r="D123" s="24" t="s">
        <v>288</v>
      </c>
      <c r="E123" s="95">
        <f>+('DOE25'!L287)+('DOE25'!L306)+('DOE25'!L325)</f>
        <v>0</v>
      </c>
      <c r="F123" s="24" t="s">
        <v>288</v>
      </c>
      <c r="G123" s="24" t="s">
        <v>288</v>
      </c>
    </row>
    <row r="124" spans="1:7" x14ac:dyDescent="0.2">
      <c r="A124" t="s">
        <v>218</v>
      </c>
      <c r="B124" s="32" t="s">
        <v>219</v>
      </c>
      <c r="C124" s="95">
        <f>('DOE25'!L209)+('DOE25'!L227)+('DOE25'!L245+'DOE25'!L255)</f>
        <v>2272126.0100000002</v>
      </c>
      <c r="D124" s="24" t="s">
        <v>288</v>
      </c>
      <c r="E124" s="95">
        <f>+('DOE25'!L288)+('DOE25'!L307)+('DOE25'!L326)</f>
        <v>10177.6</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863720.82000000007</v>
      </c>
      <c r="E127" s="24" t="s">
        <v>288</v>
      </c>
      <c r="F127" s="24" t="s">
        <v>288</v>
      </c>
      <c r="G127" s="24" t="s">
        <v>288</v>
      </c>
    </row>
    <row r="128" spans="1:7" ht="12.75" thickTop="1" thickBot="1" x14ac:dyDescent="0.25">
      <c r="A128" s="33" t="s">
        <v>226</v>
      </c>
      <c r="C128" s="86">
        <f>SUM(C118:C127)</f>
        <v>14300819.57</v>
      </c>
      <c r="D128" s="86">
        <f>SUM(D118:D127)</f>
        <v>863720.82000000007</v>
      </c>
      <c r="E128" s="86">
        <f>SUM(E118:E127)</f>
        <v>353488.22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200000</v>
      </c>
      <c r="D130" s="24" t="s">
        <v>288</v>
      </c>
      <c r="E130" s="129">
        <f>'DOE25'!L337</f>
        <v>0</v>
      </c>
      <c r="F130" s="129">
        <f>SUM('DOE25'!L375:'DOE25'!L381)</f>
        <v>0</v>
      </c>
      <c r="G130" s="24" t="s">
        <v>288</v>
      </c>
    </row>
    <row r="131" spans="1:7" x14ac:dyDescent="0.2">
      <c r="A131" t="s">
        <v>229</v>
      </c>
      <c r="B131" s="32">
        <v>5110</v>
      </c>
      <c r="C131" s="95">
        <f>'DOE25'!L261</f>
        <v>2405405.7599999998</v>
      </c>
      <c r="D131" s="24" t="s">
        <v>288</v>
      </c>
      <c r="E131" s="129">
        <f>'DOE25'!L342</f>
        <v>0</v>
      </c>
      <c r="F131" s="24" t="s">
        <v>288</v>
      </c>
      <c r="G131" s="24" t="s">
        <v>288</v>
      </c>
    </row>
    <row r="132" spans="1:7" x14ac:dyDescent="0.2">
      <c r="A132" t="s">
        <v>230</v>
      </c>
      <c r="B132" s="32">
        <v>5120</v>
      </c>
      <c r="C132" s="95">
        <f>'DOE25'!L262</f>
        <v>1190122.82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1758.32</v>
      </c>
      <c r="F134" s="95">
        <f>'DOE25'!K382</f>
        <v>0</v>
      </c>
      <c r="G134" s="95">
        <f>'DOE25'!K435</f>
        <v>49648.81</v>
      </c>
    </row>
    <row r="135" spans="1:7" x14ac:dyDescent="0.2">
      <c r="A135" t="s">
        <v>233</v>
      </c>
      <c r="B135" s="32" t="s">
        <v>234</v>
      </c>
      <c r="C135" s="95">
        <f>'DOE25'!L264</f>
        <v>27869.87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135736.74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-75736.739999999991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3883398.45</v>
      </c>
      <c r="D144" s="141">
        <f>SUM(D130:D143)</f>
        <v>0</v>
      </c>
      <c r="E144" s="141">
        <f>SUM(E130:E143)</f>
        <v>1758.32</v>
      </c>
      <c r="F144" s="141">
        <f>SUM(F130:F143)</f>
        <v>0</v>
      </c>
      <c r="G144" s="141">
        <f>SUM(G130:G143)</f>
        <v>49648.81</v>
      </c>
    </row>
    <row r="145" spans="1:9" ht="12.75" thickTop="1" thickBot="1" x14ac:dyDescent="0.25">
      <c r="A145" s="33" t="s">
        <v>244</v>
      </c>
      <c r="C145" s="86">
        <f>(C115+C128+C144)</f>
        <v>48829456.120000005</v>
      </c>
      <c r="D145" s="86">
        <f>(D115+D128+D144)</f>
        <v>863720.82000000007</v>
      </c>
      <c r="E145" s="86">
        <f>(E115+E128+E144)</f>
        <v>1746795.1700000002</v>
      </c>
      <c r="F145" s="86">
        <f>(F115+F128+F144)</f>
        <v>0</v>
      </c>
      <c r="G145" s="86">
        <f>(G115+G128+G144)</f>
        <v>49648.81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30</v>
      </c>
      <c r="C151" s="153">
        <f>'DOE25'!G491</f>
        <v>30</v>
      </c>
      <c r="D151" s="153">
        <f>'DOE25'!H491</f>
        <v>0</v>
      </c>
      <c r="E151" s="153">
        <f>'DOE25'!I491</f>
        <v>0</v>
      </c>
      <c r="F151" s="153">
        <f>'DOE25'!J491</f>
        <v>0</v>
      </c>
      <c r="G151" s="24" t="s">
        <v>288</v>
      </c>
    </row>
    <row r="152" spans="1:9" x14ac:dyDescent="0.2">
      <c r="A152" s="136" t="s">
        <v>28</v>
      </c>
      <c r="B152" s="152" t="str">
        <f>'DOE25'!F492</f>
        <v>07/09</v>
      </c>
      <c r="C152" s="152" t="str">
        <f>'DOE25'!G492</f>
        <v>07/10</v>
      </c>
      <c r="D152" s="152">
        <f>'DOE25'!H492</f>
        <v>0</v>
      </c>
      <c r="E152" s="152">
        <f>'DOE25'!I492</f>
        <v>0</v>
      </c>
      <c r="F152" s="152">
        <f>'DOE25'!J492</f>
        <v>0</v>
      </c>
      <c r="G152" s="24" t="s">
        <v>288</v>
      </c>
    </row>
    <row r="153" spans="1:9" x14ac:dyDescent="0.2">
      <c r="A153" s="136" t="s">
        <v>29</v>
      </c>
      <c r="B153" s="152" t="str">
        <f>'DOE25'!F493</f>
        <v>07/39</v>
      </c>
      <c r="C153" s="152" t="str">
        <f>'DOE25'!G493</f>
        <v>08/40</v>
      </c>
      <c r="D153" s="152">
        <f>'DOE25'!H493</f>
        <v>0</v>
      </c>
      <c r="E153" s="152">
        <f>'DOE25'!I493</f>
        <v>0</v>
      </c>
      <c r="F153" s="152">
        <f>'DOE25'!J493</f>
        <v>0</v>
      </c>
      <c r="G153" s="24" t="s">
        <v>288</v>
      </c>
    </row>
    <row r="154" spans="1:9" x14ac:dyDescent="0.2">
      <c r="A154" s="136" t="s">
        <v>30</v>
      </c>
      <c r="B154" s="137">
        <f>'DOE25'!F494</f>
        <v>25000000</v>
      </c>
      <c r="C154" s="137">
        <f>'DOE25'!G494</f>
        <v>32508500</v>
      </c>
      <c r="D154" s="137">
        <f>'DOE25'!H494</f>
        <v>0</v>
      </c>
      <c r="E154" s="137">
        <f>'DOE25'!I494</f>
        <v>0</v>
      </c>
      <c r="F154" s="137">
        <f>'DOE25'!J494</f>
        <v>0</v>
      </c>
      <c r="G154" s="24" t="s">
        <v>288</v>
      </c>
    </row>
    <row r="155" spans="1:9" x14ac:dyDescent="0.2">
      <c r="A155" s="136" t="s">
        <v>31</v>
      </c>
      <c r="B155" s="137">
        <f>'DOE25'!F495</f>
        <v>4.3</v>
      </c>
      <c r="C155" s="137">
        <f>'DOE25'!G495</f>
        <v>4.46</v>
      </c>
      <c r="D155" s="137">
        <f>'DOE25'!H495</f>
        <v>0</v>
      </c>
      <c r="E155" s="137">
        <f>'DOE25'!I495</f>
        <v>0</v>
      </c>
      <c r="F155" s="137">
        <f>'DOE25'!J495</f>
        <v>0</v>
      </c>
      <c r="G155" s="24" t="s">
        <v>288</v>
      </c>
    </row>
    <row r="156" spans="1:9" x14ac:dyDescent="0.2">
      <c r="A156" s="22" t="s">
        <v>32</v>
      </c>
      <c r="B156" s="137">
        <f>'DOE25'!F496</f>
        <v>13755149.92</v>
      </c>
      <c r="C156" s="137">
        <f>'DOE25'!G496</f>
        <v>18188061.699999999</v>
      </c>
      <c r="D156" s="137">
        <f>'DOE25'!H496</f>
        <v>0</v>
      </c>
      <c r="E156" s="137">
        <f>'DOE25'!I496</f>
        <v>0</v>
      </c>
      <c r="F156" s="137">
        <f>'DOE25'!J496</f>
        <v>0</v>
      </c>
      <c r="G156" s="138">
        <f>SUM(B156:F156)</f>
        <v>31943211.619999997</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12774943.130000001</v>
      </c>
      <c r="C159" s="137">
        <f>'DOE25'!G499</f>
        <v>16840628.469999999</v>
      </c>
      <c r="D159" s="137">
        <f>'DOE25'!H499</f>
        <v>0</v>
      </c>
      <c r="E159" s="137">
        <f>'DOE25'!I499</f>
        <v>0</v>
      </c>
      <c r="F159" s="137">
        <f>'DOE25'!J499</f>
        <v>0</v>
      </c>
      <c r="G159" s="138">
        <f t="shared" si="0"/>
        <v>29615571.600000001</v>
      </c>
    </row>
    <row r="160" spans="1:9" x14ac:dyDescent="0.2">
      <c r="A160" s="22" t="s">
        <v>36</v>
      </c>
      <c r="B160" s="137">
        <f>'DOE25'!F500</f>
        <v>16130009.65</v>
      </c>
      <c r="C160" s="137">
        <f>'DOE25'!G500</f>
        <v>25353687.280000001</v>
      </c>
      <c r="D160" s="137">
        <f>'DOE25'!H500</f>
        <v>0</v>
      </c>
      <c r="E160" s="137">
        <f>'DOE25'!I500</f>
        <v>0</v>
      </c>
      <c r="F160" s="137">
        <f>'DOE25'!J500</f>
        <v>0</v>
      </c>
      <c r="G160" s="138">
        <f t="shared" si="0"/>
        <v>41483696.93</v>
      </c>
    </row>
    <row r="161" spans="1:7" x14ac:dyDescent="0.2">
      <c r="A161" s="22" t="s">
        <v>37</v>
      </c>
      <c r="B161" s="137">
        <f>'DOE25'!F501</f>
        <v>28904952.780000001</v>
      </c>
      <c r="C161" s="137">
        <f>'DOE25'!G501</f>
        <v>42194315.75</v>
      </c>
      <c r="D161" s="137">
        <f>'DOE25'!H501</f>
        <v>0</v>
      </c>
      <c r="E161" s="137">
        <f>'DOE25'!I501</f>
        <v>0</v>
      </c>
      <c r="F161" s="137">
        <f>'DOE25'!J501</f>
        <v>0</v>
      </c>
      <c r="G161" s="138">
        <f t="shared" si="0"/>
        <v>71099268.530000001</v>
      </c>
    </row>
    <row r="162" spans="1:7" x14ac:dyDescent="0.2">
      <c r="A162" s="22" t="s">
        <v>38</v>
      </c>
      <c r="B162" s="137">
        <f>'DOE25'!F502</f>
        <v>939589.83</v>
      </c>
      <c r="C162" s="137">
        <f>'DOE25'!G502</f>
        <v>1284671.3500000001</v>
      </c>
      <c r="D162" s="137">
        <f>'DOE25'!H502</f>
        <v>0</v>
      </c>
      <c r="E162" s="137">
        <f>'DOE25'!I502</f>
        <v>0</v>
      </c>
      <c r="F162" s="137">
        <f>'DOE25'!J502</f>
        <v>0</v>
      </c>
      <c r="G162" s="138">
        <f t="shared" si="0"/>
        <v>2224261.1800000002</v>
      </c>
    </row>
    <row r="163" spans="1:7" x14ac:dyDescent="0.2">
      <c r="A163" s="22" t="s">
        <v>39</v>
      </c>
      <c r="B163" s="137">
        <f>'DOE25'!F503</f>
        <v>522655.67</v>
      </c>
      <c r="C163" s="137">
        <f>'DOE25'!G503</f>
        <v>713846.15</v>
      </c>
      <c r="D163" s="137">
        <f>'DOE25'!H503</f>
        <v>0</v>
      </c>
      <c r="E163" s="137">
        <f>'DOE25'!I503</f>
        <v>0</v>
      </c>
      <c r="F163" s="137">
        <f>'DOE25'!J503</f>
        <v>0</v>
      </c>
      <c r="G163" s="138">
        <f t="shared" si="0"/>
        <v>1236501.82</v>
      </c>
    </row>
    <row r="164" spans="1:7" x14ac:dyDescent="0.2">
      <c r="A164" s="22" t="s">
        <v>246</v>
      </c>
      <c r="B164" s="137">
        <f>'DOE25'!F504</f>
        <v>1462245.5</v>
      </c>
      <c r="C164" s="137">
        <f>'DOE25'!G504</f>
        <v>1998517.5</v>
      </c>
      <c r="D164" s="137">
        <f>'DOE25'!H504</f>
        <v>0</v>
      </c>
      <c r="E164" s="137">
        <f>'DOE25'!I504</f>
        <v>0</v>
      </c>
      <c r="F164" s="137">
        <f>'DOE25'!J504</f>
        <v>0</v>
      </c>
      <c r="G164" s="138">
        <f t="shared" si="0"/>
        <v>3460763</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Governor Wentworth Regional School District</v>
      </c>
    </row>
    <row r="3" spans="1:4" x14ac:dyDescent="0.2">
      <c r="B3" s="188" t="s">
        <v>1587</v>
      </c>
    </row>
    <row r="4" spans="1:4" x14ac:dyDescent="0.2">
      <c r="B4" t="s">
        <v>61</v>
      </c>
      <c r="C4" s="179">
        <f>IF('DOE25'!F666+'DOE25'!F671=0,0,ROUND('DOE25'!F673,0))</f>
        <v>18862</v>
      </c>
    </row>
    <row r="5" spans="1:4" x14ac:dyDescent="0.2">
      <c r="B5" t="s">
        <v>700</v>
      </c>
      <c r="C5" s="179">
        <f>IF('DOE25'!G666+'DOE25'!G671=0,0,ROUND('DOE25'!G673,0))</f>
        <v>19424</v>
      </c>
    </row>
    <row r="6" spans="1:4" x14ac:dyDescent="0.2">
      <c r="B6" t="s">
        <v>62</v>
      </c>
      <c r="C6" s="179">
        <f>IF('DOE25'!H666+'DOE25'!H671=0,0,ROUND('DOE25'!H673,0))</f>
        <v>17675</v>
      </c>
    </row>
    <row r="7" spans="1:4" x14ac:dyDescent="0.2">
      <c r="B7" t="s">
        <v>701</v>
      </c>
      <c r="C7" s="179">
        <f>IF('DOE25'!I666+'DOE25'!I671=0,0,ROUND('DOE25'!I673,0))</f>
        <v>18542</v>
      </c>
    </row>
    <row r="9" spans="1:4" x14ac:dyDescent="0.2">
      <c r="A9" s="187" t="s">
        <v>94</v>
      </c>
      <c r="B9" s="188" t="s">
        <v>1588</v>
      </c>
      <c r="C9" s="181" t="s">
        <v>720</v>
      </c>
      <c r="D9" s="181" t="s">
        <v>721</v>
      </c>
    </row>
    <row r="10" spans="1:4" x14ac:dyDescent="0.2">
      <c r="A10">
        <v>1100</v>
      </c>
      <c r="B10" t="s">
        <v>702</v>
      </c>
      <c r="C10" s="179">
        <f>ROUND('DOE25'!L198+'DOE25'!L216+'DOE25'!L234+'DOE25'!L277+'DOE25'!L296+'DOE25'!L315,0)</f>
        <v>20396935</v>
      </c>
      <c r="D10" s="182">
        <f>ROUND((C10/$C$28)*100,1)</f>
        <v>42.1</v>
      </c>
    </row>
    <row r="11" spans="1:4" x14ac:dyDescent="0.2">
      <c r="A11">
        <v>1200</v>
      </c>
      <c r="B11" t="s">
        <v>703</v>
      </c>
      <c r="C11" s="179">
        <f>ROUND('DOE25'!L199+'DOE25'!L217+'DOE25'!L235+'DOE25'!L278+'DOE25'!L297+'DOE25'!L316,0)</f>
        <v>9037493</v>
      </c>
      <c r="D11" s="182">
        <f>ROUND((C11/$C$28)*100,1)</f>
        <v>18.7</v>
      </c>
    </row>
    <row r="12" spans="1:4" x14ac:dyDescent="0.2">
      <c r="A12">
        <v>1300</v>
      </c>
      <c r="B12" t="s">
        <v>704</v>
      </c>
      <c r="C12" s="179">
        <f>ROUND('DOE25'!L200+'DOE25'!L218+'DOE25'!L236+'DOE25'!L279+'DOE25'!L298+'DOE25'!L317,0)</f>
        <v>1633991</v>
      </c>
      <c r="D12" s="182">
        <f>ROUND((C12/$C$28)*100,1)</f>
        <v>3.4</v>
      </c>
    </row>
    <row r="13" spans="1:4" x14ac:dyDescent="0.2">
      <c r="A13">
        <v>1400</v>
      </c>
      <c r="B13" t="s">
        <v>705</v>
      </c>
      <c r="C13" s="179">
        <f>ROUND('DOE25'!L201+'DOE25'!L219+'DOE25'!L237+'DOE25'!L280+'DOE25'!L299+'DOE25'!L318,0)</f>
        <v>822834</v>
      </c>
      <c r="D13" s="182">
        <f>ROUND((C13/$C$28)*100,1)</f>
        <v>1.7</v>
      </c>
    </row>
    <row r="14" spans="1:4" x14ac:dyDescent="0.2">
      <c r="D14" s="182"/>
    </row>
    <row r="15" spans="1:4" x14ac:dyDescent="0.2">
      <c r="A15">
        <v>2100</v>
      </c>
      <c r="B15" t="s">
        <v>706</v>
      </c>
      <c r="C15" s="179">
        <f>ROUND('DOE25'!L203+'DOE25'!L221+'DOE25'!L239+'DOE25'!L282+'DOE25'!L301+'DOE25'!L320,0)</f>
        <v>2087876</v>
      </c>
      <c r="D15" s="182">
        <f t="shared" ref="D15:D27" si="0">ROUND((C15/$C$28)*100,1)</f>
        <v>4.3</v>
      </c>
    </row>
    <row r="16" spans="1:4" x14ac:dyDescent="0.2">
      <c r="A16">
        <v>2200</v>
      </c>
      <c r="B16" t="s">
        <v>707</v>
      </c>
      <c r="C16" s="179">
        <f>ROUND('DOE25'!L204+'DOE25'!L222+'DOE25'!L240+'DOE25'!L283+'DOE25'!L302+'DOE25'!L321,0)</f>
        <v>2289966</v>
      </c>
      <c r="D16" s="182">
        <f t="shared" si="0"/>
        <v>4.7</v>
      </c>
    </row>
    <row r="17" spans="1:4" x14ac:dyDescent="0.2">
      <c r="A17" s="183" t="s">
        <v>723</v>
      </c>
      <c r="B17" t="s">
        <v>738</v>
      </c>
      <c r="C17" s="179">
        <f>ROUND('DOE25'!L205+'DOE25'!L210+'DOE25'!L223+'DOE25'!L228+'DOE25'!L241+'DOE25'!L246+'DOE25'!L284+'DOE25'!L289+'DOE25'!L303+'DOE25'!L308+'DOE25'!L322+'DOE25'!L327,0)</f>
        <v>909394</v>
      </c>
      <c r="D17" s="182">
        <f t="shared" si="0"/>
        <v>1.9</v>
      </c>
    </row>
    <row r="18" spans="1:4" x14ac:dyDescent="0.2">
      <c r="A18">
        <v>2400</v>
      </c>
      <c r="B18" t="s">
        <v>711</v>
      </c>
      <c r="C18" s="179">
        <f>ROUND('DOE25'!L206+'DOE25'!L224+'DOE25'!L242+'DOE25'!L285+'DOE25'!L304+'DOE25'!L323,0)</f>
        <v>2782359</v>
      </c>
      <c r="D18" s="182">
        <f t="shared" si="0"/>
        <v>5.7</v>
      </c>
    </row>
    <row r="19" spans="1:4" x14ac:dyDescent="0.2">
      <c r="A19">
        <v>2500</v>
      </c>
      <c r="B19" t="s">
        <v>708</v>
      </c>
      <c r="C19" s="179">
        <f>ROUND('DOE25'!L207+'DOE25'!L225+'DOE25'!L243+'DOE25'!L286+'DOE25'!L305+'DOE25'!L324,0)</f>
        <v>525379</v>
      </c>
      <c r="D19" s="182">
        <f t="shared" si="0"/>
        <v>1.1000000000000001</v>
      </c>
    </row>
    <row r="20" spans="1:4" x14ac:dyDescent="0.2">
      <c r="A20">
        <v>2600</v>
      </c>
      <c r="B20" t="s">
        <v>709</v>
      </c>
      <c r="C20" s="179">
        <f>ROUND('DOE25'!L208+'DOE25'!L226+'DOE25'!L244+'DOE25'!L287+'DOE25'!L306+'DOE25'!L325,0)</f>
        <v>3777031</v>
      </c>
      <c r="D20" s="182">
        <f t="shared" si="0"/>
        <v>7.8</v>
      </c>
    </row>
    <row r="21" spans="1:4" x14ac:dyDescent="0.2">
      <c r="A21">
        <v>2700</v>
      </c>
      <c r="B21" t="s">
        <v>710</v>
      </c>
      <c r="C21" s="179">
        <f>ROUND('DOE25'!L209+'DOE25'!L227+'DOE25'!L245+'DOE25'!L288+'DOE25'!L307+'DOE25'!L326,0)</f>
        <v>2282304</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145534</v>
      </c>
      <c r="D24" s="182">
        <f t="shared" si="0"/>
        <v>0.3</v>
      </c>
    </row>
    <row r="25" spans="1:4" x14ac:dyDescent="0.2">
      <c r="A25">
        <v>5120</v>
      </c>
      <c r="B25" t="s">
        <v>716</v>
      </c>
      <c r="C25" s="179">
        <f>ROUND('DOE25'!L262+'DOE25'!L343,0)</f>
        <v>1190123</v>
      </c>
      <c r="D25" s="182">
        <f t="shared" si="0"/>
        <v>2.5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569883.47</v>
      </c>
      <c r="D27" s="182">
        <f t="shared" si="0"/>
        <v>1.2</v>
      </c>
    </row>
    <row r="28" spans="1:4" x14ac:dyDescent="0.2">
      <c r="B28" s="187" t="s">
        <v>719</v>
      </c>
      <c r="C28" s="180">
        <f>SUM(C10:C27)</f>
        <v>48451102.469999999</v>
      </c>
      <c r="D28" s="184">
        <f>ROUND(SUM(D10:D27),0)</f>
        <v>100</v>
      </c>
    </row>
    <row r="29" spans="1:4" x14ac:dyDescent="0.2">
      <c r="A29">
        <v>4000</v>
      </c>
      <c r="B29" t="s">
        <v>724</v>
      </c>
      <c r="C29" s="179">
        <f>ROUND('DOE25'!L256+'DOE25'!L337+'DOE25'!L375+'DOE25'!L376+'DOE25'!L377+'DOE25'!L378+'DOE25'!L379+'DOE25'!L380+'DOE25'!L381,0)</f>
        <v>200000</v>
      </c>
    </row>
    <row r="30" spans="1:4" x14ac:dyDescent="0.2">
      <c r="B30" s="187" t="s">
        <v>725</v>
      </c>
      <c r="C30" s="180">
        <f>SUM(C28:C29)</f>
        <v>48651102.469999999</v>
      </c>
    </row>
    <row r="31" spans="1:4" x14ac:dyDescent="0.2">
      <c r="B31" s="33"/>
      <c r="C31" s="180"/>
    </row>
    <row r="32" spans="1:4" x14ac:dyDescent="0.2">
      <c r="A32">
        <v>5100</v>
      </c>
      <c r="B32" s="33" t="s">
        <v>726</v>
      </c>
      <c r="C32" s="180">
        <f>ROUND('DOE25'!L261+'DOE25'!L342,0)</f>
        <v>2405406</v>
      </c>
    </row>
    <row r="34" spans="1:4" x14ac:dyDescent="0.2">
      <c r="A34" s="187" t="s">
        <v>94</v>
      </c>
      <c r="B34" s="188" t="s">
        <v>1589</v>
      </c>
      <c r="C34" s="181" t="s">
        <v>720</v>
      </c>
      <c r="D34" s="181" t="s">
        <v>721</v>
      </c>
    </row>
    <row r="35" spans="1:4" x14ac:dyDescent="0.2">
      <c r="A35">
        <v>1100</v>
      </c>
      <c r="B35" s="185" t="s">
        <v>727</v>
      </c>
      <c r="C35" s="179">
        <f>ROUND('DOE25'!F60+'DOE25'!G60+'DOE25'!H60+'DOE25'!I60+'DOE25'!J60,0)</f>
        <v>32813166</v>
      </c>
      <c r="D35" s="182">
        <f t="shared" ref="D35:D40" si="1">ROUND((C35/$C$41)*100,1)</f>
        <v>61.3</v>
      </c>
    </row>
    <row r="36" spans="1:4" x14ac:dyDescent="0.2">
      <c r="B36" s="185" t="s">
        <v>739</v>
      </c>
      <c r="C36" s="179">
        <f>SUM('DOE25'!F112:J112)-SUM('DOE25'!G97:G110)+('DOE25'!F175+'DOE25'!F176+'DOE25'!I175+'DOE25'!I176)-C35</f>
        <v>2497407.700000003</v>
      </c>
      <c r="D36" s="182">
        <f t="shared" si="1"/>
        <v>4.7</v>
      </c>
    </row>
    <row r="37" spans="1:4" x14ac:dyDescent="0.2">
      <c r="A37" s="183" t="s">
        <v>835</v>
      </c>
      <c r="B37" s="185" t="s">
        <v>728</v>
      </c>
      <c r="C37" s="179">
        <f>ROUND('DOE25'!F117+'DOE25'!F118,0)</f>
        <v>13966913</v>
      </c>
      <c r="D37" s="182">
        <f t="shared" si="1"/>
        <v>26.1</v>
      </c>
    </row>
    <row r="38" spans="1:4" x14ac:dyDescent="0.2">
      <c r="A38" s="183" t="s">
        <v>734</v>
      </c>
      <c r="B38" s="185" t="s">
        <v>729</v>
      </c>
      <c r="C38" s="179">
        <f>ROUND(SUM('DOE25'!F140:J140)-SUM('DOE25'!F117:F119),0)</f>
        <v>1961398</v>
      </c>
      <c r="D38" s="182">
        <f t="shared" si="1"/>
        <v>3.7</v>
      </c>
    </row>
    <row r="39" spans="1:4" x14ac:dyDescent="0.2">
      <c r="A39">
        <v>4000</v>
      </c>
      <c r="B39" s="185" t="s">
        <v>730</v>
      </c>
      <c r="C39" s="179">
        <f>ROUND('DOE25'!F170+'DOE25'!G170+'DOE25'!H170+'DOE25'!I170,0)</f>
        <v>2277710</v>
      </c>
      <c r="D39" s="182">
        <f t="shared" si="1"/>
        <v>4.3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53516594.700000003</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Governor Wentworth Regional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2020-10-05T12:24:21Z</cp:lastPrinted>
  <dcterms:created xsi:type="dcterms:W3CDTF">1997-12-04T19:04:30Z</dcterms:created>
  <dcterms:modified xsi:type="dcterms:W3CDTF">2020-12-11T15:01:56Z</dcterms:modified>
</cp:coreProperties>
</file>