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474" i="1" l="1"/>
  <c r="F50" i="1"/>
  <c r="F473" i="1"/>
  <c r="J469" i="1"/>
  <c r="F460" i="1"/>
  <c r="F22" i="1"/>
  <c r="F23" i="1"/>
  <c r="C39" i="12" l="1"/>
  <c r="C38" i="12"/>
  <c r="C37" i="12"/>
  <c r="C21" i="12"/>
  <c r="C20" i="12"/>
  <c r="C19" i="12"/>
  <c r="D9" i="13" l="1"/>
  <c r="F14" i="1" l="1"/>
  <c r="H227" i="1"/>
  <c r="I605" i="1"/>
  <c r="H605" i="1"/>
  <c r="G158" i="1" l="1"/>
  <c r="F63" i="1" l="1"/>
  <c r="F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E120" i="2" s="1"/>
  <c r="L323" i="1"/>
  <c r="L324" i="1"/>
  <c r="L325" i="1"/>
  <c r="L326" i="1"/>
  <c r="H663" i="1" s="1"/>
  <c r="L327" i="1"/>
  <c r="L334" i="1"/>
  <c r="E114" i="2" s="1"/>
  <c r="L335" i="1"/>
  <c r="L336" i="1"/>
  <c r="L261" i="1"/>
  <c r="L262" i="1"/>
  <c r="C132" i="2" s="1"/>
  <c r="L342" i="1"/>
  <c r="L343" i="1"/>
  <c r="L256" i="1"/>
  <c r="C130" i="2" s="1"/>
  <c r="L337" i="1"/>
  <c r="E130" i="2" s="1"/>
  <c r="C11" i="13"/>
  <c r="C10" i="13"/>
  <c r="C9" i="13"/>
  <c r="L362" i="1"/>
  <c r="B4" i="12"/>
  <c r="B36" i="12"/>
  <c r="C36" i="12"/>
  <c r="B40" i="12"/>
  <c r="B27" i="12"/>
  <c r="C27" i="12"/>
  <c r="B31" i="12"/>
  <c r="B9" i="12"/>
  <c r="B13" i="12"/>
  <c r="C9" i="12"/>
  <c r="B18" i="12"/>
  <c r="C18" i="12"/>
  <c r="B1" i="12"/>
  <c r="L388" i="1"/>
  <c r="L389" i="1"/>
  <c r="L390" i="1"/>
  <c r="L391" i="1"/>
  <c r="L392" i="1"/>
  <c r="L393" i="1"/>
  <c r="L396" i="1"/>
  <c r="L397" i="1"/>
  <c r="L398" i="1"/>
  <c r="L399" i="1"/>
  <c r="L402" i="1" s="1"/>
  <c r="C139" i="2" s="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s="1"/>
  <c r="G147" i="1"/>
  <c r="H147" i="1"/>
  <c r="H170" i="1"/>
  <c r="I147" i="1"/>
  <c r="C11" i="10"/>
  <c r="C12"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C119" i="2"/>
  <c r="E119" i="2"/>
  <c r="E123" i="2"/>
  <c r="E124" i="2"/>
  <c r="F128" i="2"/>
  <c r="G128"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H409" i="1" s="1"/>
  <c r="H645" i="1" s="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G653" i="1"/>
  <c r="H653" i="1"/>
  <c r="G654" i="1"/>
  <c r="H654" i="1"/>
  <c r="G655" i="1"/>
  <c r="H655" i="1"/>
  <c r="H656" i="1"/>
  <c r="J656" i="1" s="1"/>
  <c r="G62" i="2"/>
  <c r="J572" i="1"/>
  <c r="I170" i="1"/>
  <c r="G477" i="1"/>
  <c r="G339" i="1"/>
  <c r="G353" i="1" s="1"/>
  <c r="J140" i="1"/>
  <c r="H140" i="1"/>
  <c r="G646" i="1" l="1"/>
  <c r="G553" i="1"/>
  <c r="J652" i="1"/>
  <c r="H112" i="1"/>
  <c r="G662" i="1"/>
  <c r="E125" i="2"/>
  <c r="C20" i="10"/>
  <c r="K339" i="1"/>
  <c r="K353" i="1" s="1"/>
  <c r="E121" i="2"/>
  <c r="C13" i="10"/>
  <c r="F258" i="1"/>
  <c r="L257" i="1"/>
  <c r="C110" i="2"/>
  <c r="J258" i="1"/>
  <c r="F339" i="1"/>
  <c r="F353" i="1" s="1"/>
  <c r="J642" i="1"/>
  <c r="L561" i="1"/>
  <c r="J625"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F661" i="1" s="1"/>
  <c r="H648" i="1"/>
  <c r="J645"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J620" i="1"/>
  <c r="D103" i="2"/>
  <c r="I140" i="1"/>
  <c r="G50" i="2"/>
  <c r="J653" i="1"/>
  <c r="G572" i="1"/>
  <c r="I435" i="1"/>
  <c r="G435" i="1"/>
  <c r="I664" i="1"/>
  <c r="C141" i="2" l="1"/>
  <c r="C144" i="2" s="1"/>
  <c r="C40" i="12"/>
  <c r="A40" i="12" s="1"/>
  <c r="C22" i="12"/>
  <c r="A22" i="12" s="1"/>
  <c r="C13" i="12"/>
  <c r="A13" i="12" s="1"/>
  <c r="C31" i="12"/>
  <c r="A31" i="12" s="1"/>
  <c r="E51" i="2"/>
  <c r="E128" i="2"/>
  <c r="H661" i="1"/>
  <c r="H665" i="1" s="1"/>
  <c r="H668" i="1" s="1"/>
  <c r="G24" i="14"/>
  <c r="H24" i="14" s="1"/>
  <c r="I24" i="14" s="1"/>
  <c r="H649" i="1"/>
  <c r="J649" i="1" s="1"/>
  <c r="E145" i="2"/>
  <c r="G36" i="14"/>
  <c r="H36" i="14" s="1"/>
  <c r="I36" i="14" s="1"/>
  <c r="F194" i="1"/>
  <c r="G628" i="1" s="1"/>
  <c r="J628" i="1"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<sst xmlns="http://schemas.openxmlformats.org/spreadsheetml/2006/main" count="5547" uniqueCount="1645">
  <si>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</si>
  <si>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</si>
  <si>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</si>
  <si>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</si>
  <si>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</si>
  <si>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</si>
  <si>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</si>
  <si>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</si>
  <si>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</si>
  <si>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</si>
  <si>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</si>
  <si>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</si>
  <si>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</si>
  <si>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</si>
  <si>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</si>
  <si>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</si>
  <si>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</si>
  <si>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</si>
  <si>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</si>
  <si>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</si>
  <si>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</si>
  <si>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</si>
  <si>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</si>
  <si>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</si>
  <si>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</si>
  <si>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</si>
  <si>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</si>
  <si>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</si>
  <si>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</si>
  <si>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</si>
  <si>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</si>
  <si>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</si>
  <si>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</si>
  <si>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</si>
  <si>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</si>
  <si>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</si>
  <si>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</si>
  <si>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</si>
  <si>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</si>
  <si>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</si>
  <si>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</si>
  <si>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</si>
  <si>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</si>
  <si>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</si>
  <si>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</si>
  <si>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</si>
  <si>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</si>
  <si>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</si>
  <si>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</si>
  <si>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</si>
  <si>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</si>
  <si>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</si>
  <si>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</si>
  <si>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</si>
  <si>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</si>
  <si>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</si>
  <si>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</si>
  <si>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</si>
  <si>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</si>
  <si>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</si>
  <si>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</si>
  <si>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</si>
  <si>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</si>
  <si>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</si>
  <si>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</si>
  <si>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</si>
  <si>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</si>
  <si>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</si>
  <si>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</si>
  <si>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</si>
  <si>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</si>
  <si>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</si>
  <si>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</si>
  <si>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</si>
  <si>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</si>
  <si>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</si>
  <si>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</si>
  <si>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</si>
  <si>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</si>
  <si>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</si>
  <si>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</si>
  <si>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</si>
  <si>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</si>
  <si>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</si>
  <si>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</si>
  <si>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</si>
  <si>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</si>
  <si>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</si>
  <si>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</si>
  <si>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</si>
  <si>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</si>
  <si>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</si>
  <si>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</si>
  <si>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</si>
  <si>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</si>
  <si>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</si>
  <si>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</si>
  <si>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</si>
  <si>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</si>
  <si>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</si>
  <si>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</si>
  <si>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</si>
  <si>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</si>
  <si>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</si>
  <si>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</si>
  <si>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</si>
  <si>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</si>
  <si>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</si>
  <si>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</si>
  <si>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</si>
  <si>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</si>
  <si>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</si>
  <si>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</si>
  <si>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</si>
  <si>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</si>
  <si>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</si>
  <si>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</si>
  <si>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</si>
  <si>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</si>
  <si>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</si>
  <si>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</si>
  <si>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</si>
  <si>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</si>
  <si>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</si>
  <si>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</si>
  <si>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</si>
  <si>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</si>
  <si>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</si>
  <si>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</si>
  <si>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</si>
  <si>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</si>
  <si>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</si>
  <si>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</si>
  <si>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</si>
  <si>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</si>
  <si>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</si>
  <si>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</si>
  <si>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</si>
  <si>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</si>
  <si>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</si>
  <si>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</si>
  <si>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</si>
  <si>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</si>
  <si>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</si>
  <si>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</si>
  <si>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</si>
  <si>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</si>
  <si>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</si>
  <si>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</si>
  <si>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</si>
  <si>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</si>
  <si>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</si>
  <si>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</si>
  <si>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</si>
  <si>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</si>
  <si>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</si>
  <si>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</si>
  <si>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</si>
  <si>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</si>
  <si>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</si>
  <si>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</si>
  <si>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</si>
  <si>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</si>
  <si>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</si>
  <si>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</si>
  <si>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</si>
  <si>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</si>
  <si>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</si>
  <si>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</si>
  <si>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</si>
  <si>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</si>
  <si>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</si>
  <si>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</si>
  <si>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</si>
  <si>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</si>
  <si>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</si>
  <si>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</si>
  <si>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</si>
  <si>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</si>
  <si>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</si>
  <si>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</si>
  <si>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</si>
  <si>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</si>
  <si>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</si>
  <si>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</si>
  <si>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</si>
  <si>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</si>
  <si>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</si>
  <si>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</si>
  <si>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</si>
  <si>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</si>
  <si>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</si>
  <si>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</si>
  <si>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</si>
  <si>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</si>
  <si>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</si>
  <si>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</si>
  <si>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</si>
  <si>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</si>
  <si>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</si>
  <si>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</si>
  <si>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</si>
  <si>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</si>
  <si>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</si>
  <si>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</si>
  <si>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</si>
  <si>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</si>
  <si>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</si>
  <si>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</si>
  <si>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</si>
  <si>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</si>
  <si>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</si>
  <si>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</si>
  <si>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</si>
  <si>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</si>
  <si>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</si>
  <si>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</si>
  <si>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</si>
  <si>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</si>
  <si>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</si>
  <si>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</si>
  <si>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</si>
  <si>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</si>
  <si>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</si>
  <si>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</si>
  <si>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</si>
  <si>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</si>
  <si>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</si>
  <si>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</si>
  <si>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</si>
  <si>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</si>
  <si>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</si>
  <si>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</si>
  <si>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</si>
  <si>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</si>
  <si>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</si>
  <si>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</si>
  <si>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</si>
  <si>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</si>
  <si>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</si>
  <si>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</si>
  <si>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</si>
  <si>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</si>
  <si>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</si>
  <si>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</si>
  <si>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</si>
  <si>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</si>
  <si>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</si>
  <si>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</si>
  <si>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</si>
  <si>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</si>
  <si>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</si>
  <si>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</si>
  <si>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</si>
  <si>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</si>
  <si>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</si>
  <si>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</si>
  <si>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</si>
  <si>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</si>
  <si>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</si>
  <si>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</si>
  <si>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</si>
  <si>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</si>
  <si>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</si>
  <si>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</si>
  <si>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</si>
  <si>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</si>
  <si>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</si>
  <si>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</si>
  <si>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</si>
  <si>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</si>
  <si>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</si>
  <si>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</si>
  <si>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</si>
  <si>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</si>
  <si>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</si>
  <si>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</si>
  <si>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</si>
  <si>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</si>
  <si>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</si>
  <si>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</si>
  <si>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</si>
  <si>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</si>
  <si>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</si>
  <si>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</si>
  <si>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</si>
  <si>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</si>
  <si>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</si>
  <si>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</si>
  <si>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</si>
  <si>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</si>
  <si>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</si>
  <si>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</si>
  <si>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</si>
  <si>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</si>
  <si>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</si>
  <si>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</si>
  <si>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</si>
  <si>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</si>
  <si>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</si>
  <si>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</si>
  <si>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</si>
  <si>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</si>
  <si>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</si>
  <si>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</si>
  <si>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</si>
  <si>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</si>
  <si>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</si>
  <si>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</si>
  <si>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</si>
  <si>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</si>
  <si>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</si>
  <si>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</si>
  <si>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</si>
  <si>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</si>
  <si>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</si>
  <si>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</si>
  <si>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</si>
  <si>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</si>
  <si>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</si>
  <si>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</si>
  <si>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</si>
  <si>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</si>
  <si>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</si>
  <si>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</si>
  <si>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</si>
  <si>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</si>
  <si>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</si>
  <si>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</si>
  <si>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</si>
  <si>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</si>
  <si>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</si>
  <si>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</si>
  <si>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</si>
  <si>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</si>
  <si>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</si>
  <si>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</si>
  <si>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</si>
  <si>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</si>
  <si>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</si>
  <si>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</si>
  <si>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</si>
  <si>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</si>
  <si>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</si>
  <si>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</si>
  <si>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</si>
  <si>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</si>
  <si>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</si>
  <si>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</si>
  <si>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</si>
  <si>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</si>
  <si>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</si>
  <si>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</si>
  <si>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</si>
  <si>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</si>
  <si>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</si>
  <si>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</si>
  <si>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</si>
  <si>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</si>
  <si>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</si>
  <si>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</si>
  <si>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</si>
  <si>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</si>
  <si>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</si>
  <si>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</si>
  <si>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</si>
  <si>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</si>
  <si>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</si>
  <si>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</si>
  <si>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</si>
  <si>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</si>
  <si>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</si>
  <si>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</si>
  <si>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</si>
  <si>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</si>
  <si>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</si>
  <si>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</si>
  <si>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</si>
  <si>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</si>
  <si>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</si>
  <si>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</si>
  <si>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</si>
  <si>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</si>
  <si>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</si>
  <si>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</si>
  <si>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</si>
  <si>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</si>
  <si>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</si>
  <si>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</si>
  <si>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</si>
  <si>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</si>
  <si>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</si>
  <si>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</si>
  <si>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</si>
  <si>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</si>
  <si>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</si>
  <si>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</si>
  <si>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</si>
  <si>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</si>
  <si>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</si>
  <si>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</si>
  <si>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</si>
  <si>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</si>
  <si>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</si>
  <si>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</si>
  <si>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</si>
  <si>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</si>
  <si>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</si>
  <si>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</si>
  <si>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</si>
  <si>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</si>
  <si>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</si>
  <si>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</si>
  <si>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</si>
  <si>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</si>
  <si>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</si>
  <si>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</si>
  <si>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</si>
  <si>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</si>
  <si>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</si>
  <si>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</si>
  <si>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</si>
  <si>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</si>
  <si>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</si>
  <si>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</si>
  <si>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</si>
  <si>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</si>
  <si>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</si>
  <si>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</si>
  <si>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</si>
  <si>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</si>
  <si>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</si>
  <si>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</si>
  <si>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</si>
  <si>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</si>
  <si>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</si>
  <si>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</si>
  <si>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</si>
  <si>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</si>
  <si>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</si>
  <si>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</si>
  <si>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</si>
  <si>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</si>
  <si>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</si>
  <si>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</si>
  <si>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</si>
  <si>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</si>
  <si>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</si>
  <si>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</si>
  <si>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</si>
  <si>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</si>
  <si>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</si>
  <si>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</si>
  <si>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</si>
  <si>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</si>
  <si>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</si>
  <si>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</si>
  <si>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</si>
  <si>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</si>
  <si>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</si>
  <si>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</si>
  <si>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</si>
  <si>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</si>
  <si>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</si>
  <si>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</si>
  <si>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</si>
  <si>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</si>
  <si>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</si>
  <si>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</si>
  <si>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</si>
  <si>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</si>
  <si>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</si>
  <si>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</si>
  <si>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</si>
  <si>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</si>
  <si>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</si>
  <si>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</si>
  <si>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</si>
  <si>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</si>
  <si>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</si>
  <si>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</si>
  <si>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</si>
  <si>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</si>
  <si>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</si>
  <si>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</si>
  <si>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</si>
  <si>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</si>
  <si>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</si>
  <si>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</si>
  <si>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</si>
  <si>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</si>
  <si>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</si>
  <si>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</si>
  <si>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</si>
  <si>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</si>
  <si>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</si>
  <si>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</si>
  <si>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</si>
  <si>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</si>
  <si>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</si>
  <si>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</si>
  <si>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</si>
  <si>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</si>
  <si>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</si>
  <si>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</si>
  <si>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</si>
  <si>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</si>
  <si>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</si>
  <si>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</si>
  <si>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</si>
  <si>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</si>
  <si>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</si>
  <si>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</si>
  <si>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</si>
  <si>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</si>
  <si>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</si>
  <si>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</si>
  <si>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</si>
  <si>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</si>
  <si>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</si>
  <si>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</si>
  <si>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</si>
  <si>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</si>
  <si>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</si>
  <si>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</si>
  <si>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</si>
  <si>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</si>
  <si>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</si>
  <si>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</si>
  <si>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</si>
  <si>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</si>
  <si>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</si>
  <si>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</si>
  <si>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</si>
  <si>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</si>
  <si>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</si>
  <si>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</si>
  <si>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</si>
  <si>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</si>
  <si>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</si>
  <si>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</si>
  <si>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</si>
  <si>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</si>
  <si>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</si>
  <si>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</si>
  <si>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</si>
  <si>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</si>
  <si>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</si>
  <si>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</si>
  <si>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</si>
  <si>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</si>
  <si>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</si>
  <si>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</si>
  <si>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</si>
  <si>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</si>
  <si>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</si>
  <si>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</si>
  <si>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</si>
  <si>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</si>
  <si>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</si>
  <si>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</si>
  <si>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</si>
  <si>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</si>
  <si>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</si>
  <si>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</si>
  <si>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</si>
  <si>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</si>
  <si>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</si>
  <si>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</si>
  <si>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</si>
  <si>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</si>
  <si>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</si>
  <si>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</si>
  <si>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</si>
  <si>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</si>
  <si>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</si>
  <si>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</si>
  <si>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</si>
  <si>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</si>
  <si>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</si>
  <si>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</si>
  <si>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</si>
  <si>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</si>
  <si>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</si>
  <si>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</si>
  <si>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</si>
  <si>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</si>
  <si>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</si>
  <si>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</si>
  <si>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</si>
  <si>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</si>
  <si>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</si>
  <si>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</si>
  <si>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</si>
  <si>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</si>
  <si>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</si>
  <si>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</si>
  <si>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</si>
  <si>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</si>
  <si>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</si>
  <si>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</si>
  <si>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</si>
  <si>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</si>
  <si>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</si>
  <si>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</si>
  <si>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</si>
  <si>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</si>
  <si>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</si>
  <si>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</si>
  <si>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</si>
  <si>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</si>
  <si>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</si>
  <si>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</si>
  <si>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</si>
  <si>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</si>
  <si>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</si>
  <si>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</si>
  <si>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</si>
  <si>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</si>
  <si>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</si>
  <si>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</si>
  <si>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</si>
  <si>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</si>
  <si>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</si>
  <si>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</si>
  <si>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</si>
  <si>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</si>
  <si>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</si>
  <si>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</si>
  <si>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</si>
  <si>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</si>
  <si>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</si>
  <si>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</si>
  <si>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</si>
  <si>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</si>
  <si>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</si>
  <si>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</si>
  <si>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</si>
  <si>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</si>
  <si>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</si>
  <si>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</si>
  <si>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</si>
  <si>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</si>
  <si>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</si>
  <si>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</si>
  <si>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</si>
  <si>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</si>
  <si>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</si>
  <si>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</si>
  <si>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</si>
  <si>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</si>
  <si>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</si>
  <si>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</si>
  <si>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</si>
  <si>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</si>
  <si>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</si>
  <si>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</si>
  <si>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</si>
  <si>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</si>
  <si>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</si>
  <si>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</si>
  <si>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</si>
  <si>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</si>
  <si>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</si>
  <si>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</si>
  <si>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</si>
  <si>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</si>
  <si>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</si>
  <si>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</si>
  <si>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</si>
  <si>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</si>
  <si>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</si>
  <si>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</si>
  <si>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</si>
  <si>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</si>
  <si>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</si>
  <si>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</si>
  <si>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</si>
  <si>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</si>
  <si>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</si>
  <si>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</si>
  <si>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</si>
  <si>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</si>
  <si>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</si>
  <si>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</si>
  <si>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</si>
  <si>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</si>
  <si>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</si>
  <si>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</si>
  <si>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</si>
  <si>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</si>
  <si>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</si>
  <si>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</si>
  <si>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</si>
  <si>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</si>
  <si>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</si>
  <si>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</si>
  <si>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</si>
  <si>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</si>
  <si>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</si>
  <si>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</si>
  <si>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</si>
  <si>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</si>
  <si>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</si>
  <si>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</si>
  <si>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</si>
  <si>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</si>
  <si>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</si>
  <si>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</si>
  <si>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</si>
  <si>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</si>
  <si>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</si>
  <si>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</si>
  <si>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</si>
  <si>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</si>
  <si>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</si>
  <si>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</si>
  <si>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</si>
  <si>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</si>
  <si>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</si>
  <si>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</si>
  <si>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</si>
  <si>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</si>
  <si>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</si>
  <si>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</si>
  <si>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</si>
  <si>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</si>
  <si>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</si>
  <si>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</si>
  <si>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</si>
  <si>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</si>
  <si>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</si>
  <si>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</si>
  <si>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</si>
  <si>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</si>
  <si>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</si>
  <si>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</si>
  <si>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</si>
  <si>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</si>
  <si>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</si>
  <si>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</si>
  <si>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</si>
  <si>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</si>
  <si>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</si>
  <si>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</si>
  <si>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</si>
  <si>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</si>
  <si>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</si>
  <si>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</si>
  <si>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</si>
  <si>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</si>
  <si>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</si>
  <si>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</si>
  <si>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</si>
  <si>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</si>
  <si>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</si>
  <si>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</si>
  <si>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</si>
  <si>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</si>
  <si>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</si>
  <si>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</si>
  <si>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</si>
  <si>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</si>
  <si>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</si>
  <si>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</si>
  <si>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</si>
  <si>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</si>
  <si>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</si>
  <si>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</si>
  <si>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</si>
  <si>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</si>
  <si>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</si>
  <si>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</si>
  <si>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</si>
  <si>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</si>
  <si>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</si>
  <si>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</si>
  <si>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</si>
  <si>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</si>
  <si>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</si>
  <si>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</si>
  <si>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</si>
  <si>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</si>
  <si>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</si>
  <si>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</si>
  <si>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</si>
  <si>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</si>
  <si>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</si>
  <si>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</si>
  <si>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</si>
  <si>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</si>
  <si>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</si>
  <si>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</si>
  <si>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</si>
  <si>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</si>
  <si>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</si>
  <si>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</si>
  <si>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</si>
  <si>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</si>
  <si>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</si>
  <si>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</si>
  <si>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</si>
  <si>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</si>
  <si>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</si>
  <si>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</si>
  <si>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</si>
  <si>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</si>
  <si>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</si>
  <si>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</si>
  <si>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</si>
  <si>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</si>
  <si>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</si>
  <si>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</si>
  <si>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</si>
  <si>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</si>
  <si>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</si>
  <si>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</si>
  <si>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</si>
  <si>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</si>
  <si>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</si>
  <si>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</si>
  <si>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</si>
  <si>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</si>
  <si>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</si>
  <si>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</si>
  <si>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</si>
  <si>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</si>
  <si>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</si>
  <si>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</si>
  <si>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</si>
  <si>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</si>
  <si>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</si>
  <si>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</si>
  <si>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</si>
  <si>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</si>
  <si>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</si>
  <si>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</si>
  <si>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</si>
  <si>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</si>
  <si>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</si>
  <si>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</si>
  <si>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</si>
  <si>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</si>
  <si>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</si>
  <si>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</si>
  <si>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</si>
  <si>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</si>
  <si>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</si>
  <si>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</si>
  <si>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</si>
  <si>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</si>
  <si>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</si>
  <si>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</si>
  <si>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</si>
  <si>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</si>
  <si>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</si>
  <si>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</si>
  <si>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</si>
  <si>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</si>
  <si>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</si>
  <si>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</si>
  <si>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</si>
  <si>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</si>
  <si>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</si>
  <si>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</si>
  <si>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</si>
  <si>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</si>
  <si>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</si>
  <si>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</si>
  <si>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</si>
  <si>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</si>
  <si>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</si>
  <si>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</si>
  <si>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</si>
  <si>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</si>
  <si>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</si>
  <si>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</si>
  <si>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</si>
  <si>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</si>
  <si>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</si>
  <si>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</si>
  <si>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</si>
  <si>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</si>
  <si>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</si>
  <si>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</si>
  <si>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</si>
  <si>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</si>
  <si>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</si>
  <si>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</si>
  <si>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</si>
  <si>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</si>
  <si>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</si>
  <si>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</si>
  <si>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</si>
  <si>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</si>
  <si>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</si>
  <si>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</si>
  <si>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</si>
  <si>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</si>
  <si>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</si>
  <si>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</si>
  <si>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</si>
  <si>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</si>
  <si>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</si>
  <si>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</si>
  <si>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</si>
  <si>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</si>
  <si>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</si>
  <si>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</si>
  <si>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</si>
  <si>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</si>
  <si>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</si>
  <si>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</si>
  <si>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</si>
  <si>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</si>
  <si>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</si>
  <si>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</si>
  <si>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</si>
  <si>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</si>
  <si>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</si>
  <si>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</si>
  <si>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</si>
  <si>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</si>
  <si>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</si>
  <si>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</si>
  <si>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</si>
  <si>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</si>
  <si>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</si>
  <si>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</si>
  <si>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</si>
  <si>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</si>
  <si>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</si>
  <si>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</si>
  <si>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</si>
  <si>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</si>
  <si>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</si>
  <si>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</si>
  <si>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</si>
  <si>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</si>
  <si>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</si>
  <si>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</si>
  <si>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</si>
  <si>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</si>
  <si>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</si>
  <si>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</si>
  <si>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</si>
  <si>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</si>
  <si>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</si>
  <si>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</si>
  <si>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</si>
  <si>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</si>
  <si>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</si>
  <si>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</si>
  <si>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</si>
  <si>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</si>
  <si>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</si>
  <si>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</si>
  <si>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</si>
  <si>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</si>
  <si>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</si>
  <si>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</si>
  <si>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</si>
  <si>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</si>
  <si>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</si>
  <si>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</si>
  <si>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</si>
  <si>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</si>
  <si>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</si>
  <si>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</si>
  <si>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</si>
  <si>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</si>
  <si>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</si>
  <si>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</si>
  <si>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</si>
  <si>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</si>
  <si>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</si>
  <si>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</si>
  <si>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</si>
  <si>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</si>
  <si>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</si>
  <si>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</si>
  <si>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</si>
  <si>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</si>
  <si>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</si>
  <si>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</si>
  <si>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</si>
  <si>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</si>
  <si>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</si>
  <si>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</si>
  <si>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</si>
  <si>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</si>
  <si>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</si>
  <si>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</si>
  <si>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</si>
  <si>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</si>
  <si>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</si>
  <si>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</si>
  <si>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</si>
  <si>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</si>
  <si>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</si>
  <si>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</si>
  <si>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</si>
  <si>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</si>
  <si>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</si>
  <si>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</si>
  <si>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</si>
  <si>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</si>
  <si>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</si>
  <si>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</si>
  <si>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</si>
  <si>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</si>
  <si>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</si>
  <si>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</si>
  <si>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</si>
  <si>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</si>
  <si>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</si>
  <si>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</si>
  <si>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</si>
  <si>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</si>
  <si>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</si>
  <si>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</si>
  <si>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</si>
  <si>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</si>
  <si>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</si>
  <si>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</si>
  <si>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</si>
  <si>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</si>
  <si>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</si>
  <si>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</si>
  <si>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</si>
  <si>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</si>
  <si>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</si>
  <si>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</si>
  <si>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</si>
  <si>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</si>
  <si>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</si>
  <si>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</si>
  <si>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</si>
  <si>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</si>
  <si>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</si>
  <si>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</si>
  <si>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</si>
  <si>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</si>
  <si>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</si>
  <si>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</si>
  <si>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</si>
  <si>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</si>
  <si>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</si>
  <si>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</si>
  <si>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</si>
  <si>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</si>
  <si>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</si>
  <si>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</si>
  <si>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</si>
  <si>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</si>
  <si>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</si>
  <si>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</si>
  <si>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</si>
  <si>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</si>
  <si>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</si>
  <si>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</si>
  <si>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</si>
  <si>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</si>
  <si>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</si>
  <si>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</si>
  <si>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</si>
  <si>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</si>
  <si>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</si>
  <si>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</si>
  <si>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</si>
  <si>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</si>
  <si>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</si>
  <si>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</si>
  <si>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</si>
  <si>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</si>
  <si>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</si>
  <si>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</si>
  <si>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</si>
  <si>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</si>
  <si>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</si>
  <si>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</si>
  <si>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</si>
  <si>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</si>
  <si>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</si>
  <si>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</si>
  <si>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</si>
  <si>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</si>
  <si>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</si>
  <si>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</si>
  <si>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</si>
  <si>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</si>
  <si>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</si>
  <si>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</si>
  <si>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</si>
  <si>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</si>
  <si>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</si>
  <si>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</si>
  <si>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</si>
  <si>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</si>
  <si>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</si>
  <si>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</si>
  <si>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</si>
  <si>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</si>
  <si>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</si>
  <si>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</si>
  <si>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</si>
  <si>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</si>
  <si>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</si>
  <si>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</si>
  <si>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</si>
  <si>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</si>
  <si>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</si>
  <si>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</si>
  <si>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</si>
  <si>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</si>
  <si>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</si>
  <si>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</si>
  <si>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</si>
  <si>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</si>
  <si>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</si>
  <si>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</si>
  <si>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</si>
  <si>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</si>
  <si>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</si>
  <si>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</si>
  <si>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</si>
  <si>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</si>
  <si>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</si>
  <si>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</si>
  <si>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</si>
  <si>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</si>
  <si>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</si>
  <si>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</si>
  <si>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</si>
  <si>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</si>
  <si>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</si>
  <si>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</si>
  <si>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</si>
  <si>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</si>
  <si>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</si>
  <si>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</si>
  <si>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</si>
  <si>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</si>
  <si>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</si>
  <si>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</si>
  <si>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</si>
  <si>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</si>
  <si>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</si>
  <si>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</si>
  <si>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</si>
  <si>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</si>
  <si>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</si>
  <si>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</si>
  <si>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</si>
  <si>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</si>
  <si>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</si>
  <si>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</si>
  <si>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</si>
  <si>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</si>
  <si>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</si>
  <si>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</si>
  <si>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</si>
  <si>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</si>
  <si>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</si>
  <si>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</si>
  <si>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</si>
  <si>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</si>
  <si>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</si>
  <si>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</si>
  <si>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</si>
  <si>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</si>
  <si>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</si>
  <si>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</si>
  <si>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</si>
  <si>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</si>
  <si>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</si>
  <si>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</si>
  <si>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</si>
  <si>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</si>
  <si>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</si>
  <si>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</si>
  <si>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</si>
  <si>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</si>
  <si>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</si>
  <si>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</si>
  <si>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</si>
  <si>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</si>
  <si>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</si>
  <si>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</si>
  <si>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</si>
  <si>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</si>
  <si>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</si>
  <si>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</si>
  <si>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</si>
  <si>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</si>
  <si>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</si>
  <si>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</si>
  <si>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</si>
  <si>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</si>
  <si>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</si>
  <si>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</si>
  <si>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</si>
  <si>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</si>
  <si>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</si>
  <si>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</si>
  <si>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</si>
  <si>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</si>
  <si>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</si>
  <si>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</si>
  <si>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</si>
  <si>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</si>
  <si>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</si>
  <si>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</si>
  <si>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</si>
  <si>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</si>
  <si>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</si>
  <si>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</si>
  <si>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</si>
  <si>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</si>
  <si>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</si>
  <si>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</si>
  <si>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</si>
  <si>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</si>
  <si>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</si>
  <si>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</si>
  <si>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</si>
  <si>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</si>
  <si>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</si>
  <si>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</si>
  <si>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</si>
  <si>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</si>
  <si>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</si>
  <si>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</si>
  <si>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</si>
  <si>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</si>
  <si>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</si>
  <si>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</si>
  <si>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</si>
  <si>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</si>
  <si>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</si>
  <si>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</si>
  <si>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</si>
  <si>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</si>
  <si>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</si>
  <si>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</si>
  <si>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</si>
  <si>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</si>
  <si>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</si>
  <si>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</si>
  <si>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</si>
  <si>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</si>
  <si>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</si>
  <si>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</si>
  <si>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</si>
  <si>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</si>
  <si>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</si>
  <si>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</si>
  <si>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</si>
  <si>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</si>
  <si>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</si>
  <si>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</si>
  <si>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</si>
  <si>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</si>
  <si>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</si>
  <si>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</si>
  <si>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</si>
  <si>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</si>
  <si>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</si>
  <si>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</si>
  <si>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</si>
  <si>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</si>
  <si>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</si>
  <si>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</si>
  <si>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</si>
  <si>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</si>
  <si>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</si>
  <si>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</si>
  <si>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</si>
  <si>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</si>
  <si>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</si>
  <si>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</si>
  <si>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</si>
  <si>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</si>
  <si>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</si>
  <si>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</si>
  <si>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</si>
  <si>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</si>
  <si>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</si>
  <si>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</si>
  <si>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</si>
  <si>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</si>
  <si>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</si>
  <si>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</si>
  <si>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</si>
  <si>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</si>
  <si>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</si>
  <si>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</si>
  <si>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</si>
  <si>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</si>
  <si>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</si>
  <si>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</si>
  <si>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</si>
  <si>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</si>
  <si>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</si>
  <si>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</si>
  <si>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</si>
  <si>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</si>
  <si>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</si>
  <si>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</si>
  <si>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</si>
  <si>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</si>
  <si>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</si>
  <si>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</si>
  <si>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</si>
  <si>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</si>
  <si>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</si>
  <si>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</si>
  <si>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</si>
  <si>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</si>
  <si>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</si>
  <si>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</si>
  <si>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</si>
  <si>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</si>
  <si>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</si>
  <si>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</si>
  <si>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</si>
  <si>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</si>
  <si>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</si>
  <si>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</si>
  <si>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</si>
  <si>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</si>
  <si>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</si>
  <si>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</si>
  <si>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</si>
  <si>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</si>
  <si>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</si>
  <si>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</si>
  <si>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</si>
  <si>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</si>
  <si>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</si>
  <si>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</si>
  <si>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</si>
  <si>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</si>
  <si>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</si>
  <si>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</si>
  <si>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</si>
  <si>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</si>
  <si>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</si>
  <si>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</si>
  <si>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</si>
  <si>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</si>
  <si>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</si>
  <si>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</si>
  <si>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</si>
  <si>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</si>
  <si>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</si>
  <si>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</si>
  <si>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</si>
  <si>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</si>
  <si>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</si>
  <si>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</si>
  <si>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</si>
  <si>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</si>
  <si>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</si>
  <si>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</si>
  <si>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</si>
  <si>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</si>
  <si>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</si>
  <si>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</si>
  <si>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</si>
  <si>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</si>
  <si>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</si>
  <si>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</si>
  <si>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</si>
  <si>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</si>
  <si>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</si>
  <si>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</si>
  <si>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</si>
  <si>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</si>
  <si>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</si>
  <si>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</si>
  <si>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</si>
  <si>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</si>
  <si>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</si>
  <si>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</si>
  <si>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</si>
  <si>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</si>
  <si>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</si>
  <si>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</si>
  <si>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</si>
  <si>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</si>
  <si>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</si>
  <si>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</si>
  <si>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</si>
  <si>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</si>
  <si>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</si>
  <si>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</si>
  <si>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</si>
  <si>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</si>
  <si>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</si>
  <si>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</si>
  <si>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</si>
  <si>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</si>
  <si>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</si>
  <si>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</si>
  <si>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</si>
  <si>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</si>
  <si>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</si>
  <si>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</si>
  <si>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</si>
  <si>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</si>
  <si>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</si>
  <si>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</si>
  <si>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</si>
  <si>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</si>
  <si>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</si>
  <si>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</si>
  <si>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</si>
  <si>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</si>
  <si>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</si>
  <si>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</si>
  <si>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</si>
  <si>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</si>
  <si>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</si>
  <si>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</si>
  <si>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</si>
  <si>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</si>
  <si>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</si>
  <si>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</si>
  <si>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</si>
  <si>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</si>
  <si>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</si>
  <si>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</si>
  <si>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</si>
  <si>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</si>
  <si>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</si>
  <si>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</si>
  <si>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</si>
  <si>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</si>
  <si>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</si>
  <si>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</si>
  <si>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</si>
  <si>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</si>
  <si>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</si>
  <si>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</si>
  <si>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</si>
  <si>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</si>
  <si>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</si>
  <si>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</si>
  <si>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</si>
  <si>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</si>
  <si>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</si>
  <si>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</si>
  <si>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</si>
  <si>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</si>
  <si>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</si>
  <si>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</si>
  <si>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</si>
  <si>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</si>
  <si>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</si>
  <si>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</si>
  <si>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</si>
  <si>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</si>
  <si>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</si>
  <si>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</si>
  <si>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</si>
  <si>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</si>
  <si>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</si>
  <si>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</si>
  <si>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</si>
  <si>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</si>
  <si>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</si>
  <si>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</si>
  <si>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</si>
  <si>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</si>
  <si>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</si>
  <si>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</si>
  <si>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</si>
  <si>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</si>
  <si>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</si>
  <si>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</si>
  <si>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</si>
  <si>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</si>
  <si>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</si>
  <si>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</si>
  <si>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</si>
  <si>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</si>
  <si>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</si>
  <si>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</si>
  <si>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</si>
  <si>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</si>
  <si>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</si>
  <si>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</si>
  <si>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</si>
  <si>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</si>
  <si>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</si>
  <si>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</si>
  <si>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</si>
  <si>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</si>
  <si>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</si>
  <si>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</si>
  <si>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</si>
  <si>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</si>
  <si>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</si>
  <si>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</si>
  <si>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</si>
  <si>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</si>
  <si>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</si>
  <si>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</si>
  <si>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</si>
  <si>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</si>
  <si>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</si>
  <si>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</si>
  <si>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</si>
  <si>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</si>
  <si>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</si>
  <si>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</si>
  <si>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</si>
  <si>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</si>
  <si>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</si>
  <si>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</si>
  <si>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</si>
  <si>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</si>
  <si>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</si>
  <si>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</si>
  <si>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</si>
  <si>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</si>
  <si>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</si>
  <si>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</si>
  <si>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</si>
  <si>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</si>
  <si>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</si>
  <si>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</si>
  <si>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</si>
  <si>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</si>
  <si>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</si>
  <si>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</si>
  <si>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</si>
  <si>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</si>
  <si>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</si>
  <si>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</si>
  <si>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</si>
  <si>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</si>
  <si>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</si>
  <si>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</si>
  <si>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</si>
  <si>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</si>
  <si>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</si>
  <si>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</si>
  <si>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</si>
  <si>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</si>
  <si>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</si>
  <si>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</si>
  <si>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</si>
  <si>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</si>
  <si>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</si>
  <si>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</si>
  <si>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</si>
  <si>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</si>
  <si>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</si>
  <si>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</si>
  <si>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</si>
  <si>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</si>
  <si>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</si>
  <si>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</si>
  <si>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</si>
  <si>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</si>
  <si>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</si>
  <si>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</si>
  <si>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</si>
  <si>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</si>
  <si>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</si>
  <si>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</si>
  <si>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</si>
  <si>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</si>
  <si>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</si>
  <si>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</si>
  <si>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</si>
  <si>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</si>
  <si>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</si>
  <si>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</si>
  <si>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</si>
  <si>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</si>
  <si>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</si>
  <si>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</si>
  <si>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</si>
  <si>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</si>
  <si>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</si>
  <si>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</si>
  <si>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</si>
  <si>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</si>
  <si>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</si>
  <si>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</si>
  <si>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</si>
  <si>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</si>
  <si>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</si>
  <si>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</si>
  <si>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</si>
  <si>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</si>
  <si>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</si>
  <si>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</si>
  <si>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</si>
  <si>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</si>
  <si>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</si>
  <si>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</si>
  <si>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</si>
  <si>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</si>
  <si>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</si>
  <si>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</si>
  <si>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</si>
  <si>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</si>
  <si>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</si>
  <si>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</si>
  <si>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</si>
  <si>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</si>
  <si>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</si>
  <si>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</si>
  <si>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</si>
  <si>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</si>
  <si>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</si>
  <si>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</si>
  <si>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</si>
  <si>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</si>
  <si>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</si>
  <si>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</si>
  <si>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</si>
  <si>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</si>
  <si>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</si>
  <si>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</si>
  <si>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</si>
  <si>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</si>
  <si>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</si>
  <si>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</si>
  <si>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</si>
  <si>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</si>
  <si>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</si>
  <si>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</si>
  <si>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</si>
  <si>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</si>
  <si>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</si>
  <si>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</si>
  <si>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</si>
  <si>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Hampstead School District</t>
  </si>
  <si>
    <t>No indirect cost rate needed.</t>
  </si>
  <si>
    <t>Audit Adjustments prior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</si>
</sst>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52"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223</v>
      </c>
      <c r="C2" s="21">
        <v>223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2545970.14+525</f>
        <v>2546495.14</v>
      </c>
      <c r="G9" s="18">
        <v>54329.85</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362330.08</v>
      </c>
      <c r="G12" s="18"/>
      <c r="H12" s="18">
        <v>116830</v>
      </c>
      <c r="I12" s="18"/>
      <c r="J12" s="67">
        <f>SUM(I442)</f>
        <v>125000</v>
      </c>
      <c r="K12" s="24" t="s">
        <v>288</v>
      </c>
      <c r="L12" s="24" t="s">
        <v>288</v>
      </c>
      <c r="M12" s="8"/>
      <c r="N12" s="266"/>
    </row>
    <row r="13" spans="1:14" s="3" customFormat="1" ht="12.2" customHeight="1" x14ac:dyDescent="0.15">
      <c r="A13" s="1" t="s">
        <v>604</v>
      </c>
      <c r="B13" s="2" t="s">
        <v>289</v>
      </c>
      <c r="C13" s="6">
        <v>5</v>
      </c>
      <c r="D13" s="2" t="s">
        <v>428</v>
      </c>
      <c r="E13" s="6">
        <v>140</v>
      </c>
      <c r="F13" s="18">
        <v>20583.45</v>
      </c>
      <c r="G13" s="18"/>
      <c r="H13" s="18">
        <v>90659.56</v>
      </c>
      <c r="I13" s="18"/>
      <c r="J13" s="67">
        <f>SUM(I443)</f>
        <v>840744.89</v>
      </c>
      <c r="K13" s="24" t="s">
        <v>288</v>
      </c>
      <c r="L13" s="24" t="s">
        <v>288</v>
      </c>
      <c r="M13" s="8"/>
      <c r="N13" s="266"/>
    </row>
    <row r="14" spans="1:14" s="3" customFormat="1" ht="12.2" customHeight="1" x14ac:dyDescent="0.15">
      <c r="A14" s="1" t="s">
        <v>565</v>
      </c>
      <c r="B14" s="2" t="s">
        <v>289</v>
      </c>
      <c r="C14" s="6">
        <v>6</v>
      </c>
      <c r="D14" s="2" t="s">
        <v>428</v>
      </c>
      <c r="E14" s="6">
        <v>150</v>
      </c>
      <c r="F14" s="18">
        <f>2269.57+0.00752575416117907</f>
        <v>2269.5775257541613</v>
      </c>
      <c r="G14" s="18">
        <v>34966.6</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18551.73</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2931678.2475257544</v>
      </c>
      <c r="G19" s="41">
        <f>SUM(G9:G18)</f>
        <v>107848.18</v>
      </c>
      <c r="H19" s="41">
        <f>SUM(H9:H18)</f>
        <v>207489.56</v>
      </c>
      <c r="I19" s="41">
        <f>SUM(I9:I18)</f>
        <v>0</v>
      </c>
      <c r="J19" s="41">
        <f>SUM(J9:J18)</f>
        <v>965744.89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84808.31+125000</f>
        <v>209808.31</v>
      </c>
      <c r="G22" s="18">
        <v>82075.210000000006</v>
      </c>
      <c r="H22" s="18">
        <v>195446.56</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f>362061-125000</f>
        <v>237061</v>
      </c>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59504.06</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52624.68</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17159.669999999998</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v>12043</v>
      </c>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558998.05000000005</v>
      </c>
      <c r="G32" s="41">
        <f>SUM(G22:G31)</f>
        <v>99234.880000000005</v>
      </c>
      <c r="H32" s="41">
        <f>SUM(H22:H31)</f>
        <v>207489.56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73673.84</v>
      </c>
      <c r="G35" s="18">
        <v>8613.2999999999993</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400000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513708</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965744.89</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1385298.35+0.00752575416117907</f>
        <v>1385298.3575257543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2372680.1975257541</v>
      </c>
      <c r="G51" s="41">
        <f>SUM(G35:G50)</f>
        <v>8613.2999999999993</v>
      </c>
      <c r="H51" s="41">
        <f>SUM(H35:H50)</f>
        <v>0</v>
      </c>
      <c r="I51" s="41">
        <f>SUM(I35:I50)</f>
        <v>0</v>
      </c>
      <c r="J51" s="41">
        <f>SUM(J35:J50)</f>
        <v>965744.89</v>
      </c>
      <c r="K51" s="45" t="s">
        <v>288</v>
      </c>
      <c r="L51" s="45" t="s">
        <v>288</v>
      </c>
      <c r="N51" s="264"/>
    </row>
    <row r="52" spans="1:14" s="3" customFormat="1" ht="12.2" customHeight="1" thickTop="1" x14ac:dyDescent="0.15">
      <c r="A52" s="38" t="s">
        <v>455</v>
      </c>
      <c r="B52" s="39" t="s">
        <v>289</v>
      </c>
      <c r="C52" s="6">
        <v>37</v>
      </c>
      <c r="D52" s="39" t="s">
        <v>653</v>
      </c>
      <c r="E52" s="39"/>
      <c r="F52" s="41">
        <f>F51+F32</f>
        <v>2931678.2475257544</v>
      </c>
      <c r="G52" s="41">
        <f>G51+G32</f>
        <v>107848.18000000001</v>
      </c>
      <c r="H52" s="41">
        <f>H51+H32</f>
        <v>207489.56</v>
      </c>
      <c r="I52" s="41">
        <f>I51+I32</f>
        <v>0</v>
      </c>
      <c r="J52" s="41">
        <f>J51+J32</f>
        <v>965744.89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20548343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20548343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120461.22+30049.78</f>
        <v>150511</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150511</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11770.22</v>
      </c>
      <c r="G96" s="18"/>
      <c r="H96" s="18"/>
      <c r="I96" s="18"/>
      <c r="J96" s="18">
        <v>10023.11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165886.49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1161.6600000000001</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1614.67</v>
      </c>
      <c r="G110" s="18"/>
      <c r="H110" s="18">
        <v>24987</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14546.55</v>
      </c>
      <c r="G111" s="41">
        <f>SUM(G96:G110)</f>
        <v>165886.49</v>
      </c>
      <c r="H111" s="41">
        <f>SUM(H96:H110)</f>
        <v>24987</v>
      </c>
      <c r="I111" s="41">
        <f>SUM(I96:I110)</f>
        <v>0</v>
      </c>
      <c r="J111" s="41">
        <f>SUM(J96:J110)</f>
        <v>10023.11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20713400.550000001</v>
      </c>
      <c r="G112" s="41">
        <f>G60+G111</f>
        <v>165886.49</v>
      </c>
      <c r="H112" s="41">
        <f>H60+H79+H94+H111</f>
        <v>24987</v>
      </c>
      <c r="I112" s="41">
        <f>I60+I111</f>
        <v>0</v>
      </c>
      <c r="J112" s="41">
        <f>J60+J111</f>
        <v>10023.11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2784621.3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2554979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5339600.3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427351.41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3903.32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427351.41</v>
      </c>
      <c r="G136" s="41">
        <f>SUM(G123:G135)</f>
        <v>3903.32</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5766951.71</v>
      </c>
      <c r="G140" s="41">
        <f>G121+SUM(G136:G137)</f>
        <v>3903.32</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v>2067.6</v>
      </c>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2067.6</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52380.57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36878.550000000003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30513.5+14883.88</f>
        <v>45397.38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272453.52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28850.55</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28850.55</v>
      </c>
      <c r="G163" s="41">
        <f>SUM(G150:G162)</f>
        <v>45397.38</v>
      </c>
      <c r="H163" s="41">
        <f>SUM(H150:H162)</f>
        <v>361712.64000000001</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30918.149999999998</v>
      </c>
      <c r="G170" s="41">
        <f>G147+G163+SUM(G164:G169)</f>
        <v>45397.38</v>
      </c>
      <c r="H170" s="41">
        <f>H147+H163+SUM(H164:H169)</f>
        <v>361712.64000000001</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38591.56</v>
      </c>
      <c r="H180" s="18"/>
      <c r="I180" s="18"/>
      <c r="J180" s="18">
        <v>125000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38591.56</v>
      </c>
      <c r="H184" s="41">
        <f>SUM(H180:H183)</f>
        <v>0</v>
      </c>
      <c r="I184" s="41">
        <f>SUM(I180:I183)</f>
        <v>0</v>
      </c>
      <c r="J184" s="41">
        <f>SUM(J180:J183)</f>
        <v>125000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38591.56</v>
      </c>
      <c r="H193" s="41">
        <f>+H184+SUM(H189:H192)</f>
        <v>0</v>
      </c>
      <c r="I193" s="41">
        <f>I178+I184+SUM(I189:I192)</f>
        <v>0</v>
      </c>
      <c r="J193" s="41">
        <f>J184</f>
        <v>125000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26511270.41</v>
      </c>
      <c r="G194" s="47">
        <f>G112+G140+G170+G193</f>
        <v>253778.75</v>
      </c>
      <c r="H194" s="47">
        <f>H112+H140+H170+H193</f>
        <v>386699.64</v>
      </c>
      <c r="I194" s="47">
        <f>I112+I140+I170+I193</f>
        <v>0</v>
      </c>
      <c r="J194" s="47">
        <f>J112+J140+J193</f>
        <v>135023.10999999999</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2555236.1937428457</v>
      </c>
      <c r="G198" s="18">
        <v>1405599.48</v>
      </c>
      <c r="H198" s="18">
        <v>13658.404202502139</v>
      </c>
      <c r="I198" s="18">
        <v>108320.29532840262</v>
      </c>
      <c r="J198" s="18">
        <v>71099.461645537856</v>
      </c>
      <c r="K198" s="18">
        <v>2119.5575086327408</v>
      </c>
      <c r="L198" s="19">
        <f>SUM(F198:K198)</f>
        <v>4156033.3924279208</v>
      </c>
      <c r="M198" s="8"/>
      <c r="N198" s="266"/>
    </row>
    <row r="199" spans="1:14" s="3" customFormat="1" ht="12.2" customHeight="1" x14ac:dyDescent="0.15">
      <c r="A199" s="1" t="s">
        <v>439</v>
      </c>
      <c r="B199" s="2" t="s">
        <v>341</v>
      </c>
      <c r="C199" s="2" t="s">
        <v>291</v>
      </c>
      <c r="D199" s="2" t="s">
        <v>431</v>
      </c>
      <c r="E199" s="6">
        <v>1200</v>
      </c>
      <c r="F199" s="18">
        <v>1180596.6667550453</v>
      </c>
      <c r="G199" s="18">
        <v>649429.62</v>
      </c>
      <c r="H199" s="18">
        <v>355663.63280716451</v>
      </c>
      <c r="I199" s="18">
        <v>5320.9450142783744</v>
      </c>
      <c r="J199" s="18">
        <v>472.80825218357569</v>
      </c>
      <c r="K199" s="18">
        <v>1004.6690297874374</v>
      </c>
      <c r="L199" s="19">
        <f>SUM(F199:K199)</f>
        <v>2192488.3418584596</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381707.66204521281</v>
      </c>
      <c r="G203" s="18">
        <v>209972.01</v>
      </c>
      <c r="H203" s="18">
        <v>3784.9045846128115</v>
      </c>
      <c r="I203" s="18">
        <v>5459.5044908176314</v>
      </c>
      <c r="J203" s="18">
        <v>0</v>
      </c>
      <c r="K203" s="18">
        <v>0</v>
      </c>
      <c r="L203" s="19">
        <f t="shared" ref="L203:L209" si="0">SUM(F203:K203)</f>
        <v>600924.0811206433</v>
      </c>
      <c r="M203" s="8"/>
      <c r="N203" s="266"/>
    </row>
    <row r="204" spans="1:14" s="3" customFormat="1" ht="12.2" customHeight="1" x14ac:dyDescent="0.15">
      <c r="A204" s="1" t="s">
        <v>443</v>
      </c>
      <c r="B204" s="2" t="s">
        <v>341</v>
      </c>
      <c r="C204" s="2" t="s">
        <v>295</v>
      </c>
      <c r="D204" s="2" t="s">
        <v>431</v>
      </c>
      <c r="E204" s="6">
        <v>2200</v>
      </c>
      <c r="F204" s="18">
        <v>77853.343987430257</v>
      </c>
      <c r="G204" s="18">
        <v>62754.314427371464</v>
      </c>
      <c r="H204" s="18">
        <v>18514.93619992114</v>
      </c>
      <c r="I204" s="18">
        <v>16341.372065883646</v>
      </c>
      <c r="J204" s="18">
        <v>321.08971431302501</v>
      </c>
      <c r="K204" s="18">
        <v>0</v>
      </c>
      <c r="L204" s="19">
        <f t="shared" si="0"/>
        <v>175785.05639491955</v>
      </c>
      <c r="M204" s="8"/>
      <c r="N204" s="266"/>
    </row>
    <row r="205" spans="1:14" s="3" customFormat="1" ht="12.2" customHeight="1" x14ac:dyDescent="0.15">
      <c r="A205" s="1" t="s">
        <v>444</v>
      </c>
      <c r="B205" s="2" t="s">
        <v>341</v>
      </c>
      <c r="C205" s="2" t="s">
        <v>296</v>
      </c>
      <c r="D205" s="2" t="s">
        <v>431</v>
      </c>
      <c r="E205" s="6">
        <v>2300</v>
      </c>
      <c r="F205" s="18">
        <v>2923.6555028497005</v>
      </c>
      <c r="G205" s="18">
        <v>1608.26</v>
      </c>
      <c r="H205" s="18">
        <v>221046.05387674796</v>
      </c>
      <c r="I205" s="18">
        <v>212.62949111634185</v>
      </c>
      <c r="J205" s="18">
        <v>0</v>
      </c>
      <c r="K205" s="18">
        <v>9647.1275896431016</v>
      </c>
      <c r="L205" s="19">
        <f t="shared" si="0"/>
        <v>235437.72646035708</v>
      </c>
      <c r="M205" s="8"/>
      <c r="N205" s="266"/>
    </row>
    <row r="206" spans="1:14" s="3" customFormat="1" ht="12.2" customHeight="1" x14ac:dyDescent="0.15">
      <c r="A206" s="1" t="s">
        <v>445</v>
      </c>
      <c r="B206" s="2" t="s">
        <v>341</v>
      </c>
      <c r="C206" s="2" t="s">
        <v>297</v>
      </c>
      <c r="D206" s="2" t="s">
        <v>431</v>
      </c>
      <c r="E206" s="6">
        <v>2400</v>
      </c>
      <c r="F206" s="18">
        <v>323276.1672734876</v>
      </c>
      <c r="G206" s="18">
        <v>177829.67</v>
      </c>
      <c r="H206" s="18">
        <v>23187.209935478473</v>
      </c>
      <c r="I206" s="18">
        <v>3985.79</v>
      </c>
      <c r="J206" s="18">
        <v>3809.1</v>
      </c>
      <c r="K206" s="18">
        <v>2742</v>
      </c>
      <c r="L206" s="19">
        <f t="shared" si="0"/>
        <v>534829.93720896612</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v>337799.0007976772</v>
      </c>
      <c r="G208" s="18">
        <v>186550.9885968958</v>
      </c>
      <c r="H208" s="18">
        <v>125195.91479359084</v>
      </c>
      <c r="I208" s="18">
        <v>167711.44201343003</v>
      </c>
      <c r="J208" s="18">
        <v>7120.9722889608447</v>
      </c>
      <c r="K208" s="18">
        <v>6794.130490483074</v>
      </c>
      <c r="L208" s="19">
        <f t="shared" si="0"/>
        <v>831172.44898103771</v>
      </c>
      <c r="M208" s="8"/>
      <c r="N208" s="266"/>
    </row>
    <row r="209" spans="1:14" s="3" customFormat="1" ht="12.2" customHeight="1" x14ac:dyDescent="0.15">
      <c r="A209" s="1" t="s">
        <v>448</v>
      </c>
      <c r="B209" s="2" t="s">
        <v>341</v>
      </c>
      <c r="C209" s="2" t="s">
        <v>300</v>
      </c>
      <c r="D209" s="2" t="s">
        <v>431</v>
      </c>
      <c r="E209" s="6">
        <v>2700</v>
      </c>
      <c r="F209" s="18">
        <v>0</v>
      </c>
      <c r="G209" s="18">
        <v>0</v>
      </c>
      <c r="H209" s="18">
        <v>294480.21999999997</v>
      </c>
      <c r="I209" s="18">
        <v>0</v>
      </c>
      <c r="J209" s="18">
        <v>0</v>
      </c>
      <c r="K209" s="18">
        <v>0</v>
      </c>
      <c r="L209" s="19">
        <f t="shared" si="0"/>
        <v>294480.21999999997</v>
      </c>
      <c r="M209" s="8"/>
      <c r="N209" s="266"/>
    </row>
    <row r="210" spans="1:14" s="3" customFormat="1" ht="12.2" customHeight="1" x14ac:dyDescent="0.15">
      <c r="A210" s="1" t="s">
        <v>449</v>
      </c>
      <c r="B210" s="2" t="s">
        <v>341</v>
      </c>
      <c r="C210" s="2" t="s">
        <v>343</v>
      </c>
      <c r="D210" s="2" t="s">
        <v>431</v>
      </c>
      <c r="E210" s="6">
        <v>2800</v>
      </c>
      <c r="F210" s="18">
        <v>0</v>
      </c>
      <c r="G210" s="18">
        <v>0</v>
      </c>
      <c r="H210" s="18">
        <v>0</v>
      </c>
      <c r="I210" s="18">
        <v>9460.6834203577364</v>
      </c>
      <c r="J210" s="18">
        <v>0</v>
      </c>
      <c r="K210" s="18">
        <v>0</v>
      </c>
      <c r="L210" s="19">
        <f>SUM(F210:K210)</f>
        <v>9460.6834203577364</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4859392.6901045479</v>
      </c>
      <c r="G212" s="41">
        <f t="shared" si="1"/>
        <v>2693744.3430242673</v>
      </c>
      <c r="H212" s="41">
        <f t="shared" si="1"/>
        <v>1055531.276400018</v>
      </c>
      <c r="I212" s="41">
        <f t="shared" si="1"/>
        <v>316812.66182428639</v>
      </c>
      <c r="J212" s="41">
        <f t="shared" si="1"/>
        <v>82823.431900995303</v>
      </c>
      <c r="K212" s="41">
        <f t="shared" si="1"/>
        <v>22307.484618546354</v>
      </c>
      <c r="L212" s="41">
        <f t="shared" si="1"/>
        <v>9030611.8878726643</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2184482.2462571543</v>
      </c>
      <c r="G216" s="18">
        <v>1201652.95</v>
      </c>
      <c r="H216" s="18">
        <v>18494.87579749812</v>
      </c>
      <c r="I216" s="18">
        <v>85230.424671597386</v>
      </c>
      <c r="J216" s="18">
        <v>72320.228354462146</v>
      </c>
      <c r="K216" s="18">
        <v>7206.1224913672595</v>
      </c>
      <c r="L216" s="19">
        <f>SUM(F216:K216)</f>
        <v>3569386.8475720789</v>
      </c>
      <c r="M216" s="8"/>
      <c r="N216" s="266"/>
    </row>
    <row r="217" spans="1:14" s="3" customFormat="1" ht="12.2" customHeight="1" x14ac:dyDescent="0.15">
      <c r="A217" s="1" t="s">
        <v>439</v>
      </c>
      <c r="B217" s="2" t="s">
        <v>346</v>
      </c>
      <c r="C217" s="2" t="s">
        <v>291</v>
      </c>
      <c r="D217" s="2" t="s">
        <v>431</v>
      </c>
      <c r="E217" s="6">
        <v>1200</v>
      </c>
      <c r="F217" s="18">
        <v>938073.80324495479</v>
      </c>
      <c r="G217" s="18">
        <v>516021.2</v>
      </c>
      <c r="H217" s="18">
        <v>313413.13719283597</v>
      </c>
      <c r="I217" s="18">
        <v>3991.6549857216255</v>
      </c>
      <c r="J217" s="18">
        <v>416.64174781642436</v>
      </c>
      <c r="K217" s="18">
        <v>885.32097021256266</v>
      </c>
      <c r="L217" s="19">
        <f>SUM(F217:K217)</f>
        <v>1772801.7581415416</v>
      </c>
      <c r="M217" s="8"/>
      <c r="N217" s="266"/>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6"/>
    </row>
    <row r="219" spans="1:14" s="3" customFormat="1" ht="12.2" customHeight="1" x14ac:dyDescent="0.15">
      <c r="A219" s="1" t="s">
        <v>441</v>
      </c>
      <c r="B219" s="2" t="s">
        <v>346</v>
      </c>
      <c r="C219" s="2" t="s">
        <v>293</v>
      </c>
      <c r="D219" s="2" t="s">
        <v>431</v>
      </c>
      <c r="E219" s="6">
        <v>1400</v>
      </c>
      <c r="F219" s="18">
        <v>46824.43</v>
      </c>
      <c r="G219" s="18">
        <v>25757.46</v>
      </c>
      <c r="H219" s="18">
        <v>8000</v>
      </c>
      <c r="I219" s="18">
        <v>5441.32</v>
      </c>
      <c r="J219" s="18">
        <v>282.94</v>
      </c>
      <c r="K219" s="18">
        <v>4809</v>
      </c>
      <c r="L219" s="19">
        <f>SUM(F219:K219)</f>
        <v>91115.15</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418738.51795478718</v>
      </c>
      <c r="G221" s="18">
        <v>230342.17</v>
      </c>
      <c r="H221" s="18">
        <v>5623.8954153871891</v>
      </c>
      <c r="I221" s="18">
        <v>2890.455509182369</v>
      </c>
      <c r="J221" s="18">
        <v>0</v>
      </c>
      <c r="K221" s="18">
        <v>0</v>
      </c>
      <c r="L221" s="19">
        <f t="shared" ref="L221:L227" si="2">SUM(F221:K221)</f>
        <v>657595.03887935681</v>
      </c>
      <c r="M221" s="8"/>
      <c r="N221" s="266"/>
    </row>
    <row r="222" spans="1:14" s="3" customFormat="1" ht="12.2" customHeight="1" x14ac:dyDescent="0.15">
      <c r="A222" s="1" t="s">
        <v>443</v>
      </c>
      <c r="B222" s="2" t="s">
        <v>346</v>
      </c>
      <c r="C222" s="2" t="s">
        <v>295</v>
      </c>
      <c r="D222" s="2" t="s">
        <v>431</v>
      </c>
      <c r="E222" s="6">
        <v>2200</v>
      </c>
      <c r="F222" s="18">
        <v>108008.85601256975</v>
      </c>
      <c r="G222" s="18">
        <v>76975.085572628537</v>
      </c>
      <c r="H222" s="18">
        <v>16315.483800078859</v>
      </c>
      <c r="I222" s="18">
        <v>13097.577934116352</v>
      </c>
      <c r="J222" s="18">
        <v>209.85028568697501</v>
      </c>
      <c r="K222" s="18">
        <v>0</v>
      </c>
      <c r="L222" s="19">
        <f t="shared" si="2"/>
        <v>214606.85360508048</v>
      </c>
      <c r="M222" s="8"/>
      <c r="N222" s="266"/>
    </row>
    <row r="223" spans="1:14" s="3" customFormat="1" ht="12.2" customHeight="1" x14ac:dyDescent="0.15">
      <c r="A223" s="1" t="s">
        <v>444</v>
      </c>
      <c r="B223" s="2" t="s">
        <v>346</v>
      </c>
      <c r="C223" s="2" t="s">
        <v>296</v>
      </c>
      <c r="D223" s="2" t="s">
        <v>431</v>
      </c>
      <c r="E223" s="6">
        <v>2300</v>
      </c>
      <c r="F223" s="18">
        <v>2576.3444971502995</v>
      </c>
      <c r="G223" s="18">
        <v>1417.21</v>
      </c>
      <c r="H223" s="18">
        <v>194787.23945658538</v>
      </c>
      <c r="I223" s="18">
        <v>187.37050888365815</v>
      </c>
      <c r="J223" s="18">
        <v>0</v>
      </c>
      <c r="K223" s="18">
        <v>8501.1124103569</v>
      </c>
      <c r="L223" s="19">
        <f t="shared" si="2"/>
        <v>207469.27687297625</v>
      </c>
      <c r="M223" s="8"/>
      <c r="N223" s="266"/>
    </row>
    <row r="224" spans="1:14" s="3" customFormat="1" ht="12.2" customHeight="1" x14ac:dyDescent="0.15">
      <c r="A224" s="1" t="s">
        <v>445</v>
      </c>
      <c r="B224" s="2" t="s">
        <v>346</v>
      </c>
      <c r="C224" s="2" t="s">
        <v>297</v>
      </c>
      <c r="D224" s="2" t="s">
        <v>431</v>
      </c>
      <c r="E224" s="6">
        <v>2400</v>
      </c>
      <c r="F224" s="18">
        <v>327585.95272651239</v>
      </c>
      <c r="G224" s="18">
        <v>180200.42</v>
      </c>
      <c r="H224" s="18">
        <v>8196.1900645215246</v>
      </c>
      <c r="I224" s="18">
        <v>4993.75</v>
      </c>
      <c r="J224" s="18">
        <v>11288.5</v>
      </c>
      <c r="K224" s="18">
        <v>3097.78</v>
      </c>
      <c r="L224" s="19">
        <f t="shared" si="2"/>
        <v>535362.59279103391</v>
      </c>
      <c r="M224" s="8"/>
      <c r="N224" s="266"/>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6"/>
    </row>
    <row r="226" spans="1:14" s="3" customFormat="1" ht="12.2" customHeight="1" x14ac:dyDescent="0.15">
      <c r="A226" s="1" t="s">
        <v>447</v>
      </c>
      <c r="B226" s="2" t="s">
        <v>346</v>
      </c>
      <c r="C226" s="2" t="s">
        <v>299</v>
      </c>
      <c r="D226" s="2" t="s">
        <v>431</v>
      </c>
      <c r="E226" s="6">
        <v>2600</v>
      </c>
      <c r="F226" s="18">
        <v>307238.16920232278</v>
      </c>
      <c r="G226" s="18">
        <v>169652.88140310423</v>
      </c>
      <c r="H226" s="18">
        <v>110323.46520640914</v>
      </c>
      <c r="I226" s="18">
        <v>147788.42798656996</v>
      </c>
      <c r="J226" s="18">
        <v>6275.0477110391557</v>
      </c>
      <c r="K226" s="18">
        <v>5370.8495095169255</v>
      </c>
      <c r="L226" s="19">
        <f t="shared" si="2"/>
        <v>746648.84101896221</v>
      </c>
      <c r="M226" s="8"/>
      <c r="N226" s="266"/>
    </row>
    <row r="227" spans="1:14" s="3" customFormat="1" ht="12.2" customHeight="1" x14ac:dyDescent="0.15">
      <c r="A227" s="1" t="s">
        <v>448</v>
      </c>
      <c r="B227" s="2" t="s">
        <v>346</v>
      </c>
      <c r="C227" s="2" t="s">
        <v>300</v>
      </c>
      <c r="D227" s="2" t="s">
        <v>431</v>
      </c>
      <c r="E227" s="6">
        <v>2700</v>
      </c>
      <c r="F227" s="18">
        <v>0</v>
      </c>
      <c r="G227" s="18">
        <v>0</v>
      </c>
      <c r="H227" s="18">
        <f>275711.18+0.00747424288420007</f>
        <v>275711.18747424288</v>
      </c>
      <c r="I227" s="18">
        <v>0</v>
      </c>
      <c r="J227" s="18">
        <v>0</v>
      </c>
      <c r="K227" s="18">
        <v>0</v>
      </c>
      <c r="L227" s="19">
        <f t="shared" si="2"/>
        <v>275711.18747424288</v>
      </c>
      <c r="M227" s="8"/>
      <c r="N227" s="266"/>
    </row>
    <row r="228" spans="1:14" s="3" customFormat="1" ht="12.2" customHeight="1" x14ac:dyDescent="0.15">
      <c r="A228" s="1" t="s">
        <v>449</v>
      </c>
      <c r="B228" s="2" t="s">
        <v>346</v>
      </c>
      <c r="C228" s="2" t="s">
        <v>343</v>
      </c>
      <c r="D228" s="2" t="s">
        <v>431</v>
      </c>
      <c r="E228" s="6">
        <v>2800</v>
      </c>
      <c r="F228" s="18">
        <v>0</v>
      </c>
      <c r="G228" s="18">
        <v>0</v>
      </c>
      <c r="H228" s="18">
        <v>0</v>
      </c>
      <c r="I228" s="18">
        <v>8336.8165796422636</v>
      </c>
      <c r="J228" s="18">
        <v>0</v>
      </c>
      <c r="K228" s="18">
        <v>0</v>
      </c>
      <c r="L228" s="19">
        <f>SUM(F228:K228)</f>
        <v>8336.8165796422636</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4333528.3198954519</v>
      </c>
      <c r="G230" s="41">
        <f>SUM(G216:G229)</f>
        <v>2402019.3769757329</v>
      </c>
      <c r="H230" s="41">
        <f>SUM(H216:H229)</f>
        <v>950865.47440755903</v>
      </c>
      <c r="I230" s="41">
        <f>SUM(I216:I229)</f>
        <v>271957.79817571363</v>
      </c>
      <c r="J230" s="41">
        <f>SUM(J216:J229)</f>
        <v>90793.208099004696</v>
      </c>
      <c r="K230" s="41">
        <f t="shared" si="3"/>
        <v>29870.185381453644</v>
      </c>
      <c r="L230" s="41">
        <f t="shared" si="3"/>
        <v>8079034.3629349181</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0</v>
      </c>
      <c r="G234" s="18">
        <v>0</v>
      </c>
      <c r="H234" s="18">
        <v>5507931.46</v>
      </c>
      <c r="I234" s="18">
        <v>0</v>
      </c>
      <c r="J234" s="18">
        <v>0</v>
      </c>
      <c r="K234" s="18">
        <v>0</v>
      </c>
      <c r="L234" s="19">
        <f>SUM(F234:K234)</f>
        <v>5507931.46</v>
      </c>
      <c r="M234" s="8"/>
      <c r="N234" s="266"/>
    </row>
    <row r="235" spans="1:14" s="3" customFormat="1" ht="12.2" customHeight="1" x14ac:dyDescent="0.15">
      <c r="A235" s="1" t="s">
        <v>439</v>
      </c>
      <c r="B235" s="2" t="s">
        <v>350</v>
      </c>
      <c r="C235" s="2" t="s">
        <v>291</v>
      </c>
      <c r="D235" s="2" t="s">
        <v>431</v>
      </c>
      <c r="E235" s="6">
        <v>1200</v>
      </c>
      <c r="F235" s="18">
        <v>95260.75</v>
      </c>
      <c r="G235" s="18">
        <v>86787.85</v>
      </c>
      <c r="H235" s="18">
        <v>1754627.92</v>
      </c>
      <c r="I235" s="18">
        <v>0</v>
      </c>
      <c r="J235" s="18">
        <v>0</v>
      </c>
      <c r="K235" s="18">
        <v>0</v>
      </c>
      <c r="L235" s="19">
        <f>SUM(F235:K235)</f>
        <v>1936676.52</v>
      </c>
      <c r="M235" s="8"/>
      <c r="N235" s="266"/>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6"/>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6"/>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6"/>
    </row>
    <row r="241" spans="1:14" s="3" customFormat="1" ht="12.2" customHeight="1" x14ac:dyDescent="0.15">
      <c r="A241" s="1" t="s">
        <v>444</v>
      </c>
      <c r="B241" s="2" t="s">
        <v>350</v>
      </c>
      <c r="C241" s="2" t="s">
        <v>296</v>
      </c>
      <c r="D241" s="2" t="s">
        <v>431</v>
      </c>
      <c r="E241" s="6">
        <v>2300</v>
      </c>
      <c r="F241" s="18">
        <v>0</v>
      </c>
      <c r="G241" s="18">
        <v>0</v>
      </c>
      <c r="H241" s="18">
        <v>219940.76666666669</v>
      </c>
      <c r="I241" s="18">
        <v>0</v>
      </c>
      <c r="J241" s="18">
        <v>0</v>
      </c>
      <c r="K241" s="18">
        <v>0</v>
      </c>
      <c r="L241" s="19">
        <f t="shared" si="4"/>
        <v>219940.76666666669</v>
      </c>
      <c r="M241" s="8"/>
      <c r="N241" s="266"/>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6"/>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6"/>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6"/>
    </row>
    <row r="245" spans="1:14" s="3" customFormat="1" ht="12.2" customHeight="1" x14ac:dyDescent="0.15">
      <c r="A245" s="1" t="s">
        <v>448</v>
      </c>
      <c r="B245" s="2" t="s">
        <v>350</v>
      </c>
      <c r="C245" s="2" t="s">
        <v>300</v>
      </c>
      <c r="D245" s="2" t="s">
        <v>431</v>
      </c>
      <c r="E245" s="6">
        <v>2700</v>
      </c>
      <c r="F245" s="18">
        <v>0</v>
      </c>
      <c r="G245" s="18">
        <v>0</v>
      </c>
      <c r="H245" s="18">
        <v>297717.90000000002</v>
      </c>
      <c r="I245" s="18">
        <v>0</v>
      </c>
      <c r="J245" s="18">
        <v>0</v>
      </c>
      <c r="K245" s="18">
        <v>0</v>
      </c>
      <c r="L245" s="19">
        <f t="shared" si="4"/>
        <v>297717.90000000002</v>
      </c>
      <c r="M245" s="8"/>
      <c r="N245" s="266"/>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95260.75</v>
      </c>
      <c r="G248" s="41">
        <f t="shared" si="5"/>
        <v>86787.85</v>
      </c>
      <c r="H248" s="41">
        <f t="shared" si="5"/>
        <v>7780218.0466666669</v>
      </c>
      <c r="I248" s="41">
        <f t="shared" si="5"/>
        <v>0</v>
      </c>
      <c r="J248" s="41">
        <f t="shared" si="5"/>
        <v>0</v>
      </c>
      <c r="K248" s="41">
        <f t="shared" si="5"/>
        <v>0</v>
      </c>
      <c r="L248" s="41">
        <f t="shared" si="5"/>
        <v>7962266.6466666674</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v>8315.36</v>
      </c>
      <c r="G254" s="18">
        <v>4574.16</v>
      </c>
      <c r="H254" s="18"/>
      <c r="I254" s="18"/>
      <c r="J254" s="18"/>
      <c r="K254" s="18"/>
      <c r="L254" s="19">
        <f t="shared" si="6"/>
        <v>12889.52</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162402.97</v>
      </c>
      <c r="I256" s="18"/>
      <c r="J256" s="18"/>
      <c r="K256" s="18"/>
      <c r="L256" s="19">
        <f t="shared" si="6"/>
        <v>162402.97</v>
      </c>
      <c r="M256" s="8"/>
      <c r="N256" s="266"/>
    </row>
    <row r="257" spans="1:14" s="3" customFormat="1" ht="12.2" customHeight="1" thickTop="1" thickBot="1" x14ac:dyDescent="0.2">
      <c r="A257" s="38" t="s">
        <v>461</v>
      </c>
      <c r="B257" s="40">
        <v>10</v>
      </c>
      <c r="C257" s="40">
        <v>7</v>
      </c>
      <c r="D257" s="39" t="s">
        <v>431</v>
      </c>
      <c r="E257" s="40"/>
      <c r="F257" s="41">
        <f t="shared" ref="F257:K257" si="7">SUM(F251:F256)</f>
        <v>8315.36</v>
      </c>
      <c r="G257" s="41">
        <f t="shared" si="7"/>
        <v>4574.16</v>
      </c>
      <c r="H257" s="41">
        <f t="shared" si="7"/>
        <v>162402.97</v>
      </c>
      <c r="I257" s="41">
        <f t="shared" si="7"/>
        <v>0</v>
      </c>
      <c r="J257" s="41">
        <f t="shared" si="7"/>
        <v>0</v>
      </c>
      <c r="K257" s="41">
        <f t="shared" si="7"/>
        <v>0</v>
      </c>
      <c r="L257" s="41">
        <f>SUM(F257:K257)</f>
        <v>175292.49</v>
      </c>
      <c r="M257" s="8"/>
      <c r="N257" s="266"/>
    </row>
    <row r="258" spans="1:14" s="3" customFormat="1" ht="12.2" customHeight="1" thickTop="1" x14ac:dyDescent="0.15">
      <c r="A258" s="38" t="s">
        <v>462</v>
      </c>
      <c r="B258" s="40">
        <v>10</v>
      </c>
      <c r="C258" s="40">
        <v>8</v>
      </c>
      <c r="D258" s="39" t="s">
        <v>431</v>
      </c>
      <c r="E258" s="40"/>
      <c r="F258" s="41">
        <f t="shared" ref="F258:L258" si="8">F212+F230+F248+F257</f>
        <v>9296497.1199999992</v>
      </c>
      <c r="G258" s="41">
        <f t="shared" si="8"/>
        <v>5187125.7300000004</v>
      </c>
      <c r="H258" s="41">
        <f t="shared" si="8"/>
        <v>9949017.7674742453</v>
      </c>
      <c r="I258" s="41">
        <f t="shared" si="8"/>
        <v>588770.46</v>
      </c>
      <c r="J258" s="41">
        <f t="shared" si="8"/>
        <v>173616.64000000001</v>
      </c>
      <c r="K258" s="41">
        <f t="shared" si="8"/>
        <v>52177.67</v>
      </c>
      <c r="L258" s="41">
        <f t="shared" si="8"/>
        <v>25247205.38747425</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38591.56</v>
      </c>
      <c r="L264" s="19">
        <f>SUM(F264:K264)</f>
        <v>38591.56</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125000</v>
      </c>
      <c r="L267" s="19">
        <f t="shared" si="9"/>
        <v>125000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163591.56</v>
      </c>
      <c r="L271" s="41">
        <f t="shared" si="9"/>
        <v>163591.56</v>
      </c>
      <c r="M271" s="8"/>
      <c r="N271" s="266"/>
    </row>
    <row r="272" spans="1:14" s="34" customFormat="1" ht="12.2" customHeight="1" thickTop="1" x14ac:dyDescent="0.2">
      <c r="A272" s="43" t="s">
        <v>464</v>
      </c>
      <c r="B272" s="40">
        <v>10</v>
      </c>
      <c r="C272" s="40">
        <v>18</v>
      </c>
      <c r="D272" s="39" t="s">
        <v>431</v>
      </c>
      <c r="E272" s="40"/>
      <c r="F272" s="42">
        <f t="shared" ref="F272:L272" si="11">F258+F271</f>
        <v>9296497.1199999992</v>
      </c>
      <c r="G272" s="42">
        <f t="shared" si="11"/>
        <v>5187125.7300000004</v>
      </c>
      <c r="H272" s="42">
        <f t="shared" si="11"/>
        <v>9949017.7674742453</v>
      </c>
      <c r="I272" s="42">
        <f t="shared" si="11"/>
        <v>588770.46</v>
      </c>
      <c r="J272" s="42">
        <f t="shared" si="11"/>
        <v>173616.64000000001</v>
      </c>
      <c r="K272" s="42">
        <f t="shared" si="11"/>
        <v>215769.22999999998</v>
      </c>
      <c r="L272" s="42">
        <f t="shared" si="11"/>
        <v>25410796.947474249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30197.757274562984</v>
      </c>
      <c r="G277" s="18">
        <v>1978.7034656422877</v>
      </c>
      <c r="H277" s="18">
        <v>0</v>
      </c>
      <c r="I277" s="18">
        <v>734.10863381644822</v>
      </c>
      <c r="J277" s="18">
        <v>24867</v>
      </c>
      <c r="K277" s="18">
        <v>0</v>
      </c>
      <c r="L277" s="19">
        <f>SUM(F277:K277)</f>
        <v>57777.569374021718</v>
      </c>
      <c r="M277" s="8"/>
      <c r="N277" s="266"/>
    </row>
    <row r="278" spans="1:14" s="3" customFormat="1" ht="12.2" customHeight="1" x14ac:dyDescent="0.15">
      <c r="A278" s="1" t="s">
        <v>439</v>
      </c>
      <c r="B278" s="2" t="s">
        <v>357</v>
      </c>
      <c r="C278" s="2" t="s">
        <v>291</v>
      </c>
      <c r="D278" s="2" t="s">
        <v>431</v>
      </c>
      <c r="E278" s="6">
        <v>1200</v>
      </c>
      <c r="F278" s="18">
        <v>76757.088103664588</v>
      </c>
      <c r="G278" s="18">
        <v>5822.4493024506228</v>
      </c>
      <c r="H278" s="18">
        <v>424.72740850489288</v>
      </c>
      <c r="I278" s="18">
        <v>3319.3536700799345</v>
      </c>
      <c r="J278" s="18">
        <v>8324.0405811716628</v>
      </c>
      <c r="K278" s="18">
        <v>0</v>
      </c>
      <c r="L278" s="19">
        <f>SUM(F278:K278)</f>
        <v>94647.659065871703</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v>120</v>
      </c>
      <c r="G280" s="18">
        <v>0</v>
      </c>
      <c r="H280" s="18">
        <v>0</v>
      </c>
      <c r="I280" s="18">
        <v>0</v>
      </c>
      <c r="J280" s="18">
        <v>0</v>
      </c>
      <c r="K280" s="18">
        <v>0</v>
      </c>
      <c r="L280" s="19">
        <f>SUM(F280:K280)</f>
        <v>120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0</v>
      </c>
      <c r="G282" s="18">
        <v>0</v>
      </c>
      <c r="H282" s="18">
        <v>48935.502602487657</v>
      </c>
      <c r="I282" s="18">
        <v>105.25159810258923</v>
      </c>
      <c r="J282" s="18">
        <v>0</v>
      </c>
      <c r="K282" s="18">
        <v>0</v>
      </c>
      <c r="L282" s="19">
        <f t="shared" ref="L282:L288" si="12">SUM(F282:K282)</f>
        <v>49040.754200590243</v>
      </c>
      <c r="M282" s="8"/>
      <c r="N282" s="266"/>
    </row>
    <row r="283" spans="1:14" s="3" customFormat="1" ht="12.2" customHeight="1" x14ac:dyDescent="0.15">
      <c r="A283" s="1" t="s">
        <v>443</v>
      </c>
      <c r="B283" s="2" t="s">
        <v>357</v>
      </c>
      <c r="C283" s="2" t="s">
        <v>295</v>
      </c>
      <c r="D283" s="2" t="s">
        <v>431</v>
      </c>
      <c r="E283" s="6">
        <v>2200</v>
      </c>
      <c r="F283" s="18">
        <v>2220.8778245492454</v>
      </c>
      <c r="G283" s="18">
        <v>0</v>
      </c>
      <c r="H283" s="18">
        <v>13457.075968838493</v>
      </c>
      <c r="I283" s="18">
        <v>0</v>
      </c>
      <c r="J283" s="18">
        <v>0</v>
      </c>
      <c r="K283" s="18">
        <v>0</v>
      </c>
      <c r="L283" s="19">
        <f t="shared" si="12"/>
        <v>15677.953793387738</v>
      </c>
      <c r="M283" s="8"/>
      <c r="N283" s="266"/>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6"/>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6"/>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6"/>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6"/>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109295.72320277682</v>
      </c>
      <c r="G291" s="42">
        <f t="shared" si="13"/>
        <v>7801.1527680929103</v>
      </c>
      <c r="H291" s="42">
        <f t="shared" si="13"/>
        <v>62817.305979831042</v>
      </c>
      <c r="I291" s="42">
        <f t="shared" si="13"/>
        <v>4158.7139019989718</v>
      </c>
      <c r="J291" s="42">
        <f t="shared" si="13"/>
        <v>33191.040581171663</v>
      </c>
      <c r="K291" s="42">
        <f t="shared" si="13"/>
        <v>0</v>
      </c>
      <c r="L291" s="41">
        <f t="shared" si="13"/>
        <v>217263.93643387142</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26610.462725437017</v>
      </c>
      <c r="G296" s="18">
        <v>1743.6465343577122</v>
      </c>
      <c r="H296" s="18">
        <v>0</v>
      </c>
      <c r="I296" s="18">
        <v>646.90136618355177</v>
      </c>
      <c r="J296" s="18">
        <v>0</v>
      </c>
      <c r="K296" s="18">
        <v>0</v>
      </c>
      <c r="L296" s="19">
        <f>SUM(F296:K296)</f>
        <v>29001.010625978281</v>
      </c>
      <c r="M296" s="8"/>
      <c r="N296" s="266"/>
    </row>
    <row r="297" spans="1:14" s="3" customFormat="1" ht="12.2" customHeight="1" x14ac:dyDescent="0.15">
      <c r="A297" s="1" t="s">
        <v>439</v>
      </c>
      <c r="B297" s="2" t="s">
        <v>358</v>
      </c>
      <c r="C297" s="2" t="s">
        <v>291</v>
      </c>
      <c r="D297" s="2" t="s">
        <v>431</v>
      </c>
      <c r="E297" s="6">
        <v>1200</v>
      </c>
      <c r="F297" s="18">
        <v>67638.851896335414</v>
      </c>
      <c r="G297" s="18">
        <v>5130.7806975493768</v>
      </c>
      <c r="H297" s="18">
        <v>374.27259149510712</v>
      </c>
      <c r="I297" s="18">
        <v>2925.0363299200649</v>
      </c>
      <c r="J297" s="18">
        <v>7335.199418828337</v>
      </c>
      <c r="K297" s="18">
        <v>0</v>
      </c>
      <c r="L297" s="19">
        <f>SUM(F297:K297)</f>
        <v>83404.1409341283</v>
      </c>
      <c r="M297" s="8"/>
      <c r="N297" s="266"/>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6"/>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0</v>
      </c>
      <c r="G301" s="18">
        <v>0</v>
      </c>
      <c r="H301" s="18">
        <v>43122.287397512337</v>
      </c>
      <c r="I301" s="18">
        <v>92.748401897410773</v>
      </c>
      <c r="J301" s="18">
        <v>0</v>
      </c>
      <c r="K301" s="18">
        <v>0</v>
      </c>
      <c r="L301" s="19">
        <f t="shared" ref="L301:L307" si="14">SUM(F301:K301)</f>
        <v>43215.03579940975</v>
      </c>
      <c r="M301" s="8"/>
      <c r="N301" s="266"/>
    </row>
    <row r="302" spans="1:14" s="3" customFormat="1" ht="12.2" customHeight="1" x14ac:dyDescent="0.15">
      <c r="A302" s="1" t="s">
        <v>443</v>
      </c>
      <c r="B302" s="2" t="s">
        <v>358</v>
      </c>
      <c r="C302" s="2" t="s">
        <v>295</v>
      </c>
      <c r="D302" s="2" t="s">
        <v>431</v>
      </c>
      <c r="E302" s="6">
        <v>2200</v>
      </c>
      <c r="F302" s="18">
        <v>1957.0521754507547</v>
      </c>
      <c r="G302" s="18">
        <v>0</v>
      </c>
      <c r="H302" s="18">
        <v>11858.464031161508</v>
      </c>
      <c r="I302" s="18">
        <v>0</v>
      </c>
      <c r="J302" s="18">
        <v>0</v>
      </c>
      <c r="K302" s="18">
        <v>0</v>
      </c>
      <c r="L302" s="19">
        <f t="shared" si="14"/>
        <v>13815.516206612263</v>
      </c>
      <c r="M302" s="8"/>
      <c r="N302" s="266"/>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6"/>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6"/>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6"/>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6"/>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6"/>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96206.366797223178</v>
      </c>
      <c r="G310" s="42">
        <f t="shared" si="15"/>
        <v>6874.4272319070888</v>
      </c>
      <c r="H310" s="42">
        <f t="shared" si="15"/>
        <v>55355.024020168952</v>
      </c>
      <c r="I310" s="42">
        <f t="shared" si="15"/>
        <v>3664.6860980010279</v>
      </c>
      <c r="J310" s="42">
        <f t="shared" si="15"/>
        <v>7335.199418828337</v>
      </c>
      <c r="K310" s="42">
        <f t="shared" si="15"/>
        <v>0</v>
      </c>
      <c r="L310" s="41">
        <f t="shared" si="15"/>
        <v>169435.70356612859</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6"/>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6"/>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6"/>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6"/>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6"/>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6"/>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6"/>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6"/>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6"/>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6"/>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6"/>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6"/>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6"/>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6"/>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205502.09</v>
      </c>
      <c r="G339" s="41">
        <f t="shared" si="20"/>
        <v>14675.579999999998</v>
      </c>
      <c r="H339" s="41">
        <f t="shared" si="20"/>
        <v>118172.32999999999</v>
      </c>
      <c r="I339" s="41">
        <f t="shared" si="20"/>
        <v>7823.4</v>
      </c>
      <c r="J339" s="41">
        <f t="shared" si="20"/>
        <v>40526.239999999998</v>
      </c>
      <c r="K339" s="41">
        <f t="shared" si="20"/>
        <v>0</v>
      </c>
      <c r="L339" s="41">
        <f t="shared" si="20"/>
        <v>386699.64</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205502.09</v>
      </c>
      <c r="G353" s="41">
        <f>G339</f>
        <v>14675.579999999998</v>
      </c>
      <c r="H353" s="41">
        <f>H339</f>
        <v>118172.32999999999</v>
      </c>
      <c r="I353" s="41">
        <f>I339</f>
        <v>7823.4</v>
      </c>
      <c r="J353" s="41">
        <f>J339</f>
        <v>40526.239999999998</v>
      </c>
      <c r="K353" s="47">
        <f>K339+K352</f>
        <v>0</v>
      </c>
      <c r="L353" s="41">
        <f>L339+L352</f>
        <v>386699.64</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70668.060842483843</v>
      </c>
      <c r="G359" s="18">
        <v>2121.5100000000002</v>
      </c>
      <c r="H359" s="18">
        <v>0</v>
      </c>
      <c r="I359" s="18">
        <v>63413.658954751285</v>
      </c>
      <c r="J359" s="18">
        <v>0</v>
      </c>
      <c r="K359" s="18">
        <v>7255.9813843451657</v>
      </c>
      <c r="L359" s="13">
        <f>SUM(F359:K359)</f>
        <v>143459.21118158026</v>
      </c>
      <c r="M359" s="8"/>
      <c r="N359" s="266"/>
    </row>
    <row r="360" spans="1:22" s="3" customFormat="1" ht="12.2" customHeight="1" x14ac:dyDescent="0.15">
      <c r="A360" s="1" t="s">
        <v>542</v>
      </c>
      <c r="B360" s="2" t="s">
        <v>366</v>
      </c>
      <c r="C360" s="6">
        <v>2</v>
      </c>
      <c r="D360" s="2" t="s">
        <v>431</v>
      </c>
      <c r="E360" s="6"/>
      <c r="F360" s="18">
        <v>59378.179157516162</v>
      </c>
      <c r="G360" s="18">
        <v>1782.58</v>
      </c>
      <c r="H360" s="18">
        <v>0</v>
      </c>
      <c r="I360" s="18">
        <v>42764.761045248706</v>
      </c>
      <c r="J360" s="18">
        <v>0</v>
      </c>
      <c r="K360" s="18">
        <v>6394.0186156548343</v>
      </c>
      <c r="L360" s="19">
        <f>SUM(F360:K360)</f>
        <v>110319.53881841969</v>
      </c>
      <c r="M360" s="8"/>
      <c r="N360" s="266"/>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130046.24</v>
      </c>
      <c r="G363" s="47">
        <f t="shared" si="22"/>
        <v>3904.09</v>
      </c>
      <c r="H363" s="47">
        <f t="shared" si="22"/>
        <v>0</v>
      </c>
      <c r="I363" s="47">
        <f t="shared" si="22"/>
        <v>106178.41999999998</v>
      </c>
      <c r="J363" s="47">
        <f t="shared" si="22"/>
        <v>0</v>
      </c>
      <c r="K363" s="47">
        <f t="shared" si="22"/>
        <v>13650</v>
      </c>
      <c r="L363" s="47">
        <f t="shared" si="22"/>
        <v>253778.74999999994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47619.660943926014</v>
      </c>
      <c r="G368" s="18">
        <v>41962.759056073985</v>
      </c>
      <c r="H368" s="18">
        <v>0</v>
      </c>
      <c r="I368" s="56">
        <f>SUM(F368:H368)</f>
        <v>89582.42</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8821.9975864170246</v>
      </c>
      <c r="G369" s="63">
        <v>7774.0024135829763</v>
      </c>
      <c r="H369" s="63">
        <v>0</v>
      </c>
      <c r="I369" s="56">
        <f>SUM(F369:H369)</f>
        <v>16596</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56441.65853034304</v>
      </c>
      <c r="G370" s="47">
        <f>SUM(G368:G369)</f>
        <v>49736.761469656958</v>
      </c>
      <c r="H370" s="47">
        <f>SUM(H368:H369)</f>
        <v>0</v>
      </c>
      <c r="I370" s="47">
        <f>SUM(I368:I369)</f>
        <v>106178.42</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v>125000</v>
      </c>
      <c r="H389" s="18">
        <v>10023.11</v>
      </c>
      <c r="I389" s="18"/>
      <c r="J389" s="24" t="s">
        <v>288</v>
      </c>
      <c r="K389" s="24" t="s">
        <v>288</v>
      </c>
      <c r="L389" s="56">
        <f t="shared" si="25"/>
        <v>135023.10999999999</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125000</v>
      </c>
      <c r="H394" s="139">
        <f>SUM(H388:H393)</f>
        <v>10023.11</v>
      </c>
      <c r="I394" s="65">
        <f>SUM(I388:I393)</f>
        <v>0</v>
      </c>
      <c r="J394" s="45" t="s">
        <v>288</v>
      </c>
      <c r="K394" s="45" t="s">
        <v>288</v>
      </c>
      <c r="L394" s="47">
        <f>SUM(L388:L393)</f>
        <v>135023.10999999999</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125000</v>
      </c>
      <c r="H409" s="47">
        <f>H394+H402+H408</f>
        <v>10023.11</v>
      </c>
      <c r="I409" s="47">
        <f>I394+I402+I408</f>
        <v>0</v>
      </c>
      <c r="J409" s="24" t="s">
        <v>288</v>
      </c>
      <c r="K409" s="24" t="s">
        <v>288</v>
      </c>
      <c r="L409" s="47">
        <f>L394+L402+L408</f>
        <v>135023.10999999999</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v>125000</v>
      </c>
      <c r="G442" s="18"/>
      <c r="H442" s="18"/>
      <c r="I442" s="56">
        <f t="shared" si="33"/>
        <v>125000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840744.89</v>
      </c>
      <c r="G443" s="18"/>
      <c r="H443" s="18"/>
      <c r="I443" s="56">
        <f t="shared" si="33"/>
        <v>840744.89</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965744.89</v>
      </c>
      <c r="G447" s="13">
        <f>SUM(G440:G446)</f>
        <v>0</v>
      </c>
      <c r="H447" s="13">
        <f>SUM(H440:H446)</f>
        <v>0</v>
      </c>
      <c r="I447" s="13">
        <f>SUM(I440:I446)</f>
        <v>965744.89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840744.89+125000</f>
        <v>965744.89</v>
      </c>
      <c r="G460" s="18"/>
      <c r="H460" s="18"/>
      <c r="I460" s="56">
        <f t="shared" si="34"/>
        <v>965744.89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965744.89</v>
      </c>
      <c r="G461" s="83">
        <f>SUM(G455:G460)</f>
        <v>0</v>
      </c>
      <c r="H461" s="83">
        <f>SUM(H455:H460)</f>
        <v>0</v>
      </c>
      <c r="I461" s="83">
        <f>SUM(I455:I460)</f>
        <v>965744.89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965744.89</v>
      </c>
      <c r="G462" s="42">
        <f>G453+G461</f>
        <v>0</v>
      </c>
      <c r="H462" s="42">
        <f>H453+H461</f>
        <v>0</v>
      </c>
      <c r="I462" s="42">
        <f>I453+I461</f>
        <v>965744.89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1320176.93</v>
      </c>
      <c r="G466" s="18">
        <v>9708.2999999999993</v>
      </c>
      <c r="H466" s="18">
        <v>0</v>
      </c>
      <c r="I466" s="18">
        <v>0</v>
      </c>
      <c r="J466" s="18">
        <v>830721.78</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26511270.41</v>
      </c>
      <c r="G469" s="18">
        <v>253778.75</v>
      </c>
      <c r="H469" s="18">
        <v>386699.64</v>
      </c>
      <c r="I469" s="18"/>
      <c r="J469" s="18">
        <f>10023.11+125000</f>
        <v>135023.10999999999</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26511270.41</v>
      </c>
      <c r="G471" s="53">
        <f>SUM(G469:G470)</f>
        <v>253778.75</v>
      </c>
      <c r="H471" s="53">
        <f>SUM(H469:H470)</f>
        <v>386699.64</v>
      </c>
      <c r="I471" s="53">
        <f>SUM(I469:I470)</f>
        <v>0</v>
      </c>
      <c r="J471" s="53">
        <f>SUM(J469:J470)</f>
        <v>135023.10999999999</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25285796.96-0.0125257521867752+125000</f>
        <v>25410796.947474249</v>
      </c>
      <c r="G473" s="18">
        <v>253778.75</v>
      </c>
      <c r="H473" s="18">
        <v>386699.64</v>
      </c>
      <c r="I473" s="18"/>
      <c r="J473" s="18">
        <v>0</v>
      </c>
      <c r="K473" s="24" t="s">
        <v>288</v>
      </c>
      <c r="L473" s="24" t="s">
        <v>288</v>
      </c>
      <c r="N473" s="265"/>
    </row>
    <row r="474" spans="1:14" s="52" customFormat="1" ht="12.2" customHeight="1" x14ac:dyDescent="0.2">
      <c r="A474" s="93" t="s">
        <v>613</v>
      </c>
      <c r="B474" s="75">
        <v>19</v>
      </c>
      <c r="C474" s="80">
        <v>6</v>
      </c>
      <c r="D474" s="2" t="s">
        <v>432</v>
      </c>
      <c r="E474" s="80"/>
      <c r="F474" s="18">
        <f>172970.19+0.00499999755993485-125000</f>
        <v>47970.194999997562</v>
      </c>
      <c r="G474" s="18">
        <v>1095</v>
      </c>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25458767.142474245</v>
      </c>
      <c r="G475" s="53">
        <f>SUM(G473:G474)</f>
        <v>254873.75</v>
      </c>
      <c r="H475" s="53">
        <f>SUM(H473:H474)</f>
        <v>386699.64</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2372680.1975257546</v>
      </c>
      <c r="G477" s="53">
        <f>(G466+G471)- G475</f>
        <v>8613.2999999999884</v>
      </c>
      <c r="H477" s="53">
        <f>(H466+H471)- H475</f>
        <v>0</v>
      </c>
      <c r="I477" s="53">
        <f>(I466+I471)- I475</f>
        <v>0</v>
      </c>
      <c r="J477" s="53">
        <f>(J466+J471)- J475</f>
        <v>965744.89</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t="s">
        <v>1644</v>
      </c>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1111903.9770937099</v>
      </c>
      <c r="G522" s="18">
        <v>575242.18930245063</v>
      </c>
      <c r="H522" s="18">
        <v>356088.36021566938</v>
      </c>
      <c r="I522" s="18">
        <v>7984.7586843583085</v>
      </c>
      <c r="J522" s="18">
        <v>8796.8488333552377</v>
      </c>
      <c r="K522" s="18">
        <v>1004.6690297874374</v>
      </c>
      <c r="L522" s="88">
        <f>SUM(F522:K522)</f>
        <v>2061020.8031593312</v>
      </c>
      <c r="N522" s="265"/>
    </row>
    <row r="523" spans="1:14" s="52" customFormat="1" ht="12.2" customHeight="1" x14ac:dyDescent="0.2">
      <c r="A523" s="22" t="s">
        <v>634</v>
      </c>
      <c r="B523" s="105">
        <v>21</v>
      </c>
      <c r="C523" s="115">
        <v>2</v>
      </c>
      <c r="D523" s="2" t="s">
        <v>432</v>
      </c>
      <c r="E523" s="115"/>
      <c r="F523" s="18">
        <v>851265.98390629014</v>
      </c>
      <c r="G523" s="18">
        <v>436193.04069754941</v>
      </c>
      <c r="H523" s="18">
        <v>313787.4097843311</v>
      </c>
      <c r="I523" s="18">
        <v>6259.4913156416897</v>
      </c>
      <c r="J523" s="18">
        <v>7751.841166644761</v>
      </c>
      <c r="K523" s="18">
        <v>885.32097021256266</v>
      </c>
      <c r="L523" s="88">
        <f>SUM(F523:K523)</f>
        <v>1616143.0878406696</v>
      </c>
      <c r="N523" s="265"/>
    </row>
    <row r="524" spans="1:14" s="52" customFormat="1" ht="12.2" customHeight="1" thickBot="1" x14ac:dyDescent="0.25">
      <c r="A524" s="22" t="s">
        <v>635</v>
      </c>
      <c r="B524" s="105">
        <v>21</v>
      </c>
      <c r="C524" s="115">
        <v>3</v>
      </c>
      <c r="D524" s="2" t="s">
        <v>432</v>
      </c>
      <c r="E524" s="115"/>
      <c r="F524" s="18"/>
      <c r="G524" s="18">
        <v>0</v>
      </c>
      <c r="H524" s="18">
        <v>1754627.92</v>
      </c>
      <c r="I524" s="18">
        <v>0</v>
      </c>
      <c r="J524" s="18">
        <v>0</v>
      </c>
      <c r="K524" s="18">
        <v>0</v>
      </c>
      <c r="L524" s="88">
        <f>SUM(F524:K524)</f>
        <v>1754627.92</v>
      </c>
      <c r="N524" s="265"/>
    </row>
    <row r="525" spans="1:14" s="52" customFormat="1" ht="12.2" customHeight="1" thickTop="1" x14ac:dyDescent="0.2">
      <c r="A525" s="139" t="s">
        <v>63</v>
      </c>
      <c r="B525" s="107">
        <v>21</v>
      </c>
      <c r="C525" s="195">
        <v>4</v>
      </c>
      <c r="D525" s="196" t="s">
        <v>432</v>
      </c>
      <c r="E525" s="195"/>
      <c r="F525" s="108">
        <f>SUM(F522:F524)</f>
        <v>1963169.9610000001</v>
      </c>
      <c r="G525" s="108">
        <f t="shared" ref="G525:L525" si="36">SUM(G522:G524)</f>
        <v>1011435.23</v>
      </c>
      <c r="H525" s="108">
        <f t="shared" si="36"/>
        <v>2424503.6900000004</v>
      </c>
      <c r="I525" s="108">
        <f t="shared" si="36"/>
        <v>14244.249999999998</v>
      </c>
      <c r="J525" s="108">
        <f t="shared" si="36"/>
        <v>16548.689999999999</v>
      </c>
      <c r="K525" s="108">
        <f t="shared" si="36"/>
        <v>1889.99</v>
      </c>
      <c r="L525" s="89">
        <f t="shared" si="36"/>
        <v>5431791.8110000007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171995.08799999999</v>
      </c>
      <c r="G527" s="18">
        <v>94612.08</v>
      </c>
      <c r="H527" s="18">
        <v>0</v>
      </c>
      <c r="I527" s="18">
        <v>1306.1244908176311</v>
      </c>
      <c r="J527" s="18">
        <v>0</v>
      </c>
      <c r="K527" s="18">
        <v>0</v>
      </c>
      <c r="L527" s="88">
        <f>SUM(F527:K527)</f>
        <v>267913.29249081766</v>
      </c>
      <c r="M527" s="8"/>
      <c r="N527" s="266"/>
    </row>
    <row r="528" spans="1:14" s="3" customFormat="1" ht="12.2" customHeight="1" x14ac:dyDescent="0.15">
      <c r="A528" s="22" t="s">
        <v>634</v>
      </c>
      <c r="B528" s="105">
        <v>21</v>
      </c>
      <c r="C528" s="115">
        <v>6</v>
      </c>
      <c r="D528" s="2" t="s">
        <v>432</v>
      </c>
      <c r="E528" s="115"/>
      <c r="F528" s="18">
        <v>214993.86</v>
      </c>
      <c r="G528" s="18">
        <v>118265.1</v>
      </c>
      <c r="H528" s="18">
        <v>0</v>
      </c>
      <c r="I528" s="18">
        <v>1150.965509182369</v>
      </c>
      <c r="J528" s="18">
        <v>0</v>
      </c>
      <c r="K528" s="18">
        <v>0</v>
      </c>
      <c r="L528" s="88">
        <f>SUM(F528:K528)</f>
        <v>334409.92550918233</v>
      </c>
      <c r="M528" s="8"/>
      <c r="N528" s="266"/>
    </row>
    <row r="529" spans="1:14" s="3" customFormat="1" ht="12.2" customHeight="1" thickBot="1" x14ac:dyDescent="0.2">
      <c r="A529" s="22" t="s">
        <v>635</v>
      </c>
      <c r="B529" s="118">
        <v>21</v>
      </c>
      <c r="C529" s="118">
        <v>7</v>
      </c>
      <c r="D529" s="2" t="s">
        <v>432</v>
      </c>
      <c r="E529" s="118"/>
      <c r="F529" s="18">
        <v>42998.771999999997</v>
      </c>
      <c r="G529" s="18">
        <v>23653.02</v>
      </c>
      <c r="H529" s="18">
        <v>0</v>
      </c>
      <c r="I529" s="18">
        <v>0</v>
      </c>
      <c r="J529" s="18">
        <v>0</v>
      </c>
      <c r="K529" s="18">
        <v>0</v>
      </c>
      <c r="L529" s="88">
        <f>SUM(F529:K529)</f>
        <v>66651.792000000001</v>
      </c>
      <c r="M529" s="8"/>
      <c r="N529" s="266"/>
    </row>
    <row r="530" spans="1:14" s="3" customFormat="1" ht="12.2" customHeight="1" thickTop="1" x14ac:dyDescent="0.15">
      <c r="A530" s="139" t="s">
        <v>65</v>
      </c>
      <c r="B530" s="107">
        <v>21</v>
      </c>
      <c r="C530" s="107">
        <v>8</v>
      </c>
      <c r="D530" s="158" t="s">
        <v>432</v>
      </c>
      <c r="E530" s="107"/>
      <c r="F530" s="89">
        <f>SUM(F527:F529)</f>
        <v>429987.72</v>
      </c>
      <c r="G530" s="89">
        <f t="shared" ref="G530:L530" si="37">SUM(G527:G529)</f>
        <v>236530.19999999998</v>
      </c>
      <c r="H530" s="89">
        <f t="shared" si="37"/>
        <v>0</v>
      </c>
      <c r="I530" s="89">
        <f t="shared" si="37"/>
        <v>2457.09</v>
      </c>
      <c r="J530" s="89">
        <f t="shared" si="37"/>
        <v>0</v>
      </c>
      <c r="K530" s="89">
        <f t="shared" si="37"/>
        <v>0</v>
      </c>
      <c r="L530" s="89">
        <f t="shared" si="37"/>
        <v>668975.01</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145449.77776500001</v>
      </c>
      <c r="G532" s="18">
        <v>80009.88</v>
      </c>
      <c r="H532" s="18">
        <v>0</v>
      </c>
      <c r="I532" s="18">
        <v>655.54</v>
      </c>
      <c r="J532" s="18">
        <v>0</v>
      </c>
      <c r="K532" s="18">
        <v>0</v>
      </c>
      <c r="L532" s="88">
        <f>SUM(F532:K532)</f>
        <v>226115.19776500002</v>
      </c>
      <c r="M532" s="8"/>
      <c r="N532" s="266"/>
    </row>
    <row r="533" spans="1:14" s="3" customFormat="1" ht="12.2" customHeight="1" x14ac:dyDescent="0.15">
      <c r="A533" s="22" t="s">
        <v>634</v>
      </c>
      <c r="B533" s="105">
        <v>21</v>
      </c>
      <c r="C533" s="105">
        <v>10</v>
      </c>
      <c r="D533" s="2" t="s">
        <v>432</v>
      </c>
      <c r="E533" s="105"/>
      <c r="F533" s="18">
        <v>154446.67123500002</v>
      </c>
      <c r="G533" s="18">
        <v>84958.94</v>
      </c>
      <c r="H533" s="18">
        <v>0</v>
      </c>
      <c r="I533" s="18">
        <v>657.2</v>
      </c>
      <c r="J533" s="18">
        <v>0</v>
      </c>
      <c r="K533" s="18">
        <v>0</v>
      </c>
      <c r="L533" s="88">
        <f>SUM(F533:K533)</f>
        <v>240062.81123500003</v>
      </c>
      <c r="M533" s="8"/>
      <c r="N533" s="266"/>
    </row>
    <row r="534" spans="1:14" s="3" customFormat="1" ht="12.2" customHeight="1" thickBot="1" x14ac:dyDescent="0.2">
      <c r="A534" s="22" t="s">
        <v>635</v>
      </c>
      <c r="B534" s="105">
        <v>21</v>
      </c>
      <c r="C534" s="105">
        <v>11</v>
      </c>
      <c r="D534" s="2" t="s">
        <v>432</v>
      </c>
      <c r="E534" s="105"/>
      <c r="F534" s="18">
        <v>95260.750000000015</v>
      </c>
      <c r="G534" s="18">
        <v>86787.85</v>
      </c>
      <c r="H534" s="18">
        <v>0</v>
      </c>
      <c r="I534" s="18">
        <v>0</v>
      </c>
      <c r="J534" s="18">
        <v>0</v>
      </c>
      <c r="K534" s="18">
        <v>0</v>
      </c>
      <c r="L534" s="88">
        <f>SUM(F534:K534)</f>
        <v>182048.60000000003</v>
      </c>
      <c r="M534" s="8"/>
      <c r="N534" s="266"/>
    </row>
    <row r="535" spans="1:14" s="3" customFormat="1" ht="12.2" customHeight="1" thickTop="1" x14ac:dyDescent="0.15">
      <c r="A535" s="139" t="s">
        <v>67</v>
      </c>
      <c r="B535" s="107">
        <v>21</v>
      </c>
      <c r="C535" s="107">
        <v>12</v>
      </c>
      <c r="D535" s="158" t="s">
        <v>432</v>
      </c>
      <c r="E535" s="107"/>
      <c r="F535" s="89">
        <f>SUM(F532:F534)</f>
        <v>395157.19900000002</v>
      </c>
      <c r="G535" s="89">
        <f t="shared" ref="G535:L535" si="38">SUM(G532:G534)</f>
        <v>251756.67</v>
      </c>
      <c r="H535" s="89">
        <f t="shared" si="38"/>
        <v>0</v>
      </c>
      <c r="I535" s="89">
        <f t="shared" si="38"/>
        <v>1312.74</v>
      </c>
      <c r="J535" s="89">
        <f t="shared" si="38"/>
        <v>0</v>
      </c>
      <c r="K535" s="89">
        <f t="shared" si="38"/>
        <v>0</v>
      </c>
      <c r="L535" s="89">
        <f t="shared" si="38"/>
        <v>648226.60900000017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16740.084199999998</v>
      </c>
      <c r="I537" s="18"/>
      <c r="J537" s="18"/>
      <c r="K537" s="18"/>
      <c r="L537" s="88">
        <f>SUM(F537:K537)</f>
        <v>16740.084199999998</v>
      </c>
      <c r="M537" s="8"/>
      <c r="N537" s="266"/>
    </row>
    <row r="538" spans="1:14" s="3" customFormat="1" ht="12.2" customHeight="1" x14ac:dyDescent="0.15">
      <c r="A538" s="22" t="s">
        <v>634</v>
      </c>
      <c r="B538" s="105">
        <v>21</v>
      </c>
      <c r="C538" s="105">
        <v>14</v>
      </c>
      <c r="D538" s="2" t="s">
        <v>432</v>
      </c>
      <c r="E538" s="105"/>
      <c r="F538" s="18"/>
      <c r="G538" s="18"/>
      <c r="H538" s="18">
        <v>20925.105249999997</v>
      </c>
      <c r="I538" s="18"/>
      <c r="J538" s="18"/>
      <c r="K538" s="18"/>
      <c r="L538" s="88">
        <f>SUM(F538:K538)</f>
        <v>20925.105249999997</v>
      </c>
      <c r="M538" s="8"/>
      <c r="N538" s="266"/>
    </row>
    <row r="539" spans="1:14" s="3" customFormat="1" ht="12.2" customHeight="1" thickBot="1" x14ac:dyDescent="0.2">
      <c r="A539" s="22" t="s">
        <v>635</v>
      </c>
      <c r="B539" s="105">
        <v>21</v>
      </c>
      <c r="C539" s="105">
        <v>15</v>
      </c>
      <c r="D539" s="2" t="s">
        <v>432</v>
      </c>
      <c r="E539" s="105"/>
      <c r="F539" s="18"/>
      <c r="G539" s="18"/>
      <c r="H539" s="18">
        <v>4185.0210499999994</v>
      </c>
      <c r="I539" s="18"/>
      <c r="J539" s="18"/>
      <c r="K539" s="18"/>
      <c r="L539" s="88">
        <f>SUM(F539:K539)</f>
        <v>4185.0210499999994</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41850.210499999986</v>
      </c>
      <c r="I540" s="89">
        <f t="shared" si="39"/>
        <v>0</v>
      </c>
      <c r="J540" s="89">
        <f t="shared" si="39"/>
        <v>0</v>
      </c>
      <c r="K540" s="89">
        <f t="shared" si="39"/>
        <v>0</v>
      </c>
      <c r="L540" s="89">
        <f t="shared" si="39"/>
        <v>41850.210499999986</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106665.30459</v>
      </c>
      <c r="I542" s="18"/>
      <c r="J542" s="18"/>
      <c r="K542" s="18"/>
      <c r="L542" s="88">
        <f>SUM(F542:K542)</f>
        <v>106665.30459</v>
      </c>
      <c r="M542" s="8"/>
      <c r="N542" s="266"/>
    </row>
    <row r="543" spans="1:14" s="3" customFormat="1" ht="12.2" customHeight="1" x14ac:dyDescent="0.15">
      <c r="A543" s="22" t="s">
        <v>634</v>
      </c>
      <c r="B543" s="105">
        <v>21</v>
      </c>
      <c r="C543" s="105">
        <v>18</v>
      </c>
      <c r="D543" s="2" t="s">
        <v>432</v>
      </c>
      <c r="E543" s="105"/>
      <c r="F543" s="18"/>
      <c r="G543" s="18"/>
      <c r="H543" s="18">
        <v>106665.30459</v>
      </c>
      <c r="I543" s="18"/>
      <c r="J543" s="18"/>
      <c r="K543" s="18"/>
      <c r="L543" s="88">
        <f>SUM(F543:K543)</f>
        <v>106665.30459</v>
      </c>
      <c r="M543" s="8"/>
      <c r="N543" s="266"/>
    </row>
    <row r="544" spans="1:14" s="3" customFormat="1" ht="12.2" customHeight="1" thickBot="1" x14ac:dyDescent="0.2">
      <c r="A544" s="22" t="s">
        <v>635</v>
      </c>
      <c r="B544" s="105">
        <v>21</v>
      </c>
      <c r="C544" s="105">
        <v>19</v>
      </c>
      <c r="D544" s="2" t="s">
        <v>432</v>
      </c>
      <c r="E544" s="105"/>
      <c r="F544" s="18"/>
      <c r="G544" s="18"/>
      <c r="H544" s="18">
        <v>106985.62082</v>
      </c>
      <c r="I544" s="18"/>
      <c r="J544" s="18"/>
      <c r="K544" s="18"/>
      <c r="L544" s="88">
        <f>SUM(F544:K544)</f>
        <v>106985.62082</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320316.23</v>
      </c>
      <c r="I545" s="193">
        <f t="shared" si="40"/>
        <v>0</v>
      </c>
      <c r="J545" s="193">
        <f t="shared" si="40"/>
        <v>0</v>
      </c>
      <c r="K545" s="193">
        <f t="shared" si="40"/>
        <v>0</v>
      </c>
      <c r="L545" s="193">
        <f t="shared" si="40"/>
        <v>320316.23</v>
      </c>
      <c r="M545" s="8"/>
      <c r="N545" s="266"/>
    </row>
    <row r="546" spans="1:14" s="3" customFormat="1" ht="12.2" customHeight="1" thickTop="1" x14ac:dyDescent="0.15">
      <c r="A546" s="98" t="s">
        <v>72</v>
      </c>
      <c r="B546" s="107">
        <v>21</v>
      </c>
      <c r="C546" s="107">
        <v>21</v>
      </c>
      <c r="D546" s="158" t="s">
        <v>432</v>
      </c>
      <c r="E546" s="107"/>
      <c r="F546" s="89">
        <f>F525+F530+F535+F540+F545</f>
        <v>2788314.88</v>
      </c>
      <c r="G546" s="89">
        <f t="shared" ref="G546:L546" si="41">G525+G530+G535+G540+G545</f>
        <v>1499722.0999999999</v>
      </c>
      <c r="H546" s="89">
        <f t="shared" si="41"/>
        <v>2786670.1305000004</v>
      </c>
      <c r="I546" s="89">
        <f t="shared" si="41"/>
        <v>18014.079999999998</v>
      </c>
      <c r="J546" s="89">
        <f t="shared" si="41"/>
        <v>16548.689999999999</v>
      </c>
      <c r="K546" s="89">
        <f t="shared" si="41"/>
        <v>1889.99</v>
      </c>
      <c r="L546" s="89">
        <f t="shared" si="41"/>
        <v>7111159.8705000002</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2061020.8031593312</v>
      </c>
      <c r="G550" s="87">
        <f>L527</f>
        <v>267913.29249081766</v>
      </c>
      <c r="H550" s="87">
        <f>L532</f>
        <v>226115.19776500002</v>
      </c>
      <c r="I550" s="87">
        <f>L537</f>
        <v>16740.084199999998</v>
      </c>
      <c r="J550" s="87">
        <f>L542</f>
        <v>106665.30459</v>
      </c>
      <c r="K550" s="87">
        <f>SUM(F550:J550)</f>
        <v>2678454.682205149</v>
      </c>
      <c r="L550" s="24" t="s">
        <v>288</v>
      </c>
      <c r="M550" s="8"/>
      <c r="N550" s="266"/>
    </row>
    <row r="551" spans="1:14" s="3" customFormat="1" ht="12.2" customHeight="1" x14ac:dyDescent="0.15">
      <c r="A551" s="22" t="s">
        <v>634</v>
      </c>
      <c r="B551" s="75">
        <v>21</v>
      </c>
      <c r="C551" s="75">
        <v>23</v>
      </c>
      <c r="D551" s="2" t="s">
        <v>432</v>
      </c>
      <c r="E551" s="75"/>
      <c r="F551" s="87">
        <f>L523</f>
        <v>1616143.0878406696</v>
      </c>
      <c r="G551" s="87">
        <f>L528</f>
        <v>334409.92550918233</v>
      </c>
      <c r="H551" s="87">
        <f>L533</f>
        <v>240062.81123500003</v>
      </c>
      <c r="I551" s="87">
        <f>L538</f>
        <v>20925.105249999997</v>
      </c>
      <c r="J551" s="87">
        <f>L543</f>
        <v>106665.30459</v>
      </c>
      <c r="K551" s="87">
        <f>SUM(F551:J551)</f>
        <v>2318206.2344248518</v>
      </c>
      <c r="L551" s="24" t="s">
        <v>288</v>
      </c>
      <c r="M551" s="8"/>
      <c r="N551" s="266"/>
    </row>
    <row r="552" spans="1:14" s="3" customFormat="1" ht="12.2" customHeight="1" thickBot="1" x14ac:dyDescent="0.2">
      <c r="A552" s="22" t="s">
        <v>635</v>
      </c>
      <c r="B552" s="75">
        <v>21</v>
      </c>
      <c r="C552" s="75">
        <v>24</v>
      </c>
      <c r="D552" s="2" t="s">
        <v>432</v>
      </c>
      <c r="E552" s="75"/>
      <c r="F552" s="87">
        <f>L524</f>
        <v>1754627.92</v>
      </c>
      <c r="G552" s="87">
        <f>L529</f>
        <v>66651.792000000001</v>
      </c>
      <c r="H552" s="87">
        <f>L534</f>
        <v>182048.60000000003</v>
      </c>
      <c r="I552" s="87">
        <f>L539</f>
        <v>4185.0210499999994</v>
      </c>
      <c r="J552" s="87">
        <f>L544</f>
        <v>106985.62082</v>
      </c>
      <c r="K552" s="87">
        <f>SUM(F552:J552)</f>
        <v>2114498.9538699999</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5431791.8110000007</v>
      </c>
      <c r="G553" s="89">
        <f t="shared" si="42"/>
        <v>668975.01</v>
      </c>
      <c r="H553" s="89">
        <f t="shared" si="42"/>
        <v>648226.60900000017</v>
      </c>
      <c r="I553" s="89">
        <f t="shared" si="42"/>
        <v>41850.210499999986</v>
      </c>
      <c r="J553" s="89">
        <f t="shared" si="42"/>
        <v>320316.23</v>
      </c>
      <c r="K553" s="89">
        <f t="shared" si="42"/>
        <v>7111159.8705000002</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v>13258.8</v>
      </c>
      <c r="H576" s="18"/>
      <c r="I576" s="87">
        <f>SUM(F576:H576)</f>
        <v>13258.8</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5507931.46</v>
      </c>
      <c r="I578" s="87">
        <f t="shared" si="47"/>
        <v>5507931.46</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v>733546.06</v>
      </c>
      <c r="I582" s="87">
        <f t="shared" si="47"/>
        <v>733546.06</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74884.854705882361</v>
      </c>
      <c r="G583" s="18">
        <v>299539.41882352944</v>
      </c>
      <c r="H583" s="18">
        <v>898618.25647058827</v>
      </c>
      <c r="I583" s="87">
        <f t="shared" si="47"/>
        <v>1273042.53</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v>122463.6</v>
      </c>
      <c r="I584" s="87">
        <f t="shared" si="47"/>
        <v>122463.6</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187644.4353519713</v>
      </c>
      <c r="I592" s="18">
        <v>161551.08288424282</v>
      </c>
      <c r="J592" s="18">
        <v>190732.2817637859</v>
      </c>
      <c r="K592" s="104">
        <f t="shared" ref="K592:K598" si="48">SUM(H592:J592)</f>
        <v>539927.80000000005</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106665.30459</v>
      </c>
      <c r="I593" s="18">
        <v>106665.30459</v>
      </c>
      <c r="J593" s="18">
        <v>106985.62082</v>
      </c>
      <c r="K593" s="104">
        <f t="shared" si="48"/>
        <v>320316.23</v>
      </c>
      <c r="L593" s="24" t="s">
        <v>288</v>
      </c>
      <c r="M593" s="8"/>
      <c r="N593" s="266"/>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0</v>
      </c>
      <c r="I595" s="18">
        <v>7348.02</v>
      </c>
      <c r="J595" s="18">
        <v>0</v>
      </c>
      <c r="K595" s="104">
        <f t="shared" si="48"/>
        <v>7348.02</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0</v>
      </c>
      <c r="I596" s="18">
        <v>0</v>
      </c>
      <c r="J596" s="18">
        <v>0</v>
      </c>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v>170.48</v>
      </c>
      <c r="I597" s="18">
        <v>146.78</v>
      </c>
      <c r="J597" s="18"/>
      <c r="K597" s="104">
        <f t="shared" si="48"/>
        <v>317.26</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294480.2199419713</v>
      </c>
      <c r="I599" s="108">
        <f>SUM(I592:I598)</f>
        <v>275711.18747424288</v>
      </c>
      <c r="J599" s="108">
        <f>SUM(J592:J598)</f>
        <v>297717.90258378588</v>
      </c>
      <c r="K599" s="108">
        <f>SUM(K592:K598)</f>
        <v>867909.31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83598.19+24867+8324.04</f>
        <v>116789.23000000001</v>
      </c>
      <c r="I605" s="18">
        <f>90018.45+7335.2</f>
        <v>97353.65</v>
      </c>
      <c r="J605" s="18">
        <v>0</v>
      </c>
      <c r="K605" s="104">
        <f>SUM(H605:J605)</f>
        <v>214142.88</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116789.23000000001</v>
      </c>
      <c r="I606" s="108">
        <f>SUM(I603:I605)</f>
        <v>97353.65</v>
      </c>
      <c r="J606" s="108">
        <f>SUM(J603:J605)</f>
        <v>0</v>
      </c>
      <c r="K606" s="108">
        <f>SUM(K603:K605)</f>
        <v>214142.88</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2931678.2475257544</v>
      </c>
      <c r="H618" s="109">
        <f>SUM(F52)</f>
        <v>2931678.2475257544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107848.18</v>
      </c>
      <c r="H619" s="109">
        <f>SUM(G52)</f>
        <v>107848.18000000001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207489.56</v>
      </c>
      <c r="H620" s="109">
        <f>SUM(H52)</f>
        <v>207489.56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965744.89</v>
      </c>
      <c r="H622" s="109">
        <f>SUM(J52)</f>
        <v>965744.89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2372680.1975257541</v>
      </c>
      <c r="H623" s="109">
        <f>F477</f>
        <v>2372680.1975257546</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8613.2999999999993</v>
      </c>
      <c r="H624" s="109">
        <f>G477</f>
        <v>8613.2999999999884</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965744.89</v>
      </c>
      <c r="H627" s="109">
        <f>J477</f>
        <v>965744.89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26511270.41</v>
      </c>
      <c r="H628" s="104">
        <f>SUM(F469)</f>
        <v>26511270.41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253778.75</v>
      </c>
      <c r="H629" s="104">
        <f>SUM(G469)</f>
        <v>253778.75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386699.64</v>
      </c>
      <c r="H630" s="104">
        <f>SUM(H469)</f>
        <v>386699.64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135023.10999999999</v>
      </c>
      <c r="H632" s="104">
        <f>SUM(J469)</f>
        <v>135023.10999999999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25410796.947474249</v>
      </c>
      <c r="H633" s="104">
        <f>SUM(F473)</f>
        <v>25410796.947474249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386699.64</v>
      </c>
      <c r="H634" s="104">
        <f>SUM(H473)</f>
        <v>386699.64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106178.41999999998</v>
      </c>
      <c r="H635" s="104">
        <f>I370</f>
        <v>106178.42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253778.74999999994</v>
      </c>
      <c r="H636" s="104">
        <f>SUM(G473)</f>
        <v>253778.75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135023.10999999999</v>
      </c>
      <c r="H638" s="164">
        <f>SUM(J469)</f>
        <v>135023.10999999999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965744.89</v>
      </c>
      <c r="H640" s="104">
        <f>SUM(F462)</f>
        <v>965744.89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965744.89</v>
      </c>
      <c r="H643" s="104">
        <f>SUM(I462)</f>
        <v>965744.89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10023.11</v>
      </c>
      <c r="H645" s="104">
        <f>H409</f>
        <v>10023.11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125000</v>
      </c>
      <c r="H646" s="104">
        <f>G409</f>
        <v>125000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135023.10999999999</v>
      </c>
      <c r="H647" s="104">
        <f>L409</f>
        <v>135023.10999999999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867909.31</v>
      </c>
      <c r="H648" s="104">
        <f>L209+L227+L245</f>
        <v>867909.30747424287</v>
      </c>
      <c r="I648" s="140" t="s">
        <v>396</v>
      </c>
      <c r="J648" s="109">
        <f t="shared" si="50"/>
        <v>2.5257571833208203E-3</v>
      </c>
      <c r="K648" s="85"/>
      <c r="L648" s="88"/>
      <c r="M648" s="8"/>
    </row>
    <row r="649" spans="1:13" s="3" customFormat="1" ht="12.2" customHeight="1" x14ac:dyDescent="0.15">
      <c r="A649" s="22"/>
      <c r="B649" s="105"/>
      <c r="C649" s="105"/>
      <c r="D649" s="105"/>
      <c r="E649" s="105"/>
      <c r="F649" s="120" t="s">
        <v>52</v>
      </c>
      <c r="G649" s="109">
        <f>K606</f>
        <v>214142.88</v>
      </c>
      <c r="H649" s="104">
        <f>(J258+J339)-(J256+J337)</f>
        <v>214142.88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294480.21999999997</v>
      </c>
      <c r="H650" s="104">
        <f>H599</f>
        <v>294480.2199419713</v>
      </c>
      <c r="I650" s="140" t="s">
        <v>388</v>
      </c>
      <c r="J650" s="109">
        <f t="shared" si="50"/>
        <v>5.8028672356158495E-5</v>
      </c>
      <c r="K650" s="85"/>
      <c r="L650" s="88"/>
      <c r="M650" s="8"/>
    </row>
    <row r="651" spans="1:13" s="3" customFormat="1" ht="12.2" customHeight="1" x14ac:dyDescent="0.15">
      <c r="A651" s="22"/>
      <c r="B651" s="105"/>
      <c r="C651" s="105"/>
      <c r="D651" s="105"/>
      <c r="E651" s="105"/>
      <c r="F651" s="120" t="s">
        <v>392</v>
      </c>
      <c r="G651" s="109">
        <f>L227</f>
        <v>275711.18747424288</v>
      </c>
      <c r="H651" s="104">
        <f>I599</f>
        <v>275711.18747424288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297717.90000000002</v>
      </c>
      <c r="H652" s="104">
        <f>J599</f>
        <v>297717.90258378588</v>
      </c>
      <c r="I652" s="140" t="s">
        <v>390</v>
      </c>
      <c r="J652" s="109">
        <f t="shared" si="50"/>
        <v>-2.5837858556769788E-3</v>
      </c>
      <c r="K652" s="85"/>
      <c r="L652" s="88"/>
      <c r="M652" s="8"/>
    </row>
    <row r="653" spans="1:13" s="3" customFormat="1" ht="12.2" customHeight="1" x14ac:dyDescent="0.15">
      <c r="A653" s="22"/>
      <c r="B653" s="105"/>
      <c r="C653" s="105"/>
      <c r="D653" s="105"/>
      <c r="E653" s="105"/>
      <c r="F653" s="120" t="s">
        <v>665</v>
      </c>
      <c r="G653" s="109">
        <f>G180</f>
        <v>38591.56</v>
      </c>
      <c r="H653" s="104">
        <f>K264+K346</f>
        <v>38591.56</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125000</v>
      </c>
      <c r="H656" s="104">
        <f>K267+K348</f>
        <v>125000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9391335.0354881175</v>
      </c>
      <c r="G661" s="19">
        <f>(L230+L310+L360)</f>
        <v>8358789.6053194664</v>
      </c>
      <c r="H661" s="19">
        <f>(L248+L329+L361)</f>
        <v>7962266.6466666674</v>
      </c>
      <c r="I661" s="19">
        <f>SUM(F661:H661)</f>
        <v>25712391.287474252</v>
      </c>
      <c r="J661" s="13"/>
      <c r="K661" s="13"/>
      <c r="L661" s="13"/>
      <c r="M661" s="9"/>
    </row>
    <row r="662" spans="1:13" s="3" customFormat="1" ht="12.2" customHeight="1" x14ac:dyDescent="0.2">
      <c r="A662" s="1" t="s">
        <v>127</v>
      </c>
      <c r="F662" s="19">
        <f>(L359/IF(SUM(L359:L361)=0,1,SUM(L359:L361))*(SUM(G97:G110)))</f>
        <v>93774.38024689263</v>
      </c>
      <c r="G662" s="19">
        <f>(L360/IF(SUM(L359:L361)=0,1,SUM(L359:L361))*(SUM(G97:G110)))</f>
        <v>72112.109753107361</v>
      </c>
      <c r="H662" s="19">
        <f>(L361/IF(SUM(L359:L361)=0,1,SUM(L359:L361))*(SUM(G97:G110)))</f>
        <v>0</v>
      </c>
      <c r="I662" s="19">
        <f>SUM(F662:H662)</f>
        <v>165886.49</v>
      </c>
      <c r="J662"/>
      <c r="K662" s="13"/>
      <c r="L662" s="13"/>
      <c r="M662" s="8"/>
    </row>
    <row r="663" spans="1:13" s="3" customFormat="1" ht="12.2" customHeight="1" x14ac:dyDescent="0.2">
      <c r="A663" s="1" t="s">
        <v>128</v>
      </c>
      <c r="F663" s="19">
        <f>(L209+L288)-(J209+J288)</f>
        <v>294480.21999999997</v>
      </c>
      <c r="G663" s="19">
        <f>(L227+L307)-(J227+J307)</f>
        <v>275711.18747424288</v>
      </c>
      <c r="H663" s="19">
        <f>(L245+L326)-(J245+J326)</f>
        <v>297717.90000000002</v>
      </c>
      <c r="I663" s="19">
        <f>SUM(F663:H663)</f>
        <v>867909.30747424287</v>
      </c>
      <c r="J663"/>
      <c r="K663" s="13"/>
      <c r="L663" s="13"/>
      <c r="M663" s="9"/>
    </row>
    <row r="664" spans="1:13" s="3" customFormat="1" ht="12.2" customHeight="1" x14ac:dyDescent="0.15">
      <c r="A664" s="198" t="s">
        <v>129</v>
      </c>
      <c r="B664" s="169"/>
      <c r="C664" s="169"/>
      <c r="D664" s="169"/>
      <c r="E664" s="169"/>
      <c r="F664" s="199">
        <f>SUM(F576:F588)+SUM(H603:H605)+SUM(L612)</f>
        <v>191674.08470588236</v>
      </c>
      <c r="G664" s="199">
        <f>SUM(G576:G588)+SUM(I603:I605)+L613</f>
        <v>410151.86882352945</v>
      </c>
      <c r="H664" s="199">
        <f>SUM(H576:H588)+SUM(J603:J605)+L614</f>
        <v>7262559.3764705872</v>
      </c>
      <c r="I664" s="19">
        <f>SUM(F664:H664)</f>
        <v>7864385.3299999991</v>
      </c>
      <c r="J664" s="13"/>
      <c r="K664" s="13"/>
      <c r="L664" s="13"/>
      <c r="M664" s="9"/>
    </row>
    <row r="665" spans="1:13" s="3" customFormat="1" ht="12.2" customHeight="1" x14ac:dyDescent="0.15">
      <c r="A665" s="1" t="s">
        <v>130</v>
      </c>
      <c r="F665" s="19">
        <f>F661-SUM(F662:F664)</f>
        <v>8811406.3505353425</v>
      </c>
      <c r="G665" s="19">
        <f>G661-SUM(G662:G664)</f>
        <v>7600814.4392685872</v>
      </c>
      <c r="H665" s="19">
        <f>H661-SUM(H662:H664)</f>
        <v>401989.37019607984</v>
      </c>
      <c r="I665" s="19">
        <f>I661-SUM(I662:I664)</f>
        <v>16814210.160000011</v>
      </c>
      <c r="J665" s="13"/>
      <c r="K665" s="13"/>
      <c r="L665" s="13"/>
      <c r="M665" s="8"/>
    </row>
    <row r="666" spans="1:13" s="3" customFormat="1" ht="12.2" customHeight="1" x14ac:dyDescent="0.2">
      <c r="A666" s="1" t="s">
        <v>131</v>
      </c>
      <c r="F666" s="246">
        <f>19.31+82.97+342.61</f>
        <v>444.89</v>
      </c>
      <c r="G666" s="247">
        <v>392.04</v>
      </c>
      <c r="H666" s="247"/>
      <c r="I666" s="19">
        <f>SUM(F666:H666)</f>
        <v>836.93000000000006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19805.810000000001</v>
      </c>
      <c r="G668" s="19">
        <f>ROUND(G665/G666,2)</f>
        <v>19387.849999999999</v>
      </c>
      <c r="H668" s="19" t="e">
        <f>ROUND(H665/H666,2)</f>
        <v>#DIV/0!</v>
      </c>
      <c r="I668" s="19">
        <f>ROUND(I665/I666,2)</f>
        <v>20090.34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-401989.37</v>
      </c>
      <c r="I670" s="19">
        <f>SUM(F670:H670)</f>
        <v>-401989.37</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19805.810000000001</v>
      </c>
      <c r="G673" s="19">
        <f>ROUND((G665+G670)/(G666+G671),2)</f>
        <v>19387.849999999999</v>
      </c>
      <c r="H673" s="19" t="e">
        <f>ROUND((H665+H670)/(H666+H671),2)</f>
        <v>#DIV/0!</v>
      </c>
      <c r="I673" s="19">
        <f>ROUND((I665+I670)/(I666+I671),2)</f>
        <v>19610.03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Hampstead School District</v>
      </c>
      <c r="C5" s="344"/>
      <c r="D5" s="344"/>
      <c r="E5" s="344"/>
      <c r="F5" s="344"/>
    </row>
    <row r="8" spans="1:9" ht="18" x14ac:dyDescent="0.25">
      <c r="A8" s="323" t="s">
        <v>1591</v>
      </c>
      <c r="F8" s="330" t="s">
        <v>1609</v>
      </c>
    </row>
    <row r="9" spans="1:9" ht="15" x14ac:dyDescent="0.2">
      <c r="A9" s="321" t="s">
        <v>1592</v>
      </c>
      <c r="B9" s="324">
        <f>'DOE25'!G97</f>
        <v>165886.49</v>
      </c>
      <c r="F9" s="321" t="s">
        <v>1605</v>
      </c>
    </row>
    <row r="10" spans="1:9" ht="15" x14ac:dyDescent="0.2">
      <c r="A10" s="321" t="s">
        <v>1593</v>
      </c>
      <c r="B10" s="324">
        <f>'DOE25'!G112-'DOE25'!G97</f>
        <v>0</v>
      </c>
      <c r="F10" s="321" t="s">
        <v>1606</v>
      </c>
    </row>
    <row r="11" spans="1:9" ht="15" x14ac:dyDescent="0.2">
      <c r="A11" s="321" t="s">
        <v>1594</v>
      </c>
      <c r="B11" s="324">
        <f>'DOE25'!G140</f>
        <v>3903.32</v>
      </c>
      <c r="F11" s="321" t="s">
        <v>1607</v>
      </c>
    </row>
    <row r="12" spans="1:9" ht="15" x14ac:dyDescent="0.2">
      <c r="A12" s="321" t="s">
        <v>1595</v>
      </c>
      <c r="B12" s="324">
        <f>'DOE25'!G170</f>
        <v>45397.38</v>
      </c>
      <c r="F12" s="321" t="s">
        <v>1608</v>
      </c>
    </row>
    <row r="13" spans="1:9" ht="15" x14ac:dyDescent="0.2">
      <c r="A13" s="321" t="s">
        <v>1596</v>
      </c>
      <c r="B13" s="324">
        <f>'DOE25'!G193-'DOE25'!G180</f>
        <v>0</v>
      </c>
      <c r="F13" s="321" t="s">
        <v>1618</v>
      </c>
    </row>
    <row r="14" spans="1:9" ht="18" x14ac:dyDescent="0.25">
      <c r="A14" s="323" t="s">
        <v>732</v>
      </c>
      <c r="B14" s="325">
        <f>SUM(B9:B13)</f>
        <v>215187.19</v>
      </c>
    </row>
    <row r="16" spans="1:9" ht="18" x14ac:dyDescent="0.25">
      <c r="A16" s="323" t="s">
        <v>786</v>
      </c>
      <c r="F16" s="330" t="s">
        <v>1610</v>
      </c>
    </row>
    <row r="17" spans="1:6" ht="15" x14ac:dyDescent="0.2">
      <c r="A17" s="321" t="s">
        <v>1597</v>
      </c>
      <c r="B17" s="324">
        <f>'DOE25'!L363-'DOE25'!L362</f>
        <v>253778.74999999994</v>
      </c>
      <c r="F17" s="321" t="s">
        <v>1611</v>
      </c>
    </row>
    <row r="18" spans="1:6" ht="15" x14ac:dyDescent="0.2">
      <c r="A18" s="321" t="s">
        <v>1598</v>
      </c>
      <c r="B18" s="338"/>
      <c r="F18" s="330" t="s">
        <v>1637</v>
      </c>
    </row>
    <row r="19" spans="1:6" ht="18" x14ac:dyDescent="0.25">
      <c r="A19" s="323" t="s">
        <v>725</v>
      </c>
      <c r="B19" s="325">
        <f>SUM(B17:B18)</f>
        <v>253778.74999999994</v>
      </c>
    </row>
    <row r="21" spans="1:6" ht="18.75" thickBot="1" x14ac:dyDescent="0.3">
      <c r="A21" s="323" t="s">
        <v>1599</v>
      </c>
    </row>
    <row r="22" spans="1:6" ht="18.75" thickTop="1" x14ac:dyDescent="0.25">
      <c r="A22" s="323" t="s">
        <v>1600</v>
      </c>
      <c r="B22" s="329">
        <f>B14-B19</f>
        <v>-38591.559999999939</v>
      </c>
      <c r="F22" s="321" t="s">
        <v>1612</v>
      </c>
    </row>
    <row r="26" spans="1:6" ht="18" x14ac:dyDescent="0.25">
      <c r="A26" s="323" t="s">
        <v>186</v>
      </c>
    </row>
    <row r="27" spans="1:6" ht="15" x14ac:dyDescent="0.2">
      <c r="A27" s="321" t="s">
        <v>1601</v>
      </c>
      <c r="B27" s="324">
        <f>'DOE25'!G180</f>
        <v>38591.56</v>
      </c>
      <c r="F27" s="321" t="s">
        <v>1613</v>
      </c>
    </row>
    <row r="28" spans="1:6" ht="15" x14ac:dyDescent="0.2">
      <c r="A28" s="321" t="s">
        <v>1603</v>
      </c>
      <c r="B28" s="324">
        <f>'DOE25'!L362</f>
        <v>0</v>
      </c>
      <c r="F28" s="321" t="s">
        <v>1614</v>
      </c>
    </row>
    <row r="31" spans="1:6" ht="15" x14ac:dyDescent="0.2">
      <c r="A31" s="321" t="s">
        <v>1640</v>
      </c>
      <c r="B31" s="324">
        <f>'DOE25'!G466</f>
        <v>9708.2999999999993</v>
      </c>
      <c r="F31" s="321" t="s">
        <v>1615</v>
      </c>
    </row>
    <row r="33" spans="1:6" ht="15" x14ac:dyDescent="0.2">
      <c r="A33" s="321" t="s">
        <v>1641</v>
      </c>
      <c r="B33" s="324">
        <f>'DOE25'!G477</f>
        <v>8613.2999999999884</v>
      </c>
      <c r="F33" s="321" t="s">
        <v>1616</v>
      </c>
    </row>
    <row r="36" spans="1:6" ht="15" x14ac:dyDescent="0.2">
      <c r="A36" s="321" t="s">
        <v>1602</v>
      </c>
      <c r="B36" s="339">
        <v>14883.88</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Hampstead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4796526.66</v>
      </c>
      <c r="C9" s="229">
        <f>'DOE25'!G198+'DOE25'!G216+'DOE25'!G234+'DOE25'!G277+'DOE25'!G296+'DOE25'!G315</f>
        <v>2610974.7799999998</v>
      </c>
    </row>
    <row r="10" spans="1:3" x14ac:dyDescent="0.2">
      <c r="A10" t="s">
        <v>775</v>
      </c>
      <c r="B10" s="240">
        <v>4277520.26</v>
      </c>
      <c r="C10" s="240">
        <v>2328455.2159247338</v>
      </c>
    </row>
    <row r="11" spans="1:3" x14ac:dyDescent="0.2">
      <c r="A11" t="s">
        <v>776</v>
      </c>
      <c r="B11" s="240">
        <v>236001.31</v>
      </c>
      <c r="C11" s="240">
        <v>128466.59929895226</v>
      </c>
    </row>
    <row r="12" spans="1:3" x14ac:dyDescent="0.2">
      <c r="A12" t="s">
        <v>777</v>
      </c>
      <c r="B12" s="240">
        <v>283005.08999999985</v>
      </c>
      <c r="C12" s="240">
        <v>154052.96477631378</v>
      </c>
    </row>
    <row r="13" spans="1:3" x14ac:dyDescent="0.2">
      <c r="A13" t="str">
        <f>IF(B9=B13,IF(C9=C13,"Check Total OK","Check Total Error"),"Check Total Error")</f>
        <v>Check Total OK</v>
      </c>
      <c r="B13" s="231">
        <f>SUM(B10:B12)</f>
        <v>4796526.6599999992</v>
      </c>
      <c r="C13" s="231">
        <f>SUM(C10:C12)</f>
        <v>2610974.7799999998</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2358327.16</v>
      </c>
      <c r="C18" s="229">
        <f>'DOE25'!G199+'DOE25'!G217+'DOE25'!G235+'DOE25'!G278+'DOE25'!G297+'DOE25'!G316</f>
        <v>1263191.9000000001</v>
      </c>
    </row>
    <row r="19" spans="1:3" x14ac:dyDescent="0.2">
      <c r="A19" t="s">
        <v>775</v>
      </c>
      <c r="B19" s="240">
        <v>1065330.98</v>
      </c>
      <c r="C19" s="240">
        <f>+(B19/B$22)*C$18</f>
        <v>570623.74024266505</v>
      </c>
    </row>
    <row r="20" spans="1:3" x14ac:dyDescent="0.2">
      <c r="A20" t="s">
        <v>776</v>
      </c>
      <c r="B20" s="240">
        <v>830493.94</v>
      </c>
      <c r="C20" s="240">
        <f t="shared" ref="C20:C21" si="0">+(B20/B$22)*C$18</f>
        <v>444837.86465279316</v>
      </c>
    </row>
    <row r="21" spans="1:3" x14ac:dyDescent="0.2">
      <c r="A21" t="s">
        <v>777</v>
      </c>
      <c r="B21" s="240">
        <v>462502.24000000022</v>
      </c>
      <c r="C21" s="240">
        <f t="shared" si="0"/>
        <v>247730.29510454193</v>
      </c>
    </row>
    <row r="22" spans="1:3" x14ac:dyDescent="0.2">
      <c r="A22" t="str">
        <f>IF(B18=B22,IF(C18=C22,"Check Total OK","Check Total Error"),"Check Total Error")</f>
        <v>Check Total OK</v>
      </c>
      <c r="B22" s="231">
        <f>SUM(B19:B21)</f>
        <v>2358327.16</v>
      </c>
      <c r="C22" s="231">
        <f>SUM(C19:C21)</f>
        <v>1263191.9000000001</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46944.43</v>
      </c>
      <c r="C36" s="235">
        <f>'DOE25'!G201+'DOE25'!G219+'DOE25'!G237+'DOE25'!G280+'DOE25'!G299+'DOE25'!G318</f>
        <v>25757.46</v>
      </c>
    </row>
    <row r="37" spans="1:3" x14ac:dyDescent="0.2">
      <c r="A37" t="s">
        <v>775</v>
      </c>
      <c r="B37" s="240">
        <v>43144.43</v>
      </c>
      <c r="C37" s="240">
        <f>+(B37/B$40)*C$36</f>
        <v>23672.476797519961</v>
      </c>
    </row>
    <row r="38" spans="1:3" x14ac:dyDescent="0.2">
      <c r="A38" t="s">
        <v>776</v>
      </c>
      <c r="B38" s="240">
        <v>3800</v>
      </c>
      <c r="C38" s="240">
        <f t="shared" ref="C38:C39" si="1">+(B38/B$40)*C$36</f>
        <v>2084.9832024800385</v>
      </c>
    </row>
    <row r="39" spans="1:3" x14ac:dyDescent="0.2">
      <c r="A39" t="s">
        <v>777</v>
      </c>
      <c r="B39" s="240">
        <v>0</v>
      </c>
      <c r="C39" s="240">
        <f t="shared" si="1"/>
        <v>0</v>
      </c>
    </row>
    <row r="40" spans="1:3" x14ac:dyDescent="0.2">
      <c r="A40" t="str">
        <f>IF(B36=B40,IF(C36=C40,"Check Total OK","Check Total Error"),"Check Total Error")</f>
        <v>Check Total OK</v>
      </c>
      <c r="B40" s="231">
        <f>SUM(B37:B39)</f>
        <v>46944.43</v>
      </c>
      <c r="C40" s="231">
        <f>SUM(C37:C39)</f>
        <v>25757.46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29" sqref="F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Hampstead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19226433.470000003</v>
      </c>
      <c r="D5" s="20">
        <f>SUM('DOE25'!L198:L201)+SUM('DOE25'!L216:L219)+SUM('DOE25'!L234:L237)-F5-G5-H5</f>
        <v>19065816.720000003</v>
      </c>
      <c r="E5" s="243"/>
      <c r="F5" s="244"/>
      <c r="G5" s="53">
        <f>SUM('DOE25'!J198:J201)+SUM('DOE25'!J216:J219)+SUM('DOE25'!J234:J237)</f>
        <v>144592.08000000002</v>
      </c>
      <c r="H5" s="53">
        <f>SUM('DOE25'!K198:K201)+SUM('DOE25'!K216:K219)+SUM('DOE25'!K234:K237)</f>
        <v>16024.67</v>
      </c>
      <c r="I5" s="256"/>
    </row>
    <row r="6" spans="1:9" x14ac:dyDescent="0.2">
      <c r="A6" s="32">
        <v>2100</v>
      </c>
      <c r="B6" t="s">
        <v>796</v>
      </c>
      <c r="C6" s="276">
        <f t="shared" si="0"/>
        <v>1258519.1200000001</v>
      </c>
      <c r="D6" s="20">
        <f>'DOE25'!L203+'DOE25'!L221+'DOE25'!L239-F6-G6-H6</f>
        <v>1258519.1200000001</v>
      </c>
      <c r="E6" s="243"/>
      <c r="F6" s="244"/>
      <c r="G6" s="53">
        <f>'DOE25'!J203+'DOE25'!J221+'DOE25'!J239</f>
        <v>0</v>
      </c>
      <c r="H6" s="53">
        <f>'DOE25'!K203+'DOE25'!K221+'DOE25'!K239</f>
        <v>0</v>
      </c>
      <c r="I6" s="256"/>
    </row>
    <row r="7" spans="1:9" x14ac:dyDescent="0.2">
      <c r="A7" s="32">
        <v>2200</v>
      </c>
      <c r="B7" t="s">
        <v>821</v>
      </c>
      <c r="C7" s="276">
        <f t="shared" si="0"/>
        <v>390391.91000000003</v>
      </c>
      <c r="D7" s="20">
        <f>'DOE25'!L204+'DOE25'!L222+'DOE25'!L240-F7-G7-H7</f>
        <v>389860.97000000003</v>
      </c>
      <c r="E7" s="243"/>
      <c r="F7" s="244"/>
      <c r="G7" s="53">
        <f>'DOE25'!J204+'DOE25'!J222+'DOE25'!J240</f>
        <v>530.94000000000005</v>
      </c>
      <c r="H7" s="53">
        <f>'DOE25'!K204+'DOE25'!K222+'DOE25'!K240</f>
        <v>0</v>
      </c>
      <c r="I7" s="256"/>
    </row>
    <row r="8" spans="1:9" x14ac:dyDescent="0.2">
      <c r="A8" s="32">
        <v>2300</v>
      </c>
      <c r="B8" t="s">
        <v>797</v>
      </c>
      <c r="C8" s="276">
        <f t="shared" si="0"/>
        <v>414017.18000000005</v>
      </c>
      <c r="D8" s="243"/>
      <c r="E8" s="20">
        <f>'DOE25'!L205+'DOE25'!L223+'DOE25'!L241-F8-G8-H8-D9-D11</f>
        <v>395868.94000000006</v>
      </c>
      <c r="F8" s="244"/>
      <c r="G8" s="53">
        <f>'DOE25'!J205+'DOE25'!J223+'DOE25'!J241</f>
        <v>0</v>
      </c>
      <c r="H8" s="53">
        <f>'DOE25'!K205+'DOE25'!K223+'DOE25'!K241</f>
        <v>18148.240000000002</v>
      </c>
      <c r="I8" s="256"/>
    </row>
    <row r="9" spans="1:9" ht="14.25" x14ac:dyDescent="0.2">
      <c r="A9" s="32">
        <v>2310</v>
      </c>
      <c r="B9" s="185" t="s">
        <v>890</v>
      </c>
      <c r="C9" s="276">
        <f t="shared" si="0"/>
        <v>153525.29999999999</v>
      </c>
      <c r="D9" s="244">
        <f>162525.3-9000</f>
        <v>153525.29999999999</v>
      </c>
      <c r="E9" s="243"/>
      <c r="F9" s="253"/>
      <c r="G9" s="253"/>
      <c r="H9" s="253"/>
      <c r="I9" s="256"/>
    </row>
    <row r="10" spans="1:9" ht="14.25" x14ac:dyDescent="0.2">
      <c r="A10" s="32">
        <v>2317</v>
      </c>
      <c r="B10" s="185" t="s">
        <v>891</v>
      </c>
      <c r="C10" s="276">
        <f t="shared" si="0"/>
        <v>9000</v>
      </c>
      <c r="D10" s="243"/>
      <c r="E10" s="244">
        <v>9000</v>
      </c>
      <c r="F10" s="253"/>
      <c r="G10" s="253"/>
      <c r="H10" s="253"/>
      <c r="I10" s="256"/>
    </row>
    <row r="11" spans="1:9" ht="14.25" x14ac:dyDescent="0.2">
      <c r="A11" s="32">
        <v>2321</v>
      </c>
      <c r="B11" s="185" t="s">
        <v>892</v>
      </c>
      <c r="C11" s="276">
        <f t="shared" si="0"/>
        <v>95305.29</v>
      </c>
      <c r="D11" s="244">
        <v>95305.29</v>
      </c>
      <c r="E11" s="243"/>
      <c r="F11" s="253"/>
      <c r="G11" s="253"/>
      <c r="H11" s="253"/>
      <c r="I11" s="256"/>
    </row>
    <row r="12" spans="1:9" x14ac:dyDescent="0.2">
      <c r="A12" s="32">
        <v>2400</v>
      </c>
      <c r="B12" t="s">
        <v>711</v>
      </c>
      <c r="C12" s="276">
        <f t="shared" si="0"/>
        <v>1070192.53</v>
      </c>
      <c r="D12" s="20">
        <f>'DOE25'!L206+'DOE25'!L224+'DOE25'!L242-F12-G12-H12</f>
        <v>1049255.1499999999</v>
      </c>
      <c r="E12" s="243"/>
      <c r="F12" s="244"/>
      <c r="G12" s="53">
        <f>'DOE25'!J206+'DOE25'!J224+'DOE25'!J242</f>
        <v>15097.6</v>
      </c>
      <c r="H12" s="53">
        <f>'DOE25'!K206+'DOE25'!K224+'DOE25'!K242</f>
        <v>5839.7800000000007</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1577821.29</v>
      </c>
      <c r="D14" s="20">
        <f>'DOE25'!L208+'DOE25'!L226+'DOE25'!L244-F14-G14-H14</f>
        <v>1552260.29</v>
      </c>
      <c r="E14" s="243"/>
      <c r="F14" s="244"/>
      <c r="G14" s="53">
        <f>'DOE25'!J208+'DOE25'!J226+'DOE25'!J244</f>
        <v>13396.02</v>
      </c>
      <c r="H14" s="53">
        <f>'DOE25'!K208+'DOE25'!K226+'DOE25'!K244</f>
        <v>12164.98</v>
      </c>
      <c r="I14" s="256"/>
    </row>
    <row r="15" spans="1:9" x14ac:dyDescent="0.2">
      <c r="A15" s="32">
        <v>2700</v>
      </c>
      <c r="B15" t="s">
        <v>799</v>
      </c>
      <c r="C15" s="276">
        <f t="shared" si="0"/>
        <v>867909.30747424287</v>
      </c>
      <c r="D15" s="20">
        <f>'DOE25'!L209+'DOE25'!L227+'DOE25'!L245-F15-G15-H15</f>
        <v>867909.30747424287</v>
      </c>
      <c r="E15" s="243"/>
      <c r="F15" s="244"/>
      <c r="G15" s="53">
        <f>'DOE25'!J209+'DOE25'!J227+'DOE25'!J245</f>
        <v>0</v>
      </c>
      <c r="H15" s="53">
        <f>'DOE25'!K209+'DOE25'!K227+'DOE25'!K245</f>
        <v>0</v>
      </c>
      <c r="I15" s="256"/>
    </row>
    <row r="16" spans="1:9" x14ac:dyDescent="0.2">
      <c r="A16" s="32">
        <v>2800</v>
      </c>
      <c r="B16" t="s">
        <v>800</v>
      </c>
      <c r="C16" s="276">
        <f t="shared" si="0"/>
        <v>17797.5</v>
      </c>
      <c r="D16" s="243"/>
      <c r="E16" s="20">
        <f>'DOE25'!L210+'DOE25'!L228+'DOE25'!L246-F16-G16-H16</f>
        <v>17797.5</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12889.52</v>
      </c>
      <c r="D19" s="20">
        <f>'DOE25'!L254-F19-G19-H19</f>
        <v>12889.52</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162402.97</v>
      </c>
      <c r="D22" s="243"/>
      <c r="E22" s="243"/>
      <c r="F22" s="243"/>
      <c r="G22" s="53">
        <f>'DOE25'!L256+'DOE25'!L337</f>
        <v>162402.97</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164196.32999999996</v>
      </c>
      <c r="D29" s="284">
        <f>'DOE25'!L359+'DOE25'!L360+'DOE25'!L361-'DOE25'!I368-F29-G29-H29</f>
        <v>150546.32999999996</v>
      </c>
      <c r="E29" s="243"/>
      <c r="F29" s="244"/>
      <c r="G29" s="53">
        <f>'DOE25'!J359+'DOE25'!J360+'DOE25'!J361</f>
        <v>0</v>
      </c>
      <c r="H29" s="53">
        <f>'DOE25'!K359+'DOE25'!K360+'DOE25'!K361</f>
        <v>13650</v>
      </c>
      <c r="I29" s="256"/>
    </row>
    <row r="30" spans="1:9" x14ac:dyDescent="0.2">
      <c r="A30" s="32"/>
      <c r="C30" s="277"/>
      <c r="D30" s="20"/>
      <c r="E30" s="281"/>
      <c r="F30" s="271"/>
      <c r="G30" s="53"/>
      <c r="H30" s="53"/>
      <c r="I30" s="256"/>
    </row>
    <row r="31" spans="1:9" x14ac:dyDescent="0.2">
      <c r="A31" s="32" t="s">
        <v>818</v>
      </c>
      <c r="B31" t="s">
        <v>817</v>
      </c>
      <c r="C31" s="276">
        <f>SUM(D31:I31)</f>
        <v>386699.64</v>
      </c>
      <c r="D31" s="20">
        <f>'DOE25'!L291+'DOE25'!L310+'DOE25'!L329+'DOE25'!L334+'DOE25'!L335+'DOE25'!L336-F31-G31-H31</f>
        <v>346173.4</v>
      </c>
      <c r="E31" s="243"/>
      <c r="F31" s="244"/>
      <c r="G31" s="53">
        <f>'DOE25'!J291+'DOE25'!J310+'DOE25'!J329+'DOE25'!J334+'DOE25'!J335+'DOE25'!J336</f>
        <v>40526.239999999998</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24942061.397474241</v>
      </c>
      <c r="E33" s="245">
        <f t="shared" si="1"/>
        <v>422666.44000000006</v>
      </c>
      <c r="F33" s="245">
        <f t="shared" si="1"/>
        <v>0</v>
      </c>
      <c r="G33" s="245">
        <f t="shared" si="1"/>
        <v>376545.85</v>
      </c>
      <c r="H33" s="245">
        <f t="shared" si="1"/>
        <v>65827.67</v>
      </c>
      <c r="I33" s="245">
        <f t="shared" si="1"/>
        <v>0</v>
      </c>
    </row>
    <row r="35" spans="1:9" ht="12" thickBot="1" x14ac:dyDescent="0.25">
      <c r="B35" s="251" t="s">
        <v>831</v>
      </c>
      <c r="D35" s="252">
        <f>E33</f>
        <v>422666.44000000006</v>
      </c>
      <c r="E35" s="248"/>
    </row>
    <row r="36" spans="1:9" ht="12" thickTop="1" x14ac:dyDescent="0.2">
      <c r="B36" t="s">
        <v>810</v>
      </c>
      <c r="D36" s="20">
        <f>D33</f>
        <v>24942061.397474241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28" sqref="D2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Hampstead School District</v>
      </c>
      <c r="B2" s="126">
        <f>'DOE25'!B2</f>
        <v>223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9247875.8243065365</v>
      </c>
      <c r="G4" s="303">
        <f>'DOE25'!L212+'DOE25'!L291</f>
        <v>9247875.8243065365</v>
      </c>
      <c r="H4" s="337">
        <f>F4-G4</f>
        <v>0</v>
      </c>
      <c r="I4" s="309" t="str">
        <f>IF(H4=0,"","Does not match DOE25 page 7 and 11 Totals!!")</f>
        <v/>
      </c>
      <c r="N4"/>
    </row>
    <row r="5" spans="1:18" x14ac:dyDescent="0.2">
      <c r="A5" s="21" t="s">
        <v>1092</v>
      </c>
      <c r="B5" s="304">
        <f>IFERROR(VLOOKUP(A5,'School Tables'!$C$3:$D$365,2,FALSE),"")</f>
        <v>22755</v>
      </c>
      <c r="C5" s="297" t="str">
        <f>IFERROR(INDEX('School Tables'!$B$3:$B$365,MATCH('School Level Expenditures'!B5,'School Tables'!$D$3:$D$365,0)),"")</f>
        <v>Hampstead</v>
      </c>
      <c r="D5" s="294">
        <v>9055598.8900000006</v>
      </c>
      <c r="E5" s="294">
        <v>192276.93430653616</v>
      </c>
      <c r="F5" s="312">
        <f>D5+E5</f>
        <v>9247875.8243065365</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8248470.0665010465</v>
      </c>
      <c r="G24" s="303">
        <f>'DOE25'!L230+'DOE25'!L310</f>
        <v>8248470.0665010465</v>
      </c>
      <c r="H24" s="337">
        <f>F24-G24</f>
        <v>0</v>
      </c>
      <c r="I24" s="309" t="str">
        <f>IF(H24=0,"","Does not match DOE25 page 8 and 12 Totals!!")</f>
        <v/>
      </c>
      <c r="N24"/>
    </row>
    <row r="25" spans="1:14" x14ac:dyDescent="0.2">
      <c r="A25" s="21" t="s">
        <v>1091</v>
      </c>
      <c r="B25" s="304">
        <f>IFERROR(VLOOKUP(A25,'School Tables'!$I$3:$J$80,2,FALSE),"")</f>
        <v>22750</v>
      </c>
      <c r="C25" s="297" t="str">
        <f t="array" ref="C25">IFERROR(INDEX('School Tables'!$H$3:$H$80,MATCH('School Level Expenditures'!B25,'School Tables'!$J$3:$J$80,0)),"")</f>
        <v>Hampstead</v>
      </c>
      <c r="D25" s="294">
        <v>8079034.3629349181</v>
      </c>
      <c r="E25" s="294">
        <v>169435.70356612859</v>
      </c>
      <c r="F25" s="307">
        <f>D25+E25</f>
        <v>8248470.0665010465</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7962266.6466666674</v>
      </c>
      <c r="G36" s="303">
        <f>'DOE25'!L248+'DOE25'!L329</f>
        <v>7962266.6466666674</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7962266.6466666674</v>
      </c>
      <c r="E37" s="294"/>
      <c r="F37" s="307">
        <f>D37+E37</f>
        <v>7962266.6466666674</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Hampstead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2546495.14</v>
      </c>
      <c r="D8" s="95">
        <f>'DOE25'!G9</f>
        <v>54329.85</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362330.08</v>
      </c>
      <c r="D11" s="95">
        <f>'DOE25'!G12</f>
        <v>0</v>
      </c>
      <c r="E11" s="95">
        <f>'DOE25'!H12</f>
        <v>116830</v>
      </c>
      <c r="F11" s="95">
        <f>'DOE25'!I12</f>
        <v>0</v>
      </c>
      <c r="G11" s="95">
        <f>'DOE25'!J12</f>
        <v>125000</v>
      </c>
      <c r="H11" s="124"/>
      <c r="I11" s="124"/>
    </row>
    <row r="12" spans="1:9" x14ac:dyDescent="0.2">
      <c r="A12" s="1" t="s">
        <v>143</v>
      </c>
      <c r="B12" s="6">
        <v>140</v>
      </c>
      <c r="C12" s="95">
        <f>'DOE25'!F13</f>
        <v>20583.45</v>
      </c>
      <c r="D12" s="95">
        <f>'DOE25'!G13</f>
        <v>0</v>
      </c>
      <c r="E12" s="95">
        <f>'DOE25'!H13</f>
        <v>90659.56</v>
      </c>
      <c r="F12" s="95">
        <f>'DOE25'!I13</f>
        <v>0</v>
      </c>
      <c r="G12" s="95">
        <f>'DOE25'!J13</f>
        <v>840744.89</v>
      </c>
      <c r="H12" s="124"/>
      <c r="I12" s="124"/>
    </row>
    <row r="13" spans="1:9" x14ac:dyDescent="0.2">
      <c r="A13" s="1" t="s">
        <v>144</v>
      </c>
      <c r="B13" s="6">
        <v>150</v>
      </c>
      <c r="C13" s="95">
        <f>'DOE25'!F14</f>
        <v>2269.5775257541613</v>
      </c>
      <c r="D13" s="95">
        <f>'DOE25'!G14</f>
        <v>34966.6</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18551.73</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2931678.2475257544</v>
      </c>
      <c r="D18" s="41">
        <f>SUM(D8:D17)</f>
        <v>107848.18</v>
      </c>
      <c r="E18" s="41">
        <f>SUM(E8:E17)</f>
        <v>207489.56</v>
      </c>
      <c r="F18" s="41">
        <f>SUM(F8:F17)</f>
        <v>0</v>
      </c>
      <c r="G18" s="41">
        <f>SUM(G8:G17)</f>
        <v>965744.89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209808.31</v>
      </c>
      <c r="D21" s="95">
        <f>'DOE25'!G22</f>
        <v>82075.210000000006</v>
      </c>
      <c r="E21" s="95">
        <f>'DOE25'!H22</f>
        <v>195446.56</v>
      </c>
      <c r="F21" s="95">
        <f>'DOE25'!I22</f>
        <v>0</v>
      </c>
      <c r="G21" s="95">
        <f>'DOE25'!J22</f>
        <v>0</v>
      </c>
      <c r="H21" s="124"/>
      <c r="I21" s="124"/>
    </row>
    <row r="22" spans="1:9" x14ac:dyDescent="0.2">
      <c r="A22" s="1" t="s">
        <v>151</v>
      </c>
      <c r="B22" s="6">
        <v>410</v>
      </c>
      <c r="C22" s="95">
        <f>'DOE25'!F23</f>
        <v>237061</v>
      </c>
      <c r="D22" s="95">
        <f>'DOE25'!G23</f>
        <v>0</v>
      </c>
      <c r="E22" s="95">
        <f>'DOE25'!H23</f>
        <v>0</v>
      </c>
      <c r="F22" s="95">
        <f>'DOE25'!I23</f>
        <v>0</v>
      </c>
      <c r="G22" s="95">
        <f>'DOE25'!J23</f>
        <v>0</v>
      </c>
      <c r="H22" s="124"/>
      <c r="I22" s="124"/>
    </row>
    <row r="23" spans="1:9" x14ac:dyDescent="0.2">
      <c r="A23" s="1" t="s">
        <v>152</v>
      </c>
      <c r="B23" s="6">
        <v>420</v>
      </c>
      <c r="C23" s="95">
        <f>'DOE25'!F24</f>
        <v>59504.06</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52624.68</v>
      </c>
      <c r="D28" s="95">
        <f>'DOE25'!G29</f>
        <v>0</v>
      </c>
      <c r="E28" s="95">
        <f>'DOE25'!H29</f>
        <v>0</v>
      </c>
      <c r="F28" s="95">
        <f>'DOE25'!I29</f>
        <v>0</v>
      </c>
      <c r="G28" s="24" t="s">
        <v>288</v>
      </c>
      <c r="H28" s="124"/>
      <c r="I28" s="124"/>
    </row>
    <row r="29" spans="1:9" x14ac:dyDescent="0.2">
      <c r="A29" s="1" t="s">
        <v>158</v>
      </c>
      <c r="B29" s="6">
        <v>480</v>
      </c>
      <c r="C29" s="95">
        <f>'DOE25'!F30</f>
        <v>0</v>
      </c>
      <c r="D29" s="95">
        <f>'DOE25'!G30</f>
        <v>17159.669999999998</v>
      </c>
      <c r="E29" s="95">
        <f>'DOE25'!H30</f>
        <v>0</v>
      </c>
      <c r="F29" s="95">
        <f>'DOE25'!I30</f>
        <v>0</v>
      </c>
      <c r="G29" s="24" t="s">
        <v>288</v>
      </c>
      <c r="H29" s="124"/>
      <c r="I29" s="124"/>
    </row>
    <row r="30" spans="1:9" ht="12" thickBot="1" x14ac:dyDescent="0.25">
      <c r="A30" s="1" t="s">
        <v>159</v>
      </c>
      <c r="B30" s="71">
        <v>490</v>
      </c>
      <c r="C30" s="95">
        <f>'DOE25'!F31</f>
        <v>0</v>
      </c>
      <c r="D30" s="95">
        <f>'DOE25'!G31</f>
        <v>0</v>
      </c>
      <c r="E30" s="95">
        <f>'DOE25'!H31</f>
        <v>12043</v>
      </c>
      <c r="F30" s="95">
        <f>'DOE25'!I31</f>
        <v>0</v>
      </c>
      <c r="G30" s="95">
        <f>'DOE25'!J31</f>
        <v>0</v>
      </c>
      <c r="H30" s="124"/>
      <c r="I30" s="124"/>
    </row>
    <row r="31" spans="1:9" ht="12" thickTop="1" x14ac:dyDescent="0.2">
      <c r="A31" s="38" t="s">
        <v>160</v>
      </c>
      <c r="B31" s="2"/>
      <c r="C31" s="41">
        <f>SUM(C21:C30)</f>
        <v>558998.05000000005</v>
      </c>
      <c r="D31" s="41">
        <f>SUM(D21:D30)</f>
        <v>99234.880000000005</v>
      </c>
      <c r="E31" s="41">
        <f>SUM(E21:E30)</f>
        <v>207489.56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73673.84</v>
      </c>
      <c r="D34" s="95">
        <f>'DOE25'!G35</f>
        <v>8613.2999999999993</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400000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513708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965744.89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1385298.3575257543</v>
      </c>
      <c r="D49" s="24" t="s">
        <v>288</v>
      </c>
      <c r="E49" s="24" t="s">
        <v>288</v>
      </c>
      <c r="F49" s="24" t="s">
        <v>288</v>
      </c>
      <c r="G49" s="24" t="s">
        <v>288</v>
      </c>
      <c r="H49" s="124"/>
      <c r="I49" s="124"/>
    </row>
    <row r="50" spans="1:9" ht="12.75" thickTop="1" thickBot="1" x14ac:dyDescent="0.25">
      <c r="A50" s="38" t="s">
        <v>884</v>
      </c>
      <c r="B50" s="48"/>
      <c r="C50" s="41">
        <f>SUM(C34:C49)</f>
        <v>2372680.1975257541</v>
      </c>
      <c r="D50" s="41">
        <f>SUM(D34:D49)</f>
        <v>8613.2999999999993</v>
      </c>
      <c r="E50" s="41">
        <f>SUM(E34:E49)</f>
        <v>0</v>
      </c>
      <c r="F50" s="41">
        <f>SUM(F34:F49)</f>
        <v>0</v>
      </c>
      <c r="G50" s="41">
        <f>SUM(G34:G49)</f>
        <v>965744.89</v>
      </c>
      <c r="H50" s="124"/>
      <c r="I50" s="124"/>
    </row>
    <row r="51" spans="1:9" ht="12" thickTop="1" x14ac:dyDescent="0.2">
      <c r="A51" s="38" t="s">
        <v>885</v>
      </c>
      <c r="B51" s="2"/>
      <c r="C51" s="41">
        <f>C50+C31</f>
        <v>2931678.2475257544</v>
      </c>
      <c r="D51" s="41">
        <f>D50+D31</f>
        <v>107848.18000000001</v>
      </c>
      <c r="E51" s="41">
        <f>E50+E31</f>
        <v>207489.56</v>
      </c>
      <c r="F51" s="41">
        <f>F50+F31</f>
        <v>0</v>
      </c>
      <c r="G51" s="41">
        <f>G50+G31</f>
        <v>965744.89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20548343</v>
      </c>
      <c r="D56" s="95">
        <f>'DOE25'!G60</f>
        <v>0</v>
      </c>
      <c r="E56" s="95">
        <f>'DOE25'!H60</f>
        <v>0</v>
      </c>
      <c r="F56" s="95">
        <f>'DOE25'!I60</f>
        <v>0</v>
      </c>
      <c r="G56" s="95">
        <f>'DOE25'!J60</f>
        <v>0</v>
      </c>
      <c r="H56"/>
      <c r="I56"/>
    </row>
    <row r="57" spans="1:9" x14ac:dyDescent="0.2">
      <c r="A57" s="1" t="s">
        <v>164</v>
      </c>
      <c r="B57" s="6" t="s">
        <v>165</v>
      </c>
      <c r="C57" s="95">
        <f>'DOE25'!F79</f>
        <v>150511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11770.22</v>
      </c>
      <c r="D59" s="95">
        <f>'DOE25'!G96</f>
        <v>0</v>
      </c>
      <c r="E59" s="95">
        <f>'DOE25'!H96</f>
        <v>0</v>
      </c>
      <c r="F59" s="95">
        <f>'DOE25'!I96</f>
        <v>0</v>
      </c>
      <c r="G59" s="95">
        <f>'DOE25'!J96</f>
        <v>10023.11</v>
      </c>
      <c r="H59"/>
      <c r="I59"/>
    </row>
    <row r="60" spans="1:9" x14ac:dyDescent="0.2">
      <c r="A60" s="1" t="s">
        <v>170</v>
      </c>
      <c r="B60" s="118" t="s">
        <v>171</v>
      </c>
      <c r="C60" s="24" t="s">
        <v>288</v>
      </c>
      <c r="D60" s="95">
        <f>'DOE25'!G97</f>
        <v>165886.49</v>
      </c>
      <c r="E60" s="24" t="s">
        <v>288</v>
      </c>
      <c r="F60" s="24" t="s">
        <v>288</v>
      </c>
      <c r="G60" s="24" t="s">
        <v>288</v>
      </c>
      <c r="H60"/>
      <c r="I60"/>
    </row>
    <row r="61" spans="1:9" ht="12" thickBot="1" x14ac:dyDescent="0.25">
      <c r="A61" s="1" t="s">
        <v>172</v>
      </c>
      <c r="B61" s="118" t="s">
        <v>173</v>
      </c>
      <c r="C61" s="95">
        <f>SUM('DOE25'!F98:F110)</f>
        <v>2776.33</v>
      </c>
      <c r="D61" s="95">
        <f>SUM('DOE25'!G98:G110)</f>
        <v>0</v>
      </c>
      <c r="E61" s="95">
        <f>SUM('DOE25'!H98:H110)</f>
        <v>24987</v>
      </c>
      <c r="F61" s="95">
        <f>SUM('DOE25'!I98:I110)</f>
        <v>0</v>
      </c>
      <c r="G61" s="95">
        <f>SUM('DOE25'!J98:J110)</f>
        <v>0</v>
      </c>
      <c r="H61"/>
      <c r="I61"/>
    </row>
    <row r="62" spans="1:9" ht="12.75" thickTop="1" thickBot="1" x14ac:dyDescent="0.25">
      <c r="A62" s="29" t="s">
        <v>174</v>
      </c>
      <c r="B62" s="6"/>
      <c r="C62" s="130">
        <f>SUM(C57:C61)</f>
        <v>165057.54999999999</v>
      </c>
      <c r="D62" s="130">
        <f>SUM(D57:D61)</f>
        <v>165886.49</v>
      </c>
      <c r="E62" s="130">
        <f>SUM(E57:E61)</f>
        <v>24987</v>
      </c>
      <c r="F62" s="130">
        <f>SUM(F57:F61)</f>
        <v>0</v>
      </c>
      <c r="G62" s="130">
        <f>SUM(G57:G61)</f>
        <v>10023.11</v>
      </c>
      <c r="H62"/>
      <c r="I62"/>
    </row>
    <row r="63" spans="1:9" ht="12" thickTop="1" x14ac:dyDescent="0.2">
      <c r="A63" s="29" t="s">
        <v>175</v>
      </c>
      <c r="B63" s="6"/>
      <c r="C63" s="22">
        <f>C56+C62</f>
        <v>20713400.550000001</v>
      </c>
      <c r="D63" s="22">
        <f>D56+D62</f>
        <v>165886.49</v>
      </c>
      <c r="E63" s="22">
        <f>E56+E62</f>
        <v>24987</v>
      </c>
      <c r="F63" s="22">
        <f>F56+F62</f>
        <v>0</v>
      </c>
      <c r="G63" s="22">
        <f>G56+G62</f>
        <v>10023.11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2784621.3</v>
      </c>
      <c r="D66" s="24" t="s">
        <v>288</v>
      </c>
      <c r="E66" s="24" t="s">
        <v>288</v>
      </c>
      <c r="F66" s="24" t="s">
        <v>288</v>
      </c>
      <c r="G66" s="24" t="s">
        <v>288</v>
      </c>
      <c r="H66"/>
      <c r="I66"/>
    </row>
    <row r="67" spans="1:9" x14ac:dyDescent="0.2">
      <c r="A67" s="1" t="s">
        <v>770</v>
      </c>
      <c r="B67" s="6">
        <v>3112</v>
      </c>
      <c r="C67" s="95">
        <f>'DOE25'!F118</f>
        <v>2554979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5339600.3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427351.41</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3903.32</v>
      </c>
      <c r="E77" s="95">
        <f>SUM('DOE25'!H131:H135)</f>
        <v>0</v>
      </c>
      <c r="F77" s="95">
        <f>SUM('DOE25'!I131:I135)</f>
        <v>0</v>
      </c>
      <c r="G77" s="95">
        <f>SUM('DOE25'!J131:J135)</f>
        <v>0</v>
      </c>
      <c r="H77"/>
      <c r="I77"/>
    </row>
    <row r="78" spans="1:9" ht="12.75" thickTop="1" thickBot="1" x14ac:dyDescent="0.25">
      <c r="A78" s="29" t="s">
        <v>259</v>
      </c>
      <c r="B78" s="6"/>
      <c r="C78" s="130">
        <f>SUM(C72:C77)</f>
        <v>427351.41</v>
      </c>
      <c r="D78" s="130">
        <f>SUM(D72:D77)</f>
        <v>3903.32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5766951.71</v>
      </c>
      <c r="D81" s="130">
        <f>SUM(D79:D80)+D78+D70</f>
        <v>3903.32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2067.6</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28850.55</v>
      </c>
      <c r="D88" s="341">
        <f>SUM('DOE25'!G153:G162)</f>
        <v>45397.38</v>
      </c>
      <c r="E88" s="341">
        <f>SUM('DOE25'!H153:H162)</f>
        <v>361712.64000000001</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30918.149999999998</v>
      </c>
      <c r="D91" s="131">
        <f>SUM(D85:D90)</f>
        <v>45397.38</v>
      </c>
      <c r="E91" s="131">
        <f>SUM(E85:E90)</f>
        <v>361712.64000000001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38591.56</v>
      </c>
      <c r="E96" s="95">
        <f>'DOE25'!H180</f>
        <v>0</v>
      </c>
      <c r="F96" s="95">
        <f>'DOE25'!I180</f>
        <v>0</v>
      </c>
      <c r="G96" s="95">
        <f>'DOE25'!J180</f>
        <v>125000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38591.56</v>
      </c>
      <c r="E103" s="86">
        <f>SUM(E93:E102)</f>
        <v>0</v>
      </c>
      <c r="F103" s="86">
        <f>SUM(F93:F102)</f>
        <v>0</v>
      </c>
      <c r="G103" s="86">
        <f>SUM(G93:G102)</f>
        <v>125000</v>
      </c>
    </row>
    <row r="104" spans="1:7" ht="12.75" thickTop="1" thickBot="1" x14ac:dyDescent="0.25">
      <c r="A104" s="33" t="s">
        <v>761</v>
      </c>
      <c r="C104" s="86">
        <f>C63+C81+C91+C103</f>
        <v>26511270.41</v>
      </c>
      <c r="D104" s="86">
        <f>D63+D81+D91+D103</f>
        <v>253778.75</v>
      </c>
      <c r="E104" s="86">
        <f>E63+E81+E91+E103</f>
        <v>386699.64</v>
      </c>
      <c r="F104" s="86">
        <f>F63+F81+F91+F103</f>
        <v>0</v>
      </c>
      <c r="G104" s="86">
        <f>G63+G81+G103</f>
        <v>135023.10999999999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13233351.699999999</v>
      </c>
      <c r="D109" s="24" t="s">
        <v>288</v>
      </c>
      <c r="E109" s="95">
        <f>('DOE25'!L277)+('DOE25'!L296)+('DOE25'!L315)</f>
        <v>86778.58</v>
      </c>
      <c r="F109" s="24" t="s">
        <v>288</v>
      </c>
      <c r="G109" s="24" t="s">
        <v>288</v>
      </c>
    </row>
    <row r="110" spans="1:7" x14ac:dyDescent="0.2">
      <c r="A110" t="s">
        <v>198</v>
      </c>
      <c r="B110" s="32" t="s">
        <v>199</v>
      </c>
      <c r="C110" s="95">
        <f>('DOE25'!L199)+('DOE25'!L217)+('DOE25'!L235)</f>
        <v>5901966.620000001</v>
      </c>
      <c r="D110" s="24" t="s">
        <v>288</v>
      </c>
      <c r="E110" s="95">
        <f>('DOE25'!L278)+('DOE25'!L297)+('DOE25'!L316)</f>
        <v>178051.8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91115.15</v>
      </c>
      <c r="D112" s="24" t="s">
        <v>288</v>
      </c>
      <c r="E112" s="95">
        <f>+('DOE25'!L280)+('DOE25'!L299)+('DOE25'!L318)</f>
        <v>120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12889.52</v>
      </c>
      <c r="D114" s="24" t="s">
        <v>288</v>
      </c>
      <c r="E114" s="95">
        <f>+ SUM('DOE25'!L334:L336)</f>
        <v>0</v>
      </c>
      <c r="F114" s="24" t="s">
        <v>288</v>
      </c>
      <c r="G114" s="24" t="s">
        <v>288</v>
      </c>
    </row>
    <row r="115" spans="1:7" ht="12.75" thickTop="1" thickBot="1" x14ac:dyDescent="0.25">
      <c r="A115" s="33" t="s">
        <v>205</v>
      </c>
      <c r="C115" s="86">
        <f>SUM(C109:C114)</f>
        <v>19239322.989999998</v>
      </c>
      <c r="D115" s="86">
        <f>SUM(D109:D114)</f>
        <v>0</v>
      </c>
      <c r="E115" s="86">
        <f>SUM(E109:E114)</f>
        <v>264950.38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1258519.1200000001</v>
      </c>
      <c r="D118" s="24" t="s">
        <v>288</v>
      </c>
      <c r="E118" s="95">
        <f>+('DOE25'!L282)+('DOE25'!L301)+('DOE25'!L320)</f>
        <v>92255.79</v>
      </c>
      <c r="F118" s="24" t="s">
        <v>288</v>
      </c>
      <c r="G118" s="24" t="s">
        <v>288</v>
      </c>
    </row>
    <row r="119" spans="1:7" x14ac:dyDescent="0.2">
      <c r="A119" t="s">
        <v>208</v>
      </c>
      <c r="B119" s="32" t="s">
        <v>209</v>
      </c>
      <c r="C119" s="95">
        <f>('DOE25'!L204)+('DOE25'!L222)+('DOE25'!L240)</f>
        <v>390391.91000000003</v>
      </c>
      <c r="D119" s="24" t="s">
        <v>288</v>
      </c>
      <c r="E119" s="95">
        <f>+('DOE25'!L283)+('DOE25'!L302)+('DOE25'!L321)</f>
        <v>29493.47</v>
      </c>
      <c r="F119" s="24" t="s">
        <v>288</v>
      </c>
      <c r="G119" s="24" t="s">
        <v>288</v>
      </c>
    </row>
    <row r="120" spans="1:7" x14ac:dyDescent="0.2">
      <c r="A120" t="s">
        <v>210</v>
      </c>
      <c r="B120" s="32" t="s">
        <v>211</v>
      </c>
      <c r="C120" s="95">
        <f>('DOE25'!L205)+('DOE25'!L223)+('DOE25'!L241)</f>
        <v>662847.77</v>
      </c>
      <c r="D120" s="24" t="s">
        <v>288</v>
      </c>
      <c r="E120" s="95">
        <f>+('DOE25'!L284)+('DOE25'!L303)+('DOE25'!L322)</f>
        <v>0</v>
      </c>
      <c r="F120" s="24" t="s">
        <v>288</v>
      </c>
      <c r="G120" s="24" t="s">
        <v>288</v>
      </c>
    </row>
    <row r="121" spans="1:7" x14ac:dyDescent="0.2">
      <c r="A121" t="s">
        <v>212</v>
      </c>
      <c r="B121" s="32" t="s">
        <v>213</v>
      </c>
      <c r="C121" s="95">
        <f>('DOE25'!L206)+('DOE25'!L224)+('DOE25'!L242)</f>
        <v>1070192.53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1577821.29</v>
      </c>
      <c r="D123" s="24" t="s">
        <v>288</v>
      </c>
      <c r="E123" s="95">
        <f>+('DOE25'!L287)+('DOE25'!L306)+('DOE25'!L325)</f>
        <v>0</v>
      </c>
      <c r="F123" s="24" t="s">
        <v>288</v>
      </c>
      <c r="G123" s="24" t="s">
        <v>288</v>
      </c>
    </row>
    <row r="124" spans="1:7" x14ac:dyDescent="0.2">
      <c r="A124" t="s">
        <v>218</v>
      </c>
      <c r="B124" s="32" t="s">
        <v>219</v>
      </c>
      <c r="C124" s="95">
        <f>('DOE25'!L209)+('DOE25'!L227)+('DOE25'!L245+'DOE25'!L255)</f>
        <v>867909.30747424287</v>
      </c>
      <c r="D124" s="24" t="s">
        <v>288</v>
      </c>
      <c r="E124" s="95">
        <f>+('DOE25'!L288)+('DOE25'!L307)+('DOE25'!L326)</f>
        <v>0</v>
      </c>
      <c r="F124" s="24" t="s">
        <v>288</v>
      </c>
      <c r="G124" s="24" t="s">
        <v>288</v>
      </c>
    </row>
    <row r="125" spans="1:7" x14ac:dyDescent="0.2">
      <c r="A125" t="s">
        <v>220</v>
      </c>
      <c r="B125" s="32" t="s">
        <v>221</v>
      </c>
      <c r="C125" s="95">
        <f>('DOE25'!L210)+('DOE25'!L228)+('DOE25'!L246)</f>
        <v>17797.5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253778.74999999994</v>
      </c>
      <c r="E127" s="24" t="s">
        <v>288</v>
      </c>
      <c r="F127" s="24" t="s">
        <v>288</v>
      </c>
      <c r="G127" s="24" t="s">
        <v>288</v>
      </c>
    </row>
    <row r="128" spans="1:7" ht="12.75" thickTop="1" thickBot="1" x14ac:dyDescent="0.25">
      <c r="A128" s="33" t="s">
        <v>226</v>
      </c>
      <c r="C128" s="86">
        <f>SUM(C118:C127)</f>
        <v>5845479.4274742426</v>
      </c>
      <c r="D128" s="86">
        <f>SUM(D118:D127)</f>
        <v>253778.74999999994</v>
      </c>
      <c r="E128" s="86">
        <f>SUM(E118:E127)</f>
        <v>121749.26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162402.97</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38591.56</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135023.10999999999</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-10023.109999999986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325994.53000000003</v>
      </c>
      <c r="D144" s="141">
        <f>SUM(D130:D143)</f>
        <v>0</v>
      </c>
      <c r="E144" s="141">
        <f>SUM(E130:E143)</f>
        <v>0</v>
      </c>
      <c r="F144" s="141">
        <f>SUM(F130:F143)</f>
        <v>0</v>
      </c>
      <c r="G144" s="141">
        <f>SUM(G130:G143)</f>
        <v>0</v>
      </c>
    </row>
    <row r="145" spans="1:9" ht="12.75" thickTop="1" thickBot="1" x14ac:dyDescent="0.25">
      <c r="A145" s="33" t="s">
        <v>244</v>
      </c>
      <c r="C145" s="86">
        <f>(C115+C128+C144)</f>
        <v>25410796.947474241</v>
      </c>
      <c r="D145" s="86">
        <f>(D115+D128+D144)</f>
        <v>253778.74999999994</v>
      </c>
      <c r="E145" s="86">
        <f>(E115+E128+E144)</f>
        <v>386699.64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Hampstead School District</v>
      </c>
    </row>
    <row r="3" spans="1:4" x14ac:dyDescent="0.2">
      <c r="B3" s="188" t="s">
        <v>1587</v>
      </c>
    </row>
    <row r="4" spans="1:4" x14ac:dyDescent="0.2">
      <c r="B4" t="s">
        <v>61</v>
      </c>
      <c r="C4" s="179">
        <f>IF('DOE25'!F666+'DOE25'!F671=0,0,ROUND('DOE25'!F673,0))</f>
        <v>19806</v>
      </c>
    </row>
    <row r="5" spans="1:4" x14ac:dyDescent="0.2">
      <c r="B5" t="s">
        <v>700</v>
      </c>
      <c r="C5" s="179">
        <f>IF('DOE25'!G666+'DOE25'!G671=0,0,ROUND('DOE25'!G673,0))</f>
        <v>19388</v>
      </c>
    </row>
    <row r="6" spans="1:4" x14ac:dyDescent="0.2">
      <c r="B6" t="s">
        <v>62</v>
      </c>
      <c r="C6" s="179">
        <f>IF('DOE25'!H666+'DOE25'!H671=0,0,ROUND('DOE25'!H673,0))</f>
        <v>0</v>
      </c>
    </row>
    <row r="7" spans="1:4" x14ac:dyDescent="0.2">
      <c r="B7" t="s">
        <v>701</v>
      </c>
      <c r="C7" s="179">
        <f>IF('DOE25'!I666+'DOE25'!I671=0,0,ROUND('DOE25'!I673,0))</f>
        <v>19610</v>
      </c>
    </row>
    <row r="9" spans="1:4" x14ac:dyDescent="0.2">
      <c r="A9" s="187" t="s">
        <v>94</v>
      </c>
      <c r="B9" s="188" t="s">
        <v>1588</v>
      </c>
      <c r="C9" s="181" t="s">
        <v>720</v>
      </c>
      <c r="D9" s="181" t="s">
        <v>721</v>
      </c>
    </row>
    <row r="10" spans="1:4" x14ac:dyDescent="0.2">
      <c r="A10">
        <v>1100</v>
      </c>
      <c r="B10" t="s">
        <v>702</v>
      </c>
      <c r="C10" s="179">
        <f>ROUND('DOE25'!L198+'DOE25'!L216+'DOE25'!L234+'DOE25'!L277+'DOE25'!L296+'DOE25'!L315,0)</f>
        <v>13320130</v>
      </c>
      <c r="D10" s="182">
        <f>ROUND((C10/$C$28)*100,1)</f>
        <v>52.1</v>
      </c>
    </row>
    <row r="11" spans="1:4" x14ac:dyDescent="0.2">
      <c r="A11">
        <v>1200</v>
      </c>
      <c r="B11" t="s">
        <v>703</v>
      </c>
      <c r="C11" s="179">
        <f>ROUND('DOE25'!L199+'DOE25'!L217+'DOE25'!L235+'DOE25'!L278+'DOE25'!L297+'DOE25'!L316,0)</f>
        <v>6080018</v>
      </c>
      <c r="D11" s="182">
        <f>ROUND((C11/$C$28)*100,1)</f>
        <v>23.8</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91235</v>
      </c>
      <c r="D13" s="182">
        <f>ROUND((C13/$C$28)*100,1)</f>
        <v>0.4</v>
      </c>
    </row>
    <row r="14" spans="1:4" x14ac:dyDescent="0.2">
      <c r="D14" s="182"/>
    </row>
    <row r="15" spans="1:4" x14ac:dyDescent="0.2">
      <c r="A15">
        <v>2100</v>
      </c>
      <c r="B15" t="s">
        <v>706</v>
      </c>
      <c r="C15" s="179">
        <f>ROUND('DOE25'!L203+'DOE25'!L221+'DOE25'!L239+'DOE25'!L282+'DOE25'!L301+'DOE25'!L320,0)</f>
        <v>1350775</v>
      </c>
      <c r="D15" s="182">
        <f t="shared" ref="D15:D27" si="0">ROUND((C15/$C$28)*100,1)</f>
        <v>5.3</v>
      </c>
    </row>
    <row r="16" spans="1:4" x14ac:dyDescent="0.2">
      <c r="A16">
        <v>2200</v>
      </c>
      <c r="B16" t="s">
        <v>707</v>
      </c>
      <c r="C16" s="179">
        <f>ROUND('DOE25'!L204+'DOE25'!L222+'DOE25'!L240+'DOE25'!L283+'DOE25'!L302+'DOE25'!L321,0)</f>
        <v>419885</v>
      </c>
      <c r="D16" s="182">
        <f t="shared" si="0"/>
        <v>1.6</v>
      </c>
    </row>
    <row r="17" spans="1:4" x14ac:dyDescent="0.2">
      <c r="A17" s="183" t="s">
        <v>723</v>
      </c>
      <c r="B17" t="s">
        <v>738</v>
      </c>
      <c r="C17" s="179">
        <f>ROUND('DOE25'!L205+'DOE25'!L210+'DOE25'!L223+'DOE25'!L228+'DOE25'!L241+'DOE25'!L246+'DOE25'!L284+'DOE25'!L289+'DOE25'!L303+'DOE25'!L308+'DOE25'!L322+'DOE25'!L327,0)</f>
        <v>680645</v>
      </c>
      <c r="D17" s="182">
        <f t="shared" si="0"/>
        <v>2.7</v>
      </c>
    </row>
    <row r="18" spans="1:4" x14ac:dyDescent="0.2">
      <c r="A18">
        <v>2400</v>
      </c>
      <c r="B18" t="s">
        <v>711</v>
      </c>
      <c r="C18" s="179">
        <f>ROUND('DOE25'!L206+'DOE25'!L224+'DOE25'!L242+'DOE25'!L285+'DOE25'!L304+'DOE25'!L323,0)</f>
        <v>1070193</v>
      </c>
      <c r="D18" s="182">
        <f t="shared" si="0"/>
        <v>4.2</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1577821</v>
      </c>
      <c r="D20" s="182">
        <f t="shared" si="0"/>
        <v>6.2</v>
      </c>
    </row>
    <row r="21" spans="1:4" x14ac:dyDescent="0.2">
      <c r="A21">
        <v>2700</v>
      </c>
      <c r="B21" t="s">
        <v>710</v>
      </c>
      <c r="C21" s="179">
        <f>ROUND('DOE25'!L209+'DOE25'!L227+'DOE25'!L245+'DOE25'!L288+'DOE25'!L307+'DOE25'!L326,0)</f>
        <v>867909</v>
      </c>
      <c r="D21" s="182">
        <f t="shared" si="0"/>
        <v>3.4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12890</v>
      </c>
      <c r="D24" s="182">
        <f t="shared" si="0"/>
        <v>0.1</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87892.510000000009</v>
      </c>
      <c r="D27" s="182">
        <f t="shared" si="0"/>
        <v>0.3</v>
      </c>
    </row>
    <row r="28" spans="1:4" x14ac:dyDescent="0.2">
      <c r="B28" s="187" t="s">
        <v>719</v>
      </c>
      <c r="C28" s="180">
        <f>SUM(C10:C27)</f>
        <v>25559393.510000002</v>
      </c>
      <c r="D28" s="184">
        <f>ROUND(SUM(D10:D27),0)</f>
        <v>100</v>
      </c>
    </row>
    <row r="29" spans="1:4" x14ac:dyDescent="0.2">
      <c r="A29">
        <v>4000</v>
      </c>
      <c r="B29" t="s">
        <v>724</v>
      </c>
      <c r="C29" s="179">
        <f>ROUND('DOE25'!L256+'DOE25'!L337+'DOE25'!L375+'DOE25'!L376+'DOE25'!L377+'DOE25'!L378+'DOE25'!L379+'DOE25'!L380+'DOE25'!L381,0)</f>
        <v>162403</v>
      </c>
    </row>
    <row r="30" spans="1:4" x14ac:dyDescent="0.2">
      <c r="B30" s="187" t="s">
        <v>725</v>
      </c>
      <c r="C30" s="180">
        <f>SUM(C28:C29)</f>
        <v>25721796.510000002</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20548343</v>
      </c>
      <c r="D35" s="182">
        <f t="shared" ref="D35:D40" si="1">ROUND((C35/$C$41)*100,1)</f>
        <v>76.2</v>
      </c>
    </row>
    <row r="36" spans="1:4" x14ac:dyDescent="0.2">
      <c r="B36" s="185" t="s">
        <v>739</v>
      </c>
      <c r="C36" s="179">
        <f>SUM('DOE25'!F112:J112)-SUM('DOE25'!G97:G110)+('DOE25'!F175+'DOE25'!F176+'DOE25'!I175+'DOE25'!I176)-C35</f>
        <v>200067.66000000015</v>
      </c>
      <c r="D36" s="182">
        <f t="shared" si="1"/>
        <v>0.7</v>
      </c>
    </row>
    <row r="37" spans="1:4" x14ac:dyDescent="0.2">
      <c r="A37" s="183" t="s">
        <v>835</v>
      </c>
      <c r="B37" s="185" t="s">
        <v>728</v>
      </c>
      <c r="C37" s="179">
        <f>ROUND('DOE25'!F117+'DOE25'!F118,0)</f>
        <v>5339600</v>
      </c>
      <c r="D37" s="182">
        <f t="shared" si="1"/>
        <v>19.8</v>
      </c>
    </row>
    <row r="38" spans="1:4" x14ac:dyDescent="0.2">
      <c r="A38" s="183" t="s">
        <v>734</v>
      </c>
      <c r="B38" s="185" t="s">
        <v>729</v>
      </c>
      <c r="C38" s="179">
        <f>ROUND(SUM('DOE25'!F140:J140)-SUM('DOE25'!F117:F119),0)</f>
        <v>431255</v>
      </c>
      <c r="D38" s="182">
        <f t="shared" si="1"/>
        <v>1.6</v>
      </c>
    </row>
    <row r="39" spans="1:4" x14ac:dyDescent="0.2">
      <c r="A39">
        <v>4000</v>
      </c>
      <c r="B39" s="185" t="s">
        <v>730</v>
      </c>
      <c r="C39" s="179">
        <f>ROUND('DOE25'!F170+'DOE25'!G170+'DOE25'!H170+'DOE25'!I170,0)</f>
        <v>438028</v>
      </c>
      <c r="D39" s="182">
        <f t="shared" si="1"/>
        <v>1.6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26957293.66</v>
      </c>
      <c r="D41" s="184">
        <f>SUM(D35:D40)</f>
        <v>99.899999999999991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5" sqref="C5:M5"/>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Hampstead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t="s">
        <v>1643</v>
      </c>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2020-11-06T13:11:27Z</cp:lastPrinted>
  <dcterms:created xsi:type="dcterms:W3CDTF">1997-12-04T19:04:30Z</dcterms:created>
  <dcterms:modified xsi:type="dcterms:W3CDTF">2020-12-15T16:17:01Z</dcterms:modified>
</cp:coreProperties>
</file>