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6" i="1" l="1"/>
  <c r="G22" i="1"/>
  <c r="F50" i="1"/>
  <c r="F12" i="1"/>
  <c r="D7" i="14" l="1"/>
  <c r="D6" i="14"/>
  <c r="D5" i="14"/>
  <c r="E7" i="14"/>
  <c r="E6" i="14"/>
  <c r="E5" i="14"/>
  <c r="H283" i="1" l="1"/>
  <c r="I466" i="1"/>
  <c r="I31" i="1"/>
  <c r="F43" i="1"/>
  <c r="G473" i="1" l="1"/>
  <c r="G158" i="1" l="1"/>
  <c r="B12" i="12"/>
  <c r="B21" i="12"/>
  <c r="B20" i="12"/>
  <c r="B19" i="12"/>
  <c r="B11" i="12"/>
  <c r="J522" i="1" l="1"/>
  <c r="I522" i="1"/>
  <c r="H522" i="1"/>
  <c r="G522" i="1"/>
  <c r="F522" i="1"/>
  <c r="K522" i="1"/>
  <c r="G206" i="1" l="1"/>
  <c r="G204" i="1"/>
  <c r="F532" i="1"/>
  <c r="F503" i="1" l="1"/>
  <c r="F499" i="1"/>
  <c r="F50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0" i="14"/>
  <c r="C11" i="14"/>
  <c r="C12" i="14"/>
  <c r="C13" i="14"/>
  <c r="C14" i="14"/>
  <c r="C15" i="14"/>
  <c r="C16" i="14"/>
  <c r="C17" i="14"/>
  <c r="C18" i="14"/>
  <c r="C19" i="14"/>
  <c r="C20" i="14"/>
  <c r="B6" i="14"/>
  <c r="C6" i="14" s="1"/>
  <c r="B7" i="14"/>
  <c r="C7" i="14" s="1"/>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C112" i="2"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E119" i="2"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32" i="10" s="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56" i="2" s="1"/>
  <c r="F79" i="1"/>
  <c r="C57" i="2" s="1"/>
  <c r="F94" i="1"/>
  <c r="F111" i="1"/>
  <c r="G111" i="1"/>
  <c r="H79" i="1"/>
  <c r="H112" i="1" s="1"/>
  <c r="H94" i="1"/>
  <c r="H111" i="1"/>
  <c r="I111" i="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A40" i="12"/>
  <c r="G62" i="2"/>
  <c r="J572" i="1"/>
  <c r="I170" i="1"/>
  <c r="G339" i="1"/>
  <c r="G353" i="1" s="1"/>
  <c r="J140" i="1"/>
  <c r="H140" i="1"/>
  <c r="H477" i="1" l="1"/>
  <c r="H625" i="1" s="1"/>
  <c r="G553" i="1"/>
  <c r="D50" i="2"/>
  <c r="L402" i="1"/>
  <c r="C139" i="2" s="1"/>
  <c r="I112" i="1"/>
  <c r="K339" i="1"/>
  <c r="K353" i="1" s="1"/>
  <c r="G662" i="1"/>
  <c r="C131" i="2"/>
  <c r="C121" i="2"/>
  <c r="C13" i="10"/>
  <c r="C20" i="10"/>
  <c r="C120" i="2"/>
  <c r="C11" i="10"/>
  <c r="F339" i="1"/>
  <c r="F353" i="1" s="1"/>
  <c r="J642" i="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F144" i="2" s="1"/>
  <c r="F145" i="2" s="1"/>
  <c r="G170" i="1"/>
  <c r="B12" i="16" s="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0" i="1"/>
  <c r="D103" i="2"/>
  <c r="I140" i="1"/>
  <c r="A22" i="12"/>
  <c r="G50" i="2"/>
  <c r="J653" i="1"/>
  <c r="G572" i="1"/>
  <c r="I435" i="1"/>
  <c r="G435" i="1"/>
  <c r="I664" i="1"/>
  <c r="D51" i="2" l="1"/>
  <c r="E51" i="2"/>
  <c r="H665" i="1"/>
  <c r="H668" i="1" s="1"/>
  <c r="C141" i="2"/>
  <c r="C144" i="2" s="1"/>
  <c r="F661" i="1"/>
  <c r="F665" i="1" s="1"/>
  <c r="F668" i="1" s="1"/>
  <c r="H649" i="1"/>
  <c r="E145" i="2"/>
  <c r="F194" i="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D28" i="10"/>
  <c r="D37" i="10"/>
  <c r="D36" i="10"/>
  <c r="D35" i="10"/>
  <c r="D40" i="10"/>
  <c r="D39" i="10"/>
  <c r="D41" i="10" l="1"/>
  <c r="F51" i="1"/>
  <c r="F52" i="1" s="1"/>
  <c r="H618" i="1" s="1"/>
  <c r="J618" i="1" s="1"/>
  <c r="C49" i="2"/>
  <c r="C50" i="2"/>
  <c r="C51" i="2" s="1"/>
  <c r="G623" i="1" l="1"/>
  <c r="H657" i="1" l="1"/>
  <c r="J623"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<sst xmlns="http://schemas.openxmlformats.org/spreadsheetml/2006/main" count="5548" uniqueCount="1645">
  <si>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</si>
  <si>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</si>
  <si>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</si>
  <si>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</si>
  <si>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</si>
  <si>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</si>
  <si>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</si>
  <si>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</si>
  <si>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</si>
  <si>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</si>
  <si>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</si>
  <si>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</si>
  <si>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</si>
  <si>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</si>
  <si>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</si>
  <si>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</si>
  <si>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</si>
  <si>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</si>
  <si>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</si>
  <si>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</si>
  <si>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</si>
  <si>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</si>
  <si>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</si>
  <si>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</si>
  <si>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</si>
  <si>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</si>
  <si>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</si>
  <si>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</si>
  <si>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</si>
  <si>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</si>
  <si>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</si>
  <si>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</si>
  <si>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</si>
  <si>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</si>
  <si>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</si>
  <si>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</si>
  <si>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</si>
  <si>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</si>
  <si>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</si>
  <si>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</si>
  <si>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</si>
  <si>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</si>
  <si>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</si>
  <si>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</si>
  <si>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</si>
  <si>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</si>
  <si>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</si>
  <si>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</si>
  <si>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</si>
  <si>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</si>
  <si>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</si>
  <si>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</si>
  <si>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</si>
  <si>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</si>
  <si>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</si>
  <si>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</si>
  <si>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</si>
  <si>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</si>
  <si>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</si>
  <si>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</si>
  <si>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</si>
  <si>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</si>
  <si>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</si>
  <si>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</si>
  <si>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</si>
  <si>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</si>
  <si>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</si>
  <si>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</si>
  <si>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</si>
  <si>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</si>
  <si>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</si>
  <si>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</si>
  <si>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</si>
  <si>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</si>
  <si>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</si>
  <si>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</si>
  <si>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</si>
  <si>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</si>
  <si>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</si>
  <si>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</si>
  <si>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</si>
  <si>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</si>
  <si>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</si>
  <si>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</si>
  <si>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</si>
  <si>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</si>
  <si>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</si>
  <si>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</si>
  <si>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</si>
  <si>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</si>
  <si>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</si>
  <si>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</si>
  <si>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</si>
  <si>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</si>
  <si>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</si>
  <si>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</si>
  <si>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</si>
  <si>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</si>
  <si>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</si>
  <si>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</si>
  <si>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</si>
  <si>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</si>
  <si>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</si>
  <si>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</si>
  <si>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</si>
  <si>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</si>
  <si>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</si>
  <si>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</si>
  <si>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</si>
  <si>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</si>
  <si>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</si>
  <si>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</si>
  <si>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</si>
  <si>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</si>
  <si>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</si>
  <si>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</si>
  <si>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</si>
  <si>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</si>
  <si>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</si>
  <si>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</si>
  <si>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</si>
  <si>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</si>
  <si>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</si>
  <si>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</si>
  <si>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</si>
  <si>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</si>
  <si>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</si>
  <si>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</si>
  <si>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</si>
  <si>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</si>
  <si>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</si>
  <si>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</si>
  <si>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</si>
  <si>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</si>
  <si>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</si>
  <si>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</si>
  <si>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</si>
  <si>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</si>
  <si>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</si>
  <si>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</si>
  <si>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</si>
  <si>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</si>
  <si>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</si>
  <si>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</si>
  <si>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</si>
  <si>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</si>
  <si>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</si>
  <si>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</si>
  <si>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</si>
  <si>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</si>
  <si>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</si>
  <si>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</si>
  <si>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</si>
  <si>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</si>
  <si>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</si>
  <si>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</si>
  <si>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</si>
  <si>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</si>
  <si>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</si>
  <si>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</si>
  <si>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</si>
  <si>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</si>
  <si>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</si>
  <si>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</si>
  <si>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</si>
  <si>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</si>
  <si>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</si>
  <si>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</si>
  <si>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</si>
  <si>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</si>
  <si>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</si>
  <si>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</si>
  <si>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</si>
  <si>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</si>
  <si>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</si>
  <si>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</si>
  <si>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</si>
  <si>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</si>
  <si>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</si>
  <si>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</si>
  <si>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</si>
  <si>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</si>
  <si>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</si>
  <si>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</si>
  <si>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</si>
  <si>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</si>
  <si>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</si>
  <si>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</si>
  <si>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</si>
  <si>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</si>
  <si>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</si>
  <si>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</si>
  <si>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</si>
  <si>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</si>
  <si>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</si>
  <si>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</si>
  <si>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</si>
  <si>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</si>
  <si>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</si>
  <si>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</si>
  <si>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</si>
  <si>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</si>
  <si>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</si>
  <si>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</si>
  <si>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</si>
  <si>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</si>
  <si>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</si>
  <si>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</si>
  <si>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</si>
  <si>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</si>
  <si>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</si>
  <si>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</si>
  <si>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</si>
  <si>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</si>
  <si>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</si>
  <si>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</si>
  <si>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</si>
  <si>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</si>
  <si>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</si>
  <si>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</si>
  <si>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</si>
  <si>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</si>
  <si>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</si>
  <si>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</si>
  <si>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</si>
  <si>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</si>
  <si>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</si>
  <si>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</si>
  <si>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</si>
  <si>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</si>
  <si>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</si>
  <si>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</si>
  <si>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</si>
  <si>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</si>
  <si>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</si>
  <si>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</si>
  <si>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</si>
  <si>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</si>
  <si>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</si>
  <si>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</si>
  <si>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</si>
  <si>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</si>
  <si>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</si>
  <si>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</si>
  <si>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</si>
  <si>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</si>
  <si>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</si>
  <si>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</si>
  <si>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</si>
  <si>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</si>
  <si>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</si>
  <si>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</si>
  <si>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</si>
  <si>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</si>
  <si>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</si>
  <si>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</si>
  <si>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</si>
  <si>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</si>
  <si>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</si>
  <si>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</si>
  <si>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</si>
  <si>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</si>
  <si>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</si>
  <si>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</si>
  <si>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</si>
  <si>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</si>
  <si>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</si>
  <si>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</si>
  <si>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</si>
  <si>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</si>
  <si>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</si>
  <si>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</si>
  <si>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</si>
  <si>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</si>
  <si>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</si>
  <si>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</si>
  <si>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</si>
  <si>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</si>
  <si>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</si>
  <si>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</si>
  <si>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</si>
  <si>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</si>
  <si>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</si>
  <si>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</si>
  <si>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</si>
  <si>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</si>
  <si>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</si>
  <si>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</si>
  <si>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</si>
  <si>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</si>
  <si>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</si>
  <si>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</si>
  <si>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</si>
  <si>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</si>
  <si>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</si>
  <si>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</si>
  <si>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</si>
  <si>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</si>
  <si>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</si>
  <si>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</si>
  <si>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</si>
  <si>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</si>
  <si>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</si>
  <si>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</si>
  <si>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</si>
  <si>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</si>
  <si>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</si>
  <si>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</si>
  <si>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</si>
  <si>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</si>
  <si>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</si>
  <si>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</si>
  <si>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</si>
  <si>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</si>
  <si>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</si>
  <si>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</si>
  <si>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</si>
  <si>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</si>
  <si>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</si>
  <si>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</si>
  <si>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</si>
  <si>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</si>
  <si>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</si>
  <si>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</si>
  <si>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</si>
  <si>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</si>
  <si>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</si>
  <si>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</si>
  <si>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</si>
  <si>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</si>
  <si>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</si>
  <si>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</si>
  <si>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</si>
  <si>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</si>
  <si>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</si>
  <si>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</si>
  <si>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</si>
  <si>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</si>
  <si>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</si>
  <si>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</si>
  <si>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</si>
  <si>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</si>
  <si>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</si>
  <si>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</si>
  <si>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</si>
  <si>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</si>
  <si>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</si>
  <si>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</si>
  <si>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</si>
  <si>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</si>
  <si>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</si>
  <si>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</si>
  <si>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</si>
  <si>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</si>
  <si>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</si>
  <si>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</si>
  <si>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</si>
  <si>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</si>
  <si>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</si>
  <si>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</si>
  <si>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</si>
  <si>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</si>
  <si>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</si>
  <si>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</si>
  <si>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</si>
  <si>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</si>
  <si>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</si>
  <si>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</si>
  <si>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</si>
  <si>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</si>
  <si>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</si>
  <si>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</si>
  <si>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</si>
  <si>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</si>
  <si>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</si>
  <si>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</si>
  <si>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</si>
  <si>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</si>
  <si>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</si>
  <si>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</si>
  <si>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</si>
  <si>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</si>
  <si>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</si>
  <si>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</si>
  <si>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</si>
  <si>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</si>
  <si>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</si>
  <si>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</si>
  <si>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</si>
  <si>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</si>
  <si>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</si>
  <si>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</si>
  <si>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</si>
  <si>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</si>
  <si>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</si>
  <si>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</si>
  <si>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</si>
  <si>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</si>
  <si>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</si>
  <si>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</si>
  <si>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</si>
  <si>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</si>
  <si>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</si>
  <si>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</si>
  <si>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</si>
  <si>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</si>
  <si>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</si>
  <si>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</si>
  <si>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</si>
  <si>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</si>
  <si>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</si>
  <si>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</si>
  <si>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</si>
  <si>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</si>
  <si>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</si>
  <si>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</si>
  <si>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</si>
  <si>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</si>
  <si>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</si>
  <si>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</si>
  <si>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</si>
  <si>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</si>
  <si>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</si>
  <si>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</si>
  <si>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</si>
  <si>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</si>
  <si>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</si>
  <si>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</si>
  <si>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</si>
  <si>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</si>
  <si>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</si>
  <si>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</si>
  <si>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</si>
  <si>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</si>
  <si>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</si>
  <si>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</si>
  <si>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</si>
  <si>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</si>
  <si>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</si>
  <si>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</si>
  <si>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</si>
  <si>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</si>
  <si>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</si>
  <si>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</si>
  <si>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</si>
  <si>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</si>
  <si>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</si>
  <si>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</si>
  <si>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</si>
  <si>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</si>
  <si>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</si>
  <si>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</si>
  <si>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</si>
  <si>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</si>
  <si>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</si>
  <si>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</si>
  <si>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</si>
  <si>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</si>
  <si>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</si>
  <si>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</si>
  <si>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</si>
  <si>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</si>
  <si>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</si>
  <si>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</si>
  <si>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</si>
  <si>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</si>
  <si>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</si>
  <si>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</si>
  <si>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</si>
  <si>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</si>
  <si>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</si>
  <si>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</si>
  <si>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</si>
  <si>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</si>
  <si>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</si>
  <si>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</si>
  <si>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</si>
  <si>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</si>
  <si>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</si>
  <si>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</si>
  <si>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</si>
  <si>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</si>
  <si>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</si>
  <si>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</si>
  <si>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</si>
  <si>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</si>
  <si>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</si>
  <si>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</si>
  <si>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</si>
  <si>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</si>
  <si>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</si>
  <si>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</si>
  <si>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</si>
  <si>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</si>
  <si>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</si>
  <si>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</si>
  <si>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</si>
  <si>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</si>
  <si>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</si>
  <si>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</si>
  <si>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</si>
  <si>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</si>
  <si>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</si>
  <si>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</si>
  <si>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</si>
  <si>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</si>
  <si>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</si>
  <si>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</si>
  <si>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</si>
  <si>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</si>
  <si>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</si>
  <si>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</si>
  <si>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</si>
  <si>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</si>
  <si>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</si>
  <si>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</si>
  <si>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</si>
  <si>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</si>
  <si>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</si>
  <si>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</si>
  <si>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</si>
  <si>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</si>
  <si>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</si>
  <si>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</si>
  <si>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</si>
  <si>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</si>
  <si>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</si>
  <si>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</si>
  <si>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</si>
  <si>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</si>
  <si>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</si>
  <si>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</si>
  <si>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</si>
  <si>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</si>
  <si>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</si>
  <si>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</si>
  <si>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</si>
  <si>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</si>
  <si>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</si>
  <si>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</si>
  <si>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</si>
  <si>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</si>
  <si>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</si>
  <si>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</si>
  <si>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</si>
  <si>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</si>
  <si>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</si>
  <si>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</si>
  <si>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</si>
  <si>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</si>
  <si>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</si>
  <si>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</si>
  <si>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</si>
  <si>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</si>
  <si>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</si>
  <si>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</si>
  <si>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</si>
  <si>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</si>
  <si>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</si>
  <si>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</si>
  <si>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</si>
  <si>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</si>
  <si>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</si>
  <si>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</si>
  <si>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</si>
  <si>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</si>
  <si>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</si>
  <si>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</si>
  <si>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</si>
  <si>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</si>
  <si>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</si>
  <si>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</si>
  <si>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</si>
  <si>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</si>
  <si>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</si>
  <si>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</si>
  <si>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</si>
  <si>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</si>
  <si>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</si>
  <si>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</si>
  <si>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</si>
  <si>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</si>
  <si>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</si>
  <si>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</si>
  <si>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</si>
  <si>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</si>
  <si>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</si>
  <si>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</si>
  <si>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</si>
  <si>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</si>
  <si>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</si>
  <si>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</si>
  <si>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</si>
  <si>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</si>
  <si>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</si>
  <si>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</si>
  <si>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</si>
  <si>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</si>
  <si>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</si>
  <si>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</si>
  <si>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</si>
  <si>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</si>
  <si>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</si>
  <si>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</si>
  <si>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</si>
  <si>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</si>
  <si>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</si>
  <si>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</si>
  <si>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</si>
  <si>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</si>
  <si>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</si>
  <si>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</si>
  <si>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</si>
  <si>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</si>
  <si>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</si>
  <si>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</si>
  <si>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</si>
  <si>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</si>
  <si>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</si>
  <si>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</si>
  <si>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</si>
  <si>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</si>
  <si>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</si>
  <si>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</si>
  <si>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</si>
  <si>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</si>
  <si>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</si>
  <si>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</si>
  <si>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</si>
  <si>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</si>
  <si>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</si>
  <si>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</si>
  <si>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</si>
  <si>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</si>
  <si>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</si>
  <si>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</si>
  <si>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</si>
  <si>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</si>
  <si>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</si>
  <si>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</si>
  <si>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</si>
  <si>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</si>
  <si>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</si>
  <si>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</si>
  <si>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</si>
  <si>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</si>
  <si>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</si>
  <si>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</si>
  <si>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</si>
  <si>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</si>
  <si>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</si>
  <si>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</si>
  <si>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</si>
  <si>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</si>
  <si>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</si>
  <si>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</si>
  <si>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</si>
  <si>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</si>
  <si>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</si>
  <si>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</si>
  <si>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</si>
  <si>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</si>
  <si>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</si>
  <si>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</si>
  <si>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</si>
  <si>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</si>
  <si>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</si>
  <si>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</si>
  <si>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</si>
  <si>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</si>
  <si>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</si>
  <si>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</si>
  <si>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</si>
  <si>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</si>
  <si>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</si>
  <si>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</si>
  <si>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</si>
  <si>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</si>
  <si>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</si>
  <si>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</si>
  <si>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</si>
  <si>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</si>
  <si>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</si>
  <si>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</si>
  <si>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</si>
  <si>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</si>
  <si>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</si>
  <si>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</si>
  <si>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</si>
  <si>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</si>
  <si>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</si>
  <si>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</si>
  <si>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</si>
  <si>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</si>
  <si>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</si>
  <si>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</si>
  <si>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</si>
  <si>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</si>
  <si>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</si>
  <si>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</si>
  <si>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</si>
  <si>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</si>
  <si>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</si>
  <si>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</si>
  <si>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</si>
  <si>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</si>
  <si>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</si>
  <si>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</si>
  <si>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</si>
  <si>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</si>
  <si>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</si>
  <si>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</si>
  <si>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</si>
  <si>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</si>
  <si>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</si>
  <si>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</si>
  <si>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</si>
  <si>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</si>
  <si>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</si>
  <si>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</si>
  <si>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</si>
  <si>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</si>
  <si>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</si>
  <si>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</si>
  <si>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</si>
  <si>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</si>
  <si>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</si>
  <si>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</si>
  <si>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</si>
  <si>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</si>
  <si>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</si>
  <si>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</si>
  <si>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</si>
  <si>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</si>
  <si>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</si>
  <si>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</si>
  <si>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</si>
  <si>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</si>
  <si>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</si>
  <si>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</si>
  <si>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</si>
  <si>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</si>
  <si>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</si>
  <si>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</si>
  <si>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</si>
  <si>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</si>
  <si>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</si>
  <si>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</si>
  <si>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</si>
  <si>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</si>
  <si>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</si>
  <si>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</si>
  <si>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</si>
  <si>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</si>
  <si>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</si>
  <si>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</si>
  <si>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</si>
  <si>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</si>
  <si>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</si>
  <si>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</si>
  <si>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</si>
  <si>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</si>
  <si>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</si>
  <si>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</si>
  <si>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</si>
  <si>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</si>
  <si>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</si>
  <si>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</si>
  <si>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</si>
  <si>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</si>
  <si>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</si>
  <si>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</si>
  <si>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</si>
  <si>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</si>
  <si>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</si>
  <si>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</si>
  <si>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</si>
  <si>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</si>
  <si>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</si>
  <si>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</si>
  <si>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</si>
  <si>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</si>
  <si>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</si>
  <si>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</si>
  <si>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</si>
  <si>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</si>
  <si>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</si>
  <si>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</si>
  <si>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</si>
  <si>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</si>
  <si>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</si>
  <si>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</si>
  <si>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</si>
  <si>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</si>
  <si>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</si>
  <si>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</si>
  <si>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</si>
  <si>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</si>
  <si>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</si>
  <si>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</si>
  <si>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</si>
  <si>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</si>
  <si>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</si>
  <si>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</si>
  <si>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</si>
  <si>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</si>
  <si>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</si>
  <si>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</si>
  <si>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</si>
  <si>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</si>
  <si>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</si>
  <si>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</si>
  <si>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</si>
  <si>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</si>
  <si>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</si>
  <si>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</si>
  <si>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</si>
  <si>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</si>
  <si>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</si>
  <si>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</si>
  <si>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</si>
  <si>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</si>
  <si>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</si>
  <si>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</si>
  <si>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</si>
  <si>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</si>
  <si>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</si>
  <si>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</si>
  <si>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</si>
  <si>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</si>
  <si>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</si>
  <si>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</si>
  <si>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</si>
  <si>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</si>
  <si>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</si>
  <si>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</si>
  <si>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</si>
  <si>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</si>
  <si>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</si>
  <si>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</si>
  <si>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</si>
  <si>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</si>
  <si>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</si>
  <si>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</si>
  <si>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</si>
  <si>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</si>
  <si>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</si>
  <si>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</si>
  <si>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</si>
  <si>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</si>
  <si>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</si>
  <si>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</si>
  <si>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</si>
  <si>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</si>
  <si>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</si>
  <si>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</si>
  <si>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</si>
  <si>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</si>
  <si>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</si>
  <si>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</si>
  <si>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</si>
  <si>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</si>
  <si>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</si>
  <si>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</si>
  <si>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</si>
  <si>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</si>
  <si>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</si>
  <si>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</si>
  <si>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</si>
  <si>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</si>
  <si>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</si>
  <si>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</si>
  <si>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</si>
  <si>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</si>
  <si>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</si>
  <si>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</si>
  <si>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</si>
  <si>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</si>
  <si>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</si>
  <si>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</si>
  <si>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</si>
  <si>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</si>
  <si>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</si>
  <si>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</si>
  <si>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</si>
  <si>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</si>
  <si>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</si>
  <si>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</si>
  <si>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</si>
  <si>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</si>
  <si>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</si>
  <si>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</si>
  <si>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</si>
  <si>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</si>
  <si>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</si>
  <si>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</si>
  <si>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</si>
  <si>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</si>
  <si>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</si>
  <si>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</si>
  <si>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</si>
  <si>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</si>
  <si>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</si>
  <si>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</si>
  <si>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</si>
  <si>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</si>
  <si>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</si>
  <si>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</si>
  <si>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</si>
  <si>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</si>
  <si>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</si>
  <si>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</si>
  <si>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</si>
  <si>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</si>
  <si>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</si>
  <si>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</si>
  <si>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</si>
  <si>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</si>
  <si>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</si>
  <si>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</si>
  <si>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</si>
  <si>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</si>
  <si>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</si>
  <si>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</si>
  <si>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</si>
  <si>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</si>
  <si>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</si>
  <si>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</si>
  <si>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</si>
  <si>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</si>
  <si>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</si>
  <si>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</si>
  <si>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</si>
  <si>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</si>
  <si>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</si>
  <si>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</si>
  <si>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</si>
  <si>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</si>
  <si>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</si>
  <si>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</si>
  <si>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</si>
  <si>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</si>
  <si>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</si>
  <si>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</si>
  <si>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</si>
  <si>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</si>
  <si>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</si>
  <si>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</si>
  <si>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</si>
  <si>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</si>
  <si>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</si>
  <si>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</si>
  <si>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</si>
  <si>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</si>
  <si>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</si>
  <si>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</si>
  <si>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</si>
  <si>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</si>
  <si>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</si>
  <si>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</si>
  <si>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</si>
  <si>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</si>
  <si>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</si>
  <si>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</si>
  <si>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</si>
  <si>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</si>
  <si>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</si>
  <si>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</si>
  <si>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</si>
  <si>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</si>
  <si>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</si>
  <si>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</si>
  <si>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</si>
  <si>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</si>
  <si>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</si>
  <si>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</si>
  <si>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</si>
  <si>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</si>
  <si>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</si>
  <si>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</si>
  <si>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</si>
  <si>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</si>
  <si>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</si>
  <si>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</si>
  <si>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</si>
  <si>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</si>
  <si>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</si>
  <si>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</si>
  <si>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</si>
  <si>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</si>
  <si>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</si>
  <si>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</si>
  <si>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</si>
  <si>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</si>
  <si>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</si>
  <si>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</si>
  <si>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</si>
  <si>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</si>
  <si>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</si>
  <si>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</si>
  <si>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</si>
  <si>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</si>
  <si>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</si>
  <si>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</si>
  <si>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</si>
  <si>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</si>
  <si>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</si>
  <si>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</si>
  <si>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</si>
  <si>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</si>
  <si>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</si>
  <si>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</si>
  <si>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</si>
  <si>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</si>
  <si>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</si>
  <si>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</si>
  <si>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</si>
  <si>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</si>
  <si>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</si>
  <si>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</si>
  <si>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</si>
  <si>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</si>
  <si>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</si>
  <si>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</si>
  <si>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</si>
  <si>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</si>
  <si>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</si>
  <si>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</si>
  <si>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</si>
  <si>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</si>
  <si>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</si>
  <si>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</si>
  <si>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</si>
  <si>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</si>
  <si>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</si>
  <si>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</si>
  <si>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</si>
  <si>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</si>
  <si>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</si>
  <si>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</si>
  <si>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</si>
  <si>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</si>
  <si>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</si>
  <si>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</si>
  <si>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</si>
  <si>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</si>
  <si>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</si>
  <si>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</si>
  <si>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</si>
  <si>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</si>
  <si>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</si>
  <si>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</si>
  <si>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</si>
  <si>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</si>
  <si>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</si>
  <si>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</si>
  <si>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</si>
  <si>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</si>
  <si>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</si>
  <si>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</si>
  <si>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</si>
  <si>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</si>
  <si>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</si>
  <si>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</si>
  <si>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</si>
  <si>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</si>
  <si>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</si>
  <si>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</si>
  <si>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</si>
  <si>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</si>
  <si>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</si>
  <si>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</si>
  <si>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</si>
  <si>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</si>
  <si>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</si>
  <si>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</si>
  <si>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</si>
  <si>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</si>
  <si>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</si>
  <si>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</si>
  <si>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</si>
  <si>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</si>
  <si>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</si>
  <si>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</si>
  <si>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</si>
  <si>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</si>
  <si>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</si>
  <si>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</si>
  <si>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</si>
  <si>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</si>
  <si>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</si>
  <si>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</si>
  <si>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</si>
  <si>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</si>
  <si>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</si>
  <si>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</si>
  <si>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</si>
  <si>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</si>
  <si>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</si>
  <si>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</si>
  <si>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</si>
  <si>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</si>
  <si>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</si>
  <si>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</si>
  <si>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</si>
  <si>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</si>
  <si>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</si>
  <si>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</si>
  <si>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</si>
  <si>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</si>
  <si>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</si>
  <si>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</si>
  <si>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</si>
  <si>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</si>
  <si>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</si>
  <si>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</si>
  <si>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</si>
  <si>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</si>
  <si>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</si>
  <si>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</si>
  <si>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</si>
  <si>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</si>
  <si>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</si>
  <si>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</si>
  <si>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</si>
  <si>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</si>
  <si>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</si>
  <si>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</si>
  <si>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</si>
  <si>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</si>
  <si>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</si>
  <si>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</si>
  <si>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</si>
  <si>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</si>
  <si>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</si>
  <si>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</si>
  <si>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</si>
  <si>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</si>
  <si>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</si>
  <si>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</si>
  <si>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</si>
  <si>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</si>
  <si>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</si>
  <si>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</si>
  <si>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</si>
  <si>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</si>
  <si>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</si>
  <si>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</si>
  <si>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</si>
  <si>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</si>
  <si>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</si>
  <si>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</si>
  <si>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</si>
  <si>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</si>
  <si>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</si>
  <si>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</si>
  <si>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</si>
  <si>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</si>
  <si>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</si>
  <si>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</si>
  <si>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</si>
  <si>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</si>
  <si>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</si>
  <si>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</si>
  <si>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</si>
  <si>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</si>
  <si>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</si>
  <si>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</si>
  <si>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</si>
  <si>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</si>
  <si>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</si>
  <si>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</si>
  <si>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</si>
  <si>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</si>
  <si>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</si>
  <si>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</si>
  <si>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</si>
  <si>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</si>
  <si>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</si>
  <si>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</si>
  <si>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</si>
  <si>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</si>
  <si>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</si>
  <si>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</si>
  <si>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</si>
  <si>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</si>
  <si>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</si>
  <si>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</si>
  <si>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</si>
  <si>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</si>
  <si>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</si>
  <si>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</si>
  <si>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</si>
  <si>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</si>
  <si>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</si>
  <si>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</si>
  <si>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</si>
  <si>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</si>
  <si>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</si>
  <si>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</si>
  <si>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</si>
  <si>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</si>
  <si>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</si>
  <si>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</si>
  <si>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</si>
  <si>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</si>
  <si>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</si>
  <si>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</si>
  <si>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</si>
  <si>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</si>
  <si>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</si>
  <si>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</si>
  <si>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</si>
  <si>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</si>
  <si>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</si>
  <si>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</si>
  <si>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</si>
  <si>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</si>
  <si>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</si>
  <si>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</si>
  <si>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</si>
  <si>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</si>
  <si>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</si>
  <si>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</si>
  <si>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</si>
  <si>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</si>
  <si>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</si>
  <si>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</si>
  <si>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</si>
  <si>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</si>
  <si>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</si>
  <si>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</si>
  <si>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</si>
  <si>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</si>
  <si>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</si>
  <si>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</si>
  <si>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</si>
  <si>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</si>
  <si>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</si>
  <si>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</si>
  <si>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</si>
  <si>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</si>
  <si>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</si>
  <si>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</si>
  <si>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</si>
  <si>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</si>
  <si>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</si>
  <si>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</si>
  <si>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</si>
  <si>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</si>
  <si>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</si>
  <si>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</si>
  <si>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</si>
  <si>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</si>
  <si>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</si>
  <si>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</si>
  <si>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</si>
  <si>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</si>
  <si>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</si>
  <si>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</si>
  <si>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</si>
  <si>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</si>
  <si>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</si>
  <si>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</si>
  <si>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</si>
  <si>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</si>
  <si>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</si>
  <si>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</si>
  <si>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</si>
  <si>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</si>
  <si>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</si>
  <si>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</si>
  <si>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</si>
  <si>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</si>
  <si>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</si>
  <si>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</si>
  <si>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</si>
  <si>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</si>
  <si>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</si>
  <si>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</si>
  <si>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</si>
  <si>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</si>
  <si>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</si>
  <si>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</si>
  <si>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</si>
  <si>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</si>
  <si>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</si>
  <si>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</si>
  <si>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</si>
  <si>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</si>
  <si>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</si>
  <si>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</si>
  <si>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</si>
  <si>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</si>
  <si>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</si>
  <si>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</si>
  <si>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</si>
  <si>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</si>
  <si>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</si>
  <si>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</si>
  <si>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</si>
  <si>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</si>
  <si>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</si>
  <si>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</si>
  <si>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</si>
  <si>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</si>
  <si>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</si>
  <si>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</si>
  <si>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</si>
  <si>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</si>
  <si>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</si>
  <si>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</si>
  <si>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</si>
  <si>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</si>
  <si>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</si>
  <si>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</si>
  <si>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</si>
  <si>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</si>
  <si>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</si>
  <si>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</si>
  <si>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</si>
  <si>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</si>
  <si>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</si>
  <si>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</si>
  <si>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</si>
  <si>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</si>
  <si>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</si>
  <si>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</si>
  <si>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</si>
  <si>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</si>
  <si>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</si>
  <si>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</si>
  <si>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</si>
  <si>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</si>
  <si>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</si>
  <si>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</si>
  <si>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</si>
  <si>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</si>
  <si>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</si>
  <si>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</si>
  <si>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</si>
  <si>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</si>
  <si>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</si>
  <si>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</si>
  <si>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</si>
  <si>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</si>
  <si>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</si>
  <si>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</si>
  <si>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</si>
  <si>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</si>
  <si>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</si>
  <si>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</si>
  <si>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</si>
  <si>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</si>
  <si>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</si>
  <si>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</si>
  <si>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</si>
  <si>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</si>
  <si>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</si>
  <si>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</si>
  <si>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</si>
  <si>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</si>
  <si>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</si>
  <si>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</si>
  <si>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</si>
  <si>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</si>
  <si>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</si>
  <si>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</si>
  <si>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</si>
  <si>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</si>
  <si>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</si>
  <si>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</si>
  <si>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</si>
  <si>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</si>
  <si>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</si>
  <si>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</si>
  <si>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</si>
  <si>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</si>
  <si>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</si>
  <si>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</si>
  <si>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</si>
  <si>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</si>
  <si>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</si>
  <si>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</si>
  <si>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</si>
  <si>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</si>
  <si>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</si>
  <si>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</si>
  <si>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</si>
  <si>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</si>
  <si>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</si>
  <si>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</si>
  <si>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</si>
  <si>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</si>
  <si>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</si>
  <si>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</si>
  <si>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</si>
  <si>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</si>
  <si>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</si>
  <si>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</si>
  <si>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</si>
  <si>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</si>
  <si>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</si>
  <si>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</si>
  <si>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</si>
  <si>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</si>
  <si>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</si>
  <si>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</si>
  <si>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</si>
  <si>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</si>
  <si>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</si>
  <si>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</si>
  <si>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</si>
  <si>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</si>
  <si>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</si>
  <si>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</si>
  <si>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</si>
  <si>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</si>
  <si>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</si>
  <si>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</si>
  <si>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</si>
  <si>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</si>
  <si>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</si>
  <si>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</si>
  <si>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</si>
  <si>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</si>
  <si>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</si>
  <si>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</si>
  <si>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</si>
  <si>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</si>
  <si>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</si>
  <si>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</si>
  <si>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</si>
  <si>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</si>
  <si>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</si>
  <si>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</si>
  <si>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</si>
  <si>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</si>
  <si>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</si>
  <si>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</si>
  <si>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</si>
  <si>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</si>
  <si>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</si>
  <si>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</si>
  <si>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</si>
  <si>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</si>
  <si>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</si>
  <si>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</si>
  <si>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</si>
  <si>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</si>
  <si>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</si>
  <si>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</si>
  <si>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</si>
  <si>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</si>
  <si>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</si>
  <si>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</si>
  <si>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</si>
  <si>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</si>
  <si>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</si>
  <si>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</si>
  <si>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</si>
  <si>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</si>
  <si>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</si>
  <si>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</si>
  <si>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</si>
  <si>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</si>
  <si>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</si>
  <si>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</si>
  <si>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</si>
  <si>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</si>
  <si>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</si>
  <si>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</si>
  <si>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</si>
  <si>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</si>
  <si>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</si>
  <si>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</si>
  <si>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</si>
  <si>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</si>
  <si>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</si>
  <si>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</si>
  <si>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</si>
  <si>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</si>
  <si>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</si>
  <si>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</si>
  <si>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</si>
  <si>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</si>
  <si>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</si>
  <si>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</si>
  <si>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</si>
  <si>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</si>
  <si>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</si>
  <si>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</si>
  <si>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</si>
  <si>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</si>
  <si>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</si>
  <si>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</si>
  <si>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</si>
  <si>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</si>
  <si>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</si>
  <si>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</si>
  <si>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</si>
  <si>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</si>
  <si>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</si>
  <si>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</si>
  <si>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</si>
  <si>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</si>
  <si>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</si>
  <si>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</si>
  <si>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</si>
  <si>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</si>
  <si>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</si>
  <si>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</si>
  <si>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</si>
  <si>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</si>
  <si>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</si>
  <si>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</si>
  <si>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</si>
  <si>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</si>
  <si>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</si>
  <si>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</si>
  <si>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</si>
  <si>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</si>
  <si>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</si>
  <si>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</si>
  <si>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</si>
  <si>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</si>
  <si>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</si>
  <si>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</si>
  <si>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</si>
  <si>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</si>
  <si>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</si>
  <si>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</si>
  <si>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</si>
  <si>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</si>
  <si>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</si>
  <si>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</si>
  <si>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</si>
  <si>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</si>
  <si>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</si>
  <si>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</si>
  <si>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</si>
  <si>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</si>
  <si>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</si>
  <si>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</si>
  <si>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</si>
  <si>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</si>
  <si>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</si>
  <si>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</si>
  <si>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</si>
  <si>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</si>
  <si>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</si>
  <si>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</si>
  <si>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</si>
  <si>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</si>
  <si>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</si>
  <si>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</si>
  <si>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</si>
  <si>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</si>
  <si>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</si>
  <si>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</si>
  <si>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</si>
  <si>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</si>
  <si>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</si>
  <si>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</si>
  <si>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</si>
  <si>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</si>
  <si>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</si>
  <si>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</si>
  <si>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</si>
  <si>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</si>
  <si>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</si>
  <si>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</si>
  <si>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</si>
  <si>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</si>
  <si>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</si>
  <si>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</si>
  <si>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</si>
  <si>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</si>
  <si>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</si>
  <si>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</si>
  <si>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</si>
  <si>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</si>
  <si>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</si>
  <si>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</si>
  <si>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</si>
  <si>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</si>
  <si>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</si>
  <si>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</si>
  <si>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</si>
  <si>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</si>
  <si>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</si>
  <si>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</si>
  <si>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</si>
  <si>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</si>
  <si>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</si>
  <si>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</si>
  <si>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</si>
  <si>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</si>
  <si>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</si>
  <si>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</si>
  <si>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</si>
  <si>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</si>
  <si>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</si>
  <si>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</si>
  <si>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</si>
  <si>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</si>
  <si>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</si>
  <si>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</si>
  <si>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</si>
  <si>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</si>
  <si>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</si>
  <si>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</si>
  <si>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</si>
  <si>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</si>
  <si>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</si>
  <si>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</si>
  <si>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</si>
  <si>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</si>
  <si>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</si>
  <si>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</si>
  <si>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</si>
  <si>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</si>
  <si>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</si>
  <si>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</si>
  <si>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</si>
  <si>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</si>
  <si>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</si>
  <si>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</si>
  <si>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</si>
  <si>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</si>
  <si>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</si>
  <si>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</si>
  <si>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</si>
  <si>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</si>
  <si>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</si>
  <si>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</si>
  <si>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</si>
  <si>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</si>
  <si>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</si>
  <si>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</si>
  <si>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</si>
  <si>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</si>
  <si>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07/17</t>
  </si>
  <si>
    <t>08/42</t>
  </si>
  <si>
    <t>Please note that the School District does not use Indirect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</si>
</sst>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40" zoomScaleNormal="140" workbookViewId="0">
      <pane xSplit="5" ySplit="3" topLeftCell="F648"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1093</v>
      </c>
      <c r="B2" s="21">
        <v>225</v>
      </c>
      <c r="C2" s="21">
        <v>225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576347.31999999995</v>
      </c>
      <c r="G9" s="18"/>
      <c r="H9" s="18"/>
      <c r="I9" s="18">
        <v>155450.26999999999</v>
      </c>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158402.07</v>
      </c>
      <c r="J10" s="67">
        <f>SUM(I441)</f>
        <v>162304.98000000001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295021.41-73250.86</f>
        <v>221770.55</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11764.65</v>
      </c>
      <c r="H13" s="18">
        <v>41139.25</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4847.6400000000003</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4400</v>
      </c>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802517.86999999988</v>
      </c>
      <c r="G19" s="41">
        <f>SUM(G9:G18)</f>
        <v>16612.29</v>
      </c>
      <c r="H19" s="41">
        <f>SUM(H9:H18)</f>
        <v>41139.25</v>
      </c>
      <c r="I19" s="41">
        <f>SUM(I9:I18)</f>
        <v>313852.33999999997</v>
      </c>
      <c r="J19" s="41">
        <f>SUM(J9:J18)</f>
        <v>162304.98000000001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74900.21-73250.86</f>
        <v>1649.3500000000058</v>
      </c>
      <c r="H22" s="18">
        <v>41139.25</v>
      </c>
      <c r="I22" s="18">
        <v>217842</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v>2083351.52</v>
      </c>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58639.64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59300</v>
      </c>
      <c r="G30" s="18">
        <v>14962.94</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f>1301502.93-5.47</f>
        <v>1301497.46</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117939.64</v>
      </c>
      <c r="G32" s="41">
        <f>SUM(G22:G31)</f>
        <v>16612.290000000008</v>
      </c>
      <c r="H32" s="41">
        <f>SUM(H22:H31)</f>
        <v>41139.25</v>
      </c>
      <c r="I32" s="41">
        <f>SUM(I22:I31)</f>
        <v>3602690.98</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-3288838.64</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f>192632.79-10</f>
        <v>192622.79</v>
      </c>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162304.98000000001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565206.3-73250.86</f>
        <v>491955.44000000006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684578.2300000001</v>
      </c>
      <c r="G51" s="41">
        <f>SUM(G35:G50)</f>
        <v>0</v>
      </c>
      <c r="H51" s="41">
        <f>SUM(H35:H50)</f>
        <v>0</v>
      </c>
      <c r="I51" s="41">
        <f>SUM(I35:I50)</f>
        <v>-3288838.64</v>
      </c>
      <c r="J51" s="41">
        <f>SUM(J35:J50)</f>
        <v>162304.98000000001</v>
      </c>
      <c r="K51" s="45" t="s">
        <v>288</v>
      </c>
      <c r="L51" s="45" t="s">
        <v>288</v>
      </c>
      <c r="N51" s="264"/>
    </row>
    <row r="52" spans="1:14" s="3" customFormat="1" ht="12.2" customHeight="1" thickTop="1" x14ac:dyDescent="0.15">
      <c r="A52" s="38" t="s">
        <v>455</v>
      </c>
      <c r="B52" s="39" t="s">
        <v>289</v>
      </c>
      <c r="C52" s="6">
        <v>37</v>
      </c>
      <c r="D52" s="39" t="s">
        <v>653</v>
      </c>
      <c r="E52" s="39"/>
      <c r="F52" s="41">
        <f>F51+F32</f>
        <v>802517.87000000011</v>
      </c>
      <c r="G52" s="41">
        <f>G51+G32</f>
        <v>16612.290000000008</v>
      </c>
      <c r="H52" s="41">
        <f>H51+H32</f>
        <v>41139.25</v>
      </c>
      <c r="I52" s="41">
        <f>I51+I32</f>
        <v>313852.33999999985</v>
      </c>
      <c r="J52" s="41">
        <f>J51+J32</f>
        <v>162304.98000000001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17291819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v>122501</v>
      </c>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17291819</v>
      </c>
      <c r="G60" s="41">
        <f>SUM(G57:G59)</f>
        <v>0</v>
      </c>
      <c r="H60" s="41">
        <f>SUM(H57:H59)</f>
        <v>0</v>
      </c>
      <c r="I60" s="41">
        <f>SUM(I57:I59)</f>
        <v>122501</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29745.99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13266</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43011.990000000005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4171.79</v>
      </c>
      <c r="G96" s="18"/>
      <c r="H96" s="18"/>
      <c r="I96" s="18">
        <v>4562.99</v>
      </c>
      <c r="J96" s="18">
        <v>5177.03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186208.7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11250.04</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37000</v>
      </c>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1079.6199999999999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1242.3699999999999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54743.820000000007</v>
      </c>
      <c r="G111" s="41">
        <f>SUM(G96:G110)</f>
        <v>186208.7</v>
      </c>
      <c r="H111" s="41">
        <f>SUM(H96:H110)</f>
        <v>0</v>
      </c>
      <c r="I111" s="41">
        <f>SUM(I96:I110)</f>
        <v>4562.99</v>
      </c>
      <c r="J111" s="41">
        <f>SUM(J96:J110)</f>
        <v>5177.03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17389574.809999999</v>
      </c>
      <c r="G112" s="41">
        <f>G60+G111</f>
        <v>186208.7</v>
      </c>
      <c r="H112" s="41">
        <f>H60+H79+H94+H111</f>
        <v>0</v>
      </c>
      <c r="I112" s="41">
        <f>I60+I111</f>
        <v>127063.99</v>
      </c>
      <c r="J112" s="41">
        <f>J60+J111</f>
        <v>5177.03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4914612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4914612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24219</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281765.03999999998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6543.09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305984.03999999998</v>
      </c>
      <c r="G136" s="41">
        <f>SUM(G123:G135)</f>
        <v>6543.09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5220596.04</v>
      </c>
      <c r="G140" s="41">
        <f>G121+SUM(G136:G137)</f>
        <v>6543.09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88409.67</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88647.29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92722.75+32792.74+32.31</f>
        <v>125547.79999999999</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373475.04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44013.83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44013.83</v>
      </c>
      <c r="G163" s="41">
        <f>SUM(G150:G162)</f>
        <v>125547.79999999999</v>
      </c>
      <c r="H163" s="41">
        <f>SUM(H150:H162)</f>
        <v>550532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44013.83</v>
      </c>
      <c r="G170" s="41">
        <f>G147+G163+SUM(G164:G169)</f>
        <v>125547.79999999999</v>
      </c>
      <c r="H170" s="41">
        <f>H147+H163+SUM(H164:H169)</f>
        <v>550532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73250.86</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73250.86</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75000</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75000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75000</v>
      </c>
      <c r="G193" s="41">
        <f>G184+SUM(G189:G192)</f>
        <v>73250.86</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22729184.679999996</v>
      </c>
      <c r="G194" s="47">
        <f>G112+G140+G170+G193</f>
        <v>391550.44999999995</v>
      </c>
      <c r="H194" s="47">
        <f>H112+H140+H170+H193</f>
        <v>550532</v>
      </c>
      <c r="I194" s="47">
        <f>I112+I140+I170+I193</f>
        <v>127063.99</v>
      </c>
      <c r="J194" s="47">
        <f>J112+J140+J193</f>
        <v>5177.03</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6545599.1799999997</v>
      </c>
      <c r="G198" s="18">
        <v>2663032.27</v>
      </c>
      <c r="H198" s="18">
        <v>61932.18</v>
      </c>
      <c r="I198" s="18">
        <v>134250.16</v>
      </c>
      <c r="J198" s="18">
        <v>11488.8</v>
      </c>
      <c r="K198" s="18"/>
      <c r="L198" s="19">
        <f>SUM(F198:K198)</f>
        <v>9416302.5899999999</v>
      </c>
      <c r="M198" s="8"/>
      <c r="N198" s="266"/>
    </row>
    <row r="199" spans="1:14" s="3" customFormat="1" ht="12.2" customHeight="1" x14ac:dyDescent="0.15">
      <c r="A199" s="1" t="s">
        <v>439</v>
      </c>
      <c r="B199" s="2" t="s">
        <v>341</v>
      </c>
      <c r="C199" s="2" t="s">
        <v>291</v>
      </c>
      <c r="D199" s="2" t="s">
        <v>431</v>
      </c>
      <c r="E199" s="6">
        <v>1200</v>
      </c>
      <c r="F199" s="18">
        <v>1727204.56</v>
      </c>
      <c r="G199" s="18">
        <v>750705.17</v>
      </c>
      <c r="H199" s="18">
        <v>921570.72</v>
      </c>
      <c r="I199" s="18">
        <v>6277.86</v>
      </c>
      <c r="J199" s="18">
        <v>9083.9</v>
      </c>
      <c r="K199" s="18">
        <v>1505</v>
      </c>
      <c r="L199" s="19">
        <f>SUM(F199:K199)</f>
        <v>3416347.21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88799.02</v>
      </c>
      <c r="G201" s="18">
        <v>22652.63</v>
      </c>
      <c r="H201" s="18">
        <v>32124.57</v>
      </c>
      <c r="I201" s="18">
        <v>15706.21</v>
      </c>
      <c r="J201" s="18"/>
      <c r="K201" s="18"/>
      <c r="L201" s="19">
        <f>SUM(F201:K201)</f>
        <v>159282.43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1180999.06</v>
      </c>
      <c r="G203" s="18">
        <v>487334.26</v>
      </c>
      <c r="H203" s="18">
        <v>53385.61</v>
      </c>
      <c r="I203" s="18">
        <v>5507.42</v>
      </c>
      <c r="J203" s="18"/>
      <c r="K203" s="18"/>
      <c r="L203" s="19">
        <f t="shared" ref="L203:L209" si="0">SUM(F203:K203)</f>
        <v>1727226.35</v>
      </c>
      <c r="M203" s="8"/>
      <c r="N203" s="266"/>
    </row>
    <row r="204" spans="1:14" s="3" customFormat="1" ht="12.2" customHeight="1" x14ac:dyDescent="0.15">
      <c r="A204" s="1" t="s">
        <v>443</v>
      </c>
      <c r="B204" s="2" t="s">
        <v>341</v>
      </c>
      <c r="C204" s="2" t="s">
        <v>295</v>
      </c>
      <c r="D204" s="2" t="s">
        <v>431</v>
      </c>
      <c r="E204" s="6">
        <v>2200</v>
      </c>
      <c r="F204" s="18">
        <v>582274.43999999994</v>
      </c>
      <c r="G204" s="18">
        <f>45258+240273.08</f>
        <v>285531.07999999996</v>
      </c>
      <c r="H204" s="18">
        <v>398405.65</v>
      </c>
      <c r="I204" s="18">
        <v>172754.54</v>
      </c>
      <c r="J204" s="18">
        <v>89749.71</v>
      </c>
      <c r="K204" s="18">
        <v>1295</v>
      </c>
      <c r="L204" s="19">
        <f t="shared" si="0"/>
        <v>1530010.42</v>
      </c>
      <c r="M204" s="8"/>
      <c r="N204" s="266"/>
    </row>
    <row r="205" spans="1:14" s="3" customFormat="1" ht="12.2" customHeight="1" x14ac:dyDescent="0.15">
      <c r="A205" s="1" t="s">
        <v>444</v>
      </c>
      <c r="B205" s="2" t="s">
        <v>341</v>
      </c>
      <c r="C205" s="2" t="s">
        <v>296</v>
      </c>
      <c r="D205" s="2" t="s">
        <v>431</v>
      </c>
      <c r="E205" s="6">
        <v>2300</v>
      </c>
      <c r="F205" s="18">
        <v>393798.18</v>
      </c>
      <c r="G205" s="18">
        <v>162499.15</v>
      </c>
      <c r="H205" s="18">
        <v>135146.9</v>
      </c>
      <c r="I205" s="18">
        <v>48781.42</v>
      </c>
      <c r="J205" s="18"/>
      <c r="K205" s="18">
        <v>23888.6</v>
      </c>
      <c r="L205" s="19">
        <f t="shared" si="0"/>
        <v>764114.25</v>
      </c>
      <c r="M205" s="8"/>
      <c r="N205" s="266"/>
    </row>
    <row r="206" spans="1:14" s="3" customFormat="1" ht="12.2" customHeight="1" x14ac:dyDescent="0.15">
      <c r="A206" s="1" t="s">
        <v>445</v>
      </c>
      <c r="B206" s="2" t="s">
        <v>341</v>
      </c>
      <c r="C206" s="2" t="s">
        <v>297</v>
      </c>
      <c r="D206" s="2" t="s">
        <v>431</v>
      </c>
      <c r="E206" s="6">
        <v>2400</v>
      </c>
      <c r="F206" s="18">
        <v>770211.82</v>
      </c>
      <c r="G206" s="18">
        <f>675+317824.41</f>
        <v>318499.40999999997</v>
      </c>
      <c r="H206" s="18">
        <v>38342.1</v>
      </c>
      <c r="I206" s="18">
        <v>8078.68</v>
      </c>
      <c r="J206" s="18"/>
      <c r="K206" s="18">
        <v>3490</v>
      </c>
      <c r="L206" s="19">
        <f t="shared" si="0"/>
        <v>1138622.01</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645840.66</v>
      </c>
      <c r="G208" s="18">
        <v>266503.40999999997</v>
      </c>
      <c r="H208" s="18">
        <v>447723.27</v>
      </c>
      <c r="I208" s="18">
        <v>339718.72</v>
      </c>
      <c r="J208" s="18">
        <v>22263.48</v>
      </c>
      <c r="K208" s="18">
        <v>90</v>
      </c>
      <c r="L208" s="19">
        <f t="shared" si="0"/>
        <v>1722139.54</v>
      </c>
      <c r="M208" s="8"/>
      <c r="N208" s="266"/>
    </row>
    <row r="209" spans="1:14" s="3" customFormat="1" ht="12.2" customHeight="1" x14ac:dyDescent="0.15">
      <c r="A209" s="1" t="s">
        <v>448</v>
      </c>
      <c r="B209" s="2" t="s">
        <v>341</v>
      </c>
      <c r="C209" s="2" t="s">
        <v>300</v>
      </c>
      <c r="D209" s="2" t="s">
        <v>431</v>
      </c>
      <c r="E209" s="6">
        <v>2700</v>
      </c>
      <c r="F209" s="18"/>
      <c r="G209" s="18"/>
      <c r="H209" s="18">
        <v>885349.73</v>
      </c>
      <c r="I209" s="18"/>
      <c r="J209" s="18"/>
      <c r="K209" s="18"/>
      <c r="L209" s="19">
        <f t="shared" si="0"/>
        <v>885349.73</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11934726.92</v>
      </c>
      <c r="G212" s="41">
        <f t="shared" si="1"/>
        <v>4956757.3800000008</v>
      </c>
      <c r="H212" s="41">
        <f t="shared" si="1"/>
        <v>2973980.73</v>
      </c>
      <c r="I212" s="41">
        <f t="shared" si="1"/>
        <v>731075.01</v>
      </c>
      <c r="J212" s="41">
        <f t="shared" si="1"/>
        <v>132585.89000000001</v>
      </c>
      <c r="K212" s="41">
        <f t="shared" si="1"/>
        <v>30268.6</v>
      </c>
      <c r="L212" s="41">
        <f t="shared" si="1"/>
        <v>20759394.530000001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11934726.92</v>
      </c>
      <c r="G258" s="41">
        <f t="shared" si="8"/>
        <v>4956757.3800000008</v>
      </c>
      <c r="H258" s="41">
        <f t="shared" si="8"/>
        <v>2973980.73</v>
      </c>
      <c r="I258" s="41">
        <f t="shared" si="8"/>
        <v>731075.01</v>
      </c>
      <c r="J258" s="41">
        <f t="shared" si="8"/>
        <v>132585.89000000001</v>
      </c>
      <c r="K258" s="41">
        <f t="shared" si="8"/>
        <v>30268.6</v>
      </c>
      <c r="L258" s="41">
        <f t="shared" si="8"/>
        <v>20759394.530000001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555000</v>
      </c>
      <c r="L261" s="19">
        <f>SUM(F261:K261)</f>
        <v>555000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949622.5</v>
      </c>
      <c r="L262" s="19">
        <f>SUM(F262:K262)</f>
        <v>949622.5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73250.86</v>
      </c>
      <c r="L264" s="19">
        <f>SUM(F264:K264)</f>
        <v>73250.86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1577873.36</v>
      </c>
      <c r="L271" s="41">
        <f t="shared" si="9"/>
        <v>1577873.36</v>
      </c>
      <c r="M271" s="8"/>
      <c r="N271" s="266"/>
    </row>
    <row r="272" spans="1:14" s="34" customFormat="1" ht="12.2" customHeight="1" thickTop="1" x14ac:dyDescent="0.2">
      <c r="A272" s="43" t="s">
        <v>464</v>
      </c>
      <c r="B272" s="40">
        <v>10</v>
      </c>
      <c r="C272" s="40">
        <v>18</v>
      </c>
      <c r="D272" s="39" t="s">
        <v>431</v>
      </c>
      <c r="E272" s="40"/>
      <c r="F272" s="42">
        <f t="shared" ref="F272:L272" si="11">F258+F271</f>
        <v>11934726.92</v>
      </c>
      <c r="G272" s="42">
        <f t="shared" si="11"/>
        <v>4956757.3800000008</v>
      </c>
      <c r="H272" s="42">
        <f t="shared" si="11"/>
        <v>2973980.73</v>
      </c>
      <c r="I272" s="42">
        <f t="shared" si="11"/>
        <v>731075.01</v>
      </c>
      <c r="J272" s="42">
        <f t="shared" si="11"/>
        <v>132585.89000000001</v>
      </c>
      <c r="K272" s="42">
        <f t="shared" si="11"/>
        <v>1608141.9600000002</v>
      </c>
      <c r="L272" s="42">
        <f t="shared" si="11"/>
        <v>22337267.890000001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75326</v>
      </c>
      <c r="G277" s="18">
        <v>5997.59</v>
      </c>
      <c r="H277" s="18">
        <v>12578.76</v>
      </c>
      <c r="I277" s="18">
        <v>8525.27</v>
      </c>
      <c r="J277" s="18">
        <v>334.17</v>
      </c>
      <c r="K277" s="18"/>
      <c r="L277" s="19">
        <f>SUM(F277:K277)</f>
        <v>102761.79</v>
      </c>
      <c r="M277" s="8"/>
      <c r="N277" s="266"/>
    </row>
    <row r="278" spans="1:14" s="3" customFormat="1" ht="12.2" customHeight="1" x14ac:dyDescent="0.15">
      <c r="A278" s="1" t="s">
        <v>439</v>
      </c>
      <c r="B278" s="2" t="s">
        <v>357</v>
      </c>
      <c r="C278" s="2" t="s">
        <v>291</v>
      </c>
      <c r="D278" s="2" t="s">
        <v>431</v>
      </c>
      <c r="E278" s="6">
        <v>1200</v>
      </c>
      <c r="F278" s="18">
        <v>193323.2</v>
      </c>
      <c r="G278" s="18">
        <v>14422.64</v>
      </c>
      <c r="H278" s="18">
        <v>129722.82</v>
      </c>
      <c r="I278" s="18">
        <v>16284.91</v>
      </c>
      <c r="J278" s="18">
        <v>9723.2900000000009</v>
      </c>
      <c r="K278" s="18"/>
      <c r="L278" s="19">
        <f>SUM(F278:K278)</f>
        <v>363476.86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9461.25</v>
      </c>
      <c r="G283" s="18">
        <v>191.25</v>
      </c>
      <c r="H283" s="18">
        <f>62813.66-1.42</f>
        <v>62812.240000000005</v>
      </c>
      <c r="I283" s="18">
        <v>1701.45</v>
      </c>
      <c r="J283" s="18">
        <v>7022.16</v>
      </c>
      <c r="K283" s="18">
        <v>3105</v>
      </c>
      <c r="L283" s="19">
        <f t="shared" si="12"/>
        <v>84293.35</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278110.45</v>
      </c>
      <c r="G291" s="42">
        <f t="shared" si="13"/>
        <v>20611.48</v>
      </c>
      <c r="H291" s="42">
        <f t="shared" si="13"/>
        <v>205113.82</v>
      </c>
      <c r="I291" s="42">
        <f t="shared" si="13"/>
        <v>26511.63</v>
      </c>
      <c r="J291" s="42">
        <f t="shared" si="13"/>
        <v>17079.620000000003</v>
      </c>
      <c r="K291" s="42">
        <f t="shared" si="13"/>
        <v>3105</v>
      </c>
      <c r="L291" s="41">
        <f t="shared" si="13"/>
        <v>550532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278110.45</v>
      </c>
      <c r="G339" s="41">
        <f t="shared" si="20"/>
        <v>20611.48</v>
      </c>
      <c r="H339" s="41">
        <f t="shared" si="20"/>
        <v>205113.82</v>
      </c>
      <c r="I339" s="41">
        <f t="shared" si="20"/>
        <v>26511.63</v>
      </c>
      <c r="J339" s="41">
        <f t="shared" si="20"/>
        <v>17079.620000000003</v>
      </c>
      <c r="K339" s="41">
        <f t="shared" si="20"/>
        <v>3105</v>
      </c>
      <c r="L339" s="41">
        <f t="shared" si="20"/>
        <v>550532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278110.45</v>
      </c>
      <c r="G353" s="41">
        <f>G339</f>
        <v>20611.48</v>
      </c>
      <c r="H353" s="41">
        <f>H339</f>
        <v>205113.82</v>
      </c>
      <c r="I353" s="41">
        <f>I339</f>
        <v>26511.63</v>
      </c>
      <c r="J353" s="41">
        <f>J339</f>
        <v>17079.620000000003</v>
      </c>
      <c r="K353" s="47">
        <f>K339+K352</f>
        <v>3105</v>
      </c>
      <c r="L353" s="41">
        <f>L339+L352</f>
        <v>550532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230052.6</v>
      </c>
      <c r="G359" s="18"/>
      <c r="H359" s="18">
        <v>5932.97</v>
      </c>
      <c r="I359" s="18">
        <v>160804.60999999999</v>
      </c>
      <c r="J359" s="18">
        <v>1216.32</v>
      </c>
      <c r="K359" s="18">
        <v>2838.88</v>
      </c>
      <c r="L359" s="13">
        <f>SUM(F359:K359)</f>
        <v>400845.38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230052.6</v>
      </c>
      <c r="G363" s="47">
        <f t="shared" si="22"/>
        <v>0</v>
      </c>
      <c r="H363" s="47">
        <f t="shared" si="22"/>
        <v>5932.97</v>
      </c>
      <c r="I363" s="47">
        <f t="shared" si="22"/>
        <v>160804.60999999999</v>
      </c>
      <c r="J363" s="47">
        <f t="shared" si="22"/>
        <v>1216.32</v>
      </c>
      <c r="K363" s="47">
        <f t="shared" si="22"/>
        <v>2838.88</v>
      </c>
      <c r="L363" s="47">
        <f t="shared" si="22"/>
        <v>400845.38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143653.59</v>
      </c>
      <c r="G368" s="18"/>
      <c r="H368" s="18"/>
      <c r="I368" s="56">
        <f>SUM(F368:H368)</f>
        <v>143653.59</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17151.02</v>
      </c>
      <c r="G369" s="63"/>
      <c r="H369" s="63"/>
      <c r="I369" s="56">
        <f>SUM(F369:H369)</f>
        <v>17151.02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160804.60999999999</v>
      </c>
      <c r="G370" s="47">
        <f>SUM(G368:G369)</f>
        <v>0</v>
      </c>
      <c r="H370" s="47">
        <f>SUM(H368:H369)</f>
        <v>0</v>
      </c>
      <c r="I370" s="47">
        <f>SUM(I368:I369)</f>
        <v>160804.60999999999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v>22770.799999999999</v>
      </c>
      <c r="I377" s="18"/>
      <c r="J377" s="18"/>
      <c r="K377" s="18"/>
      <c r="L377" s="13">
        <f t="shared" si="23"/>
        <v>22770.799999999999</v>
      </c>
      <c r="M377" s="8"/>
      <c r="N377" s="266"/>
    </row>
    <row r="378" spans="1:14" s="3" customFormat="1" ht="12.2" customHeight="1" x14ac:dyDescent="0.15">
      <c r="A378" s="1" t="s">
        <v>547</v>
      </c>
      <c r="B378" s="2" t="s">
        <v>366</v>
      </c>
      <c r="C378" s="2" t="s">
        <v>343</v>
      </c>
      <c r="D378" s="2" t="s">
        <v>431</v>
      </c>
      <c r="E378" s="6">
        <v>4400</v>
      </c>
      <c r="F378" s="18"/>
      <c r="G378" s="18"/>
      <c r="H378" s="18">
        <v>45250</v>
      </c>
      <c r="I378" s="18"/>
      <c r="J378" s="18"/>
      <c r="K378" s="18"/>
      <c r="L378" s="13">
        <f t="shared" si="23"/>
        <v>45250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v>4649045.0999999996</v>
      </c>
      <c r="I380" s="18"/>
      <c r="J380" s="18">
        <v>222237.5</v>
      </c>
      <c r="K380" s="18"/>
      <c r="L380" s="13">
        <f t="shared" si="23"/>
        <v>4871282.5999999996</v>
      </c>
      <c r="M380" s="8"/>
      <c r="N380" s="266"/>
    </row>
    <row r="381" spans="1:14" s="3" customFormat="1" ht="12.2" customHeight="1" x14ac:dyDescent="0.15">
      <c r="A381" s="1" t="s">
        <v>510</v>
      </c>
      <c r="B381" s="2" t="s">
        <v>366</v>
      </c>
      <c r="C381" s="2" t="s">
        <v>347</v>
      </c>
      <c r="D381" s="2" t="s">
        <v>431</v>
      </c>
      <c r="E381" s="6">
        <v>4900</v>
      </c>
      <c r="F381" s="18"/>
      <c r="G381" s="18"/>
      <c r="H381" s="18">
        <v>45501</v>
      </c>
      <c r="I381" s="18">
        <v>189.46</v>
      </c>
      <c r="J381" s="18">
        <v>54737</v>
      </c>
      <c r="K381" s="18">
        <v>3368</v>
      </c>
      <c r="L381" s="13">
        <f t="shared" si="23"/>
        <v>103795.45999999999</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4762566.8999999994</v>
      </c>
      <c r="I383" s="41">
        <f t="shared" si="24"/>
        <v>189.46</v>
      </c>
      <c r="J383" s="47">
        <f t="shared" si="24"/>
        <v>276974.5</v>
      </c>
      <c r="K383" s="47">
        <f t="shared" si="24"/>
        <v>3368</v>
      </c>
      <c r="L383" s="47">
        <f t="shared" si="24"/>
        <v>5043098.8599999994</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5177.03</v>
      </c>
      <c r="I398" s="18"/>
      <c r="J398" s="24" t="s">
        <v>288</v>
      </c>
      <c r="K398" s="24" t="s">
        <v>288</v>
      </c>
      <c r="L398" s="56">
        <f t="shared" si="26"/>
        <v>5177.03</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5177.03</v>
      </c>
      <c r="I402" s="47">
        <f>SUM(I396:I401)</f>
        <v>0</v>
      </c>
      <c r="J402" s="45" t="s">
        <v>288</v>
      </c>
      <c r="K402" s="45" t="s">
        <v>288</v>
      </c>
      <c r="L402" s="47">
        <f>SUM(L396:L401)</f>
        <v>5177.03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5177.03</v>
      </c>
      <c r="I409" s="47">
        <f>I394+I402+I408</f>
        <v>0</v>
      </c>
      <c r="J409" s="24" t="s">
        <v>288</v>
      </c>
      <c r="K409" s="24" t="s">
        <v>288</v>
      </c>
      <c r="L409" s="47">
        <f>L394+L402+L408</f>
        <v>5177.03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v>75000</v>
      </c>
      <c r="L424" s="56">
        <f t="shared" si="29"/>
        <v>75000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75000</v>
      </c>
      <c r="L428" s="47">
        <f t="shared" si="30"/>
        <v>75000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75000</v>
      </c>
      <c r="L435" s="47">
        <f t="shared" si="32"/>
        <v>75000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162304.98000000001</v>
      </c>
      <c r="H441" s="18"/>
      <c r="I441" s="56">
        <f t="shared" si="33"/>
        <v>162304.98000000001</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162304.98000000001</v>
      </c>
      <c r="H447" s="13">
        <f>SUM(H440:H446)</f>
        <v>0</v>
      </c>
      <c r="I447" s="13">
        <f>SUM(I440:I446)</f>
        <v>162304.98000000001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162304.98000000001</v>
      </c>
      <c r="H460" s="18"/>
      <c r="I460" s="56">
        <f t="shared" si="34"/>
        <v>162304.98000000001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162304.98000000001</v>
      </c>
      <c r="H461" s="83">
        <f>SUM(H455:H460)</f>
        <v>0</v>
      </c>
      <c r="I461" s="83">
        <f>SUM(I455:I460)</f>
        <v>162304.98000000001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162304.98000000001</v>
      </c>
      <c r="H462" s="42">
        <f>H453+H461</f>
        <v>0</v>
      </c>
      <c r="I462" s="42">
        <f>I453+I461</f>
        <v>162304.98000000001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562886.57-187669-10.36-73250.86-9294.91</f>
        <v>292661.44</v>
      </c>
      <c r="G466" s="18">
        <v>9294.93</v>
      </c>
      <c r="H466" s="18">
        <v>0</v>
      </c>
      <c r="I466" s="18">
        <f>1509961.28+120235-3000.05</f>
        <v>1627196.23</v>
      </c>
      <c r="J466" s="18">
        <v>232127.95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22729184.68</v>
      </c>
      <c r="G469" s="18">
        <v>391550.45</v>
      </c>
      <c r="H469" s="18">
        <v>550532</v>
      </c>
      <c r="I469" s="18">
        <v>127063.99</v>
      </c>
      <c r="J469" s="18">
        <v>5177.03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22729184.68</v>
      </c>
      <c r="G471" s="53">
        <f>SUM(G469:G470)</f>
        <v>391550.45</v>
      </c>
      <c r="H471" s="53">
        <f>SUM(H469:H470)</f>
        <v>550532</v>
      </c>
      <c r="I471" s="53">
        <f>SUM(I469:I470)</f>
        <v>127063.99</v>
      </c>
      <c r="J471" s="53">
        <f>SUM(J469:J470)</f>
        <v>5177.03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22337267.890000001</v>
      </c>
      <c r="G473" s="18">
        <f>400845.38</f>
        <v>400845.38</v>
      </c>
      <c r="H473" s="18">
        <v>550532</v>
      </c>
      <c r="I473" s="18">
        <v>5043098.8600000003</v>
      </c>
      <c r="J473" s="18">
        <v>75000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22337267.890000001</v>
      </c>
      <c r="G475" s="53">
        <f>SUM(G473:G474)</f>
        <v>400845.38</v>
      </c>
      <c r="H475" s="53">
        <f>SUM(H473:H474)</f>
        <v>550532</v>
      </c>
      <c r="I475" s="53">
        <f>SUM(I473:I474)</f>
        <v>5043098.8600000003</v>
      </c>
      <c r="J475" s="53">
        <f>SUM(J473:J474)</f>
        <v>75000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684578.23000000045</v>
      </c>
      <c r="G477" s="53">
        <f>(G466+G471)- G475</f>
        <v>0</v>
      </c>
      <c r="H477" s="53">
        <f>(H466+H471)- H475</f>
        <v>0</v>
      </c>
      <c r="I477" s="53">
        <f>(I466+I471)- I475</f>
        <v>-3288838.6400000006</v>
      </c>
      <c r="J477" s="53">
        <f>(J466+J471)- J475</f>
        <v>162304.98000000001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23701700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3.15</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23175000</v>
      </c>
      <c r="G496" s="18"/>
      <c r="H496" s="18"/>
      <c r="I496" s="18"/>
      <c r="J496" s="18"/>
      <c r="K496" s="53">
        <f>SUM(F496:J496)</f>
        <v>23175000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555000</v>
      </c>
      <c r="G498" s="18"/>
      <c r="H498" s="18"/>
      <c r="I498" s="18"/>
      <c r="J498" s="18"/>
      <c r="K498" s="53">
        <f t="shared" si="35"/>
        <v>555000</v>
      </c>
      <c r="L498" s="24" t="s">
        <v>288</v>
      </c>
      <c r="N498" s="265"/>
    </row>
    <row r="499" spans="1:14" s="52" customFormat="1" ht="12.2" customHeight="1" x14ac:dyDescent="0.2">
      <c r="A499" s="200" t="s">
        <v>622</v>
      </c>
      <c r="B499" s="201">
        <v>20</v>
      </c>
      <c r="C499" s="202">
        <v>9</v>
      </c>
      <c r="D499" s="203" t="s">
        <v>432</v>
      </c>
      <c r="E499" s="202"/>
      <c r="F499" s="204">
        <f>23701700-526700-555000</f>
        <v>22620000</v>
      </c>
      <c r="G499" s="204"/>
      <c r="H499" s="204"/>
      <c r="I499" s="204"/>
      <c r="J499" s="204"/>
      <c r="K499" s="205">
        <f t="shared" si="35"/>
        <v>22620000</v>
      </c>
      <c r="L499" s="206" t="s">
        <v>288</v>
      </c>
      <c r="N499" s="265"/>
    </row>
    <row r="500" spans="1:14" s="52" customFormat="1" ht="12.2" customHeight="1" thickBot="1" x14ac:dyDescent="0.25">
      <c r="A500" s="22" t="s">
        <v>623</v>
      </c>
      <c r="B500" s="75">
        <v>20</v>
      </c>
      <c r="C500" s="115">
        <v>10</v>
      </c>
      <c r="D500" s="2" t="s">
        <v>432</v>
      </c>
      <c r="E500" s="115"/>
      <c r="F500" s="18">
        <f>14214018.3-583374.95-495318.35-481887.8-481887.5</f>
        <v>12171549.700000001</v>
      </c>
      <c r="G500" s="18"/>
      <c r="H500" s="18"/>
      <c r="I500" s="18"/>
      <c r="J500" s="18"/>
      <c r="K500" s="53">
        <f t="shared" si="35"/>
        <v>12171549.700000001</v>
      </c>
      <c r="L500" s="24" t="s">
        <v>288</v>
      </c>
      <c r="N500" s="265"/>
    </row>
    <row r="501" spans="1:14" s="52" customFormat="1" ht="12.2" customHeight="1" thickTop="1" x14ac:dyDescent="0.2">
      <c r="A501" s="139" t="s">
        <v>624</v>
      </c>
      <c r="B501" s="44">
        <v>20</v>
      </c>
      <c r="C501" s="195">
        <v>11</v>
      </c>
      <c r="D501" s="39" t="s">
        <v>432</v>
      </c>
      <c r="E501" s="195"/>
      <c r="F501" s="42">
        <f>SUM(F499:F500)</f>
        <v>34791549.700000003</v>
      </c>
      <c r="G501" s="42">
        <f>SUM(G499:G500)</f>
        <v>0</v>
      </c>
      <c r="H501" s="42">
        <f>SUM(H499:H500)</f>
        <v>0</v>
      </c>
      <c r="I501" s="42">
        <f>SUM(I499:I500)</f>
        <v>0</v>
      </c>
      <c r="J501" s="42">
        <f>SUM(J499:J500)</f>
        <v>0</v>
      </c>
      <c r="K501" s="42">
        <f t="shared" si="35"/>
        <v>34791549.700000003</v>
      </c>
      <c r="L501" s="45" t="s">
        <v>288</v>
      </c>
      <c r="N501" s="265"/>
    </row>
    <row r="502" spans="1:14" s="52" customFormat="1" ht="12.2" customHeight="1" x14ac:dyDescent="0.2">
      <c r="A502" s="200" t="s">
        <v>651</v>
      </c>
      <c r="B502" s="201">
        <v>20</v>
      </c>
      <c r="C502" s="202">
        <v>12</v>
      </c>
      <c r="D502" s="203" t="s">
        <v>432</v>
      </c>
      <c r="E502" s="202"/>
      <c r="F502" s="204">
        <v>580000</v>
      </c>
      <c r="G502" s="204"/>
      <c r="H502" s="204"/>
      <c r="I502" s="204"/>
      <c r="J502" s="204"/>
      <c r="K502" s="205">
        <f t="shared" si="35"/>
        <v>580000</v>
      </c>
      <c r="L502" s="206" t="s">
        <v>288</v>
      </c>
      <c r="N502" s="265"/>
    </row>
    <row r="503" spans="1:14" s="52" customFormat="1" ht="12.2" customHeight="1" thickBot="1" x14ac:dyDescent="0.25">
      <c r="A503" s="22" t="s">
        <v>625</v>
      </c>
      <c r="B503" s="75">
        <v>20</v>
      </c>
      <c r="C503" s="115">
        <v>13</v>
      </c>
      <c r="D503" s="2" t="s">
        <v>432</v>
      </c>
      <c r="E503" s="115"/>
      <c r="F503" s="18">
        <f>467735+452945</f>
        <v>920680</v>
      </c>
      <c r="G503" s="18"/>
      <c r="H503" s="18"/>
      <c r="I503" s="18"/>
      <c r="J503" s="18"/>
      <c r="K503" s="53">
        <f t="shared" si="35"/>
        <v>920680</v>
      </c>
      <c r="L503" s="24" t="s">
        <v>288</v>
      </c>
      <c r="N503" s="265"/>
    </row>
    <row r="504" spans="1:14" s="52" customFormat="1" ht="12.2" customHeight="1" thickTop="1" x14ac:dyDescent="0.2">
      <c r="A504" s="139" t="s">
        <v>626</v>
      </c>
      <c r="B504" s="44">
        <v>20</v>
      </c>
      <c r="C504" s="195">
        <v>14</v>
      </c>
      <c r="D504" s="39" t="s">
        <v>432</v>
      </c>
      <c r="E504" s="195"/>
      <c r="F504" s="42">
        <f>SUM(F502:F503)</f>
        <v>1500680</v>
      </c>
      <c r="G504" s="42">
        <f>SUM(G502:G503)</f>
        <v>0</v>
      </c>
      <c r="H504" s="42">
        <f>SUM(H502:H503)</f>
        <v>0</v>
      </c>
      <c r="I504" s="42">
        <f>SUM(I502:I503)</f>
        <v>0</v>
      </c>
      <c r="J504" s="42">
        <f>SUM(J502:J503)</f>
        <v>0</v>
      </c>
      <c r="K504" s="42">
        <f t="shared" si="35"/>
        <v>1500680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1727204.56+193323.2</f>
        <v>1920527.76</v>
      </c>
      <c r="G522" s="18">
        <f>750705.17+14422.65</f>
        <v>765127.82000000007</v>
      </c>
      <c r="H522" s="18">
        <f>921570.72+129722.82</f>
        <v>1051293.54</v>
      </c>
      <c r="I522" s="18">
        <f>6277.86+16284.91</f>
        <v>22562.77</v>
      </c>
      <c r="J522" s="18">
        <f>9083.9+9723.29</f>
        <v>18807.190000000002</v>
      </c>
      <c r="K522" s="18">
        <f>1505</f>
        <v>1505</v>
      </c>
      <c r="L522" s="88">
        <f>SUM(F522:K522)</f>
        <v>3779824.08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1920527.76</v>
      </c>
      <c r="G525" s="108">
        <f t="shared" ref="G525:L525" si="36">SUM(G522:G524)</f>
        <v>765127.82000000007</v>
      </c>
      <c r="H525" s="108">
        <f t="shared" si="36"/>
        <v>1051293.54</v>
      </c>
      <c r="I525" s="108">
        <f t="shared" si="36"/>
        <v>22562.77</v>
      </c>
      <c r="J525" s="108">
        <f t="shared" si="36"/>
        <v>18807.190000000002</v>
      </c>
      <c r="K525" s="108">
        <f t="shared" si="36"/>
        <v>1505</v>
      </c>
      <c r="L525" s="89">
        <f t="shared" si="36"/>
        <v>3779824.08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479726.95</v>
      </c>
      <c r="G527" s="18">
        <v>231135</v>
      </c>
      <c r="H527" s="18">
        <v>7008</v>
      </c>
      <c r="I527" s="18"/>
      <c r="J527" s="18"/>
      <c r="K527" s="18"/>
      <c r="L527" s="88">
        <f>SUM(F527:K527)</f>
        <v>717869.95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479726.95</v>
      </c>
      <c r="G530" s="89">
        <f t="shared" ref="G530:L530" si="37">SUM(G527:G529)</f>
        <v>231135</v>
      </c>
      <c r="H530" s="89">
        <f t="shared" si="37"/>
        <v>7008</v>
      </c>
      <c r="I530" s="89">
        <f t="shared" si="37"/>
        <v>0</v>
      </c>
      <c r="J530" s="89">
        <f t="shared" si="37"/>
        <v>0</v>
      </c>
      <c r="K530" s="89">
        <f t="shared" si="37"/>
        <v>0</v>
      </c>
      <c r="L530" s="89">
        <f t="shared" si="37"/>
        <v>717869.95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170420.01</f>
        <v>170420.01</v>
      </c>
      <c r="G532" s="18">
        <v>36919</v>
      </c>
      <c r="H532" s="18">
        <v>3525</v>
      </c>
      <c r="I532" s="18"/>
      <c r="J532" s="18"/>
      <c r="K532" s="18"/>
      <c r="L532" s="88">
        <f>SUM(F532:K532)</f>
        <v>210864.01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170420.01</v>
      </c>
      <c r="G535" s="89">
        <f t="shared" ref="G535:L535" si="38">SUM(G532:G534)</f>
        <v>36919</v>
      </c>
      <c r="H535" s="89">
        <f t="shared" si="38"/>
        <v>3525</v>
      </c>
      <c r="I535" s="89">
        <f t="shared" si="38"/>
        <v>0</v>
      </c>
      <c r="J535" s="89">
        <f t="shared" si="38"/>
        <v>0</v>
      </c>
      <c r="K535" s="89">
        <f t="shared" si="38"/>
        <v>0</v>
      </c>
      <c r="L535" s="89">
        <f t="shared" si="38"/>
        <v>210864.01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258449.53</v>
      </c>
      <c r="I542" s="18"/>
      <c r="J542" s="18"/>
      <c r="K542" s="18"/>
      <c r="L542" s="88">
        <f>SUM(F542:K542)</f>
        <v>258449.53</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258449.53</v>
      </c>
      <c r="I545" s="193">
        <f t="shared" si="40"/>
        <v>0</v>
      </c>
      <c r="J545" s="193">
        <f t="shared" si="40"/>
        <v>0</v>
      </c>
      <c r="K545" s="193">
        <f t="shared" si="40"/>
        <v>0</v>
      </c>
      <c r="L545" s="193">
        <f t="shared" si="40"/>
        <v>258449.53</v>
      </c>
      <c r="M545" s="8"/>
      <c r="N545" s="266"/>
    </row>
    <row r="546" spans="1:14" s="3" customFormat="1" ht="12.2" customHeight="1" thickTop="1" x14ac:dyDescent="0.15">
      <c r="A546" s="98" t="s">
        <v>72</v>
      </c>
      <c r="B546" s="107">
        <v>21</v>
      </c>
      <c r="C546" s="107">
        <v>21</v>
      </c>
      <c r="D546" s="158" t="s">
        <v>432</v>
      </c>
      <c r="E546" s="107"/>
      <c r="F546" s="89">
        <f>F525+F530+F535+F540+F545</f>
        <v>2570674.7199999997</v>
      </c>
      <c r="G546" s="89">
        <f t="shared" ref="G546:L546" si="41">G525+G530+G535+G540+G545</f>
        <v>1033181.8200000001</v>
      </c>
      <c r="H546" s="89">
        <f t="shared" si="41"/>
        <v>1320276.07</v>
      </c>
      <c r="I546" s="89">
        <f t="shared" si="41"/>
        <v>22562.77</v>
      </c>
      <c r="J546" s="89">
        <f t="shared" si="41"/>
        <v>18807.190000000002</v>
      </c>
      <c r="K546" s="89">
        <f t="shared" si="41"/>
        <v>1505</v>
      </c>
      <c r="L546" s="89">
        <f t="shared" si="41"/>
        <v>4967007.57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3779824.08</v>
      </c>
      <c r="G550" s="87">
        <f>L527</f>
        <v>717869.95</v>
      </c>
      <c r="H550" s="87">
        <f>L532</f>
        <v>210864.01</v>
      </c>
      <c r="I550" s="87">
        <f>L537</f>
        <v>0</v>
      </c>
      <c r="J550" s="87">
        <f>L542</f>
        <v>258449.53</v>
      </c>
      <c r="K550" s="87">
        <f>SUM(F550:J550)</f>
        <v>4967007.57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3779824.08</v>
      </c>
      <c r="G553" s="89">
        <f t="shared" si="42"/>
        <v>717869.95</v>
      </c>
      <c r="H553" s="89">
        <f t="shared" si="42"/>
        <v>210864.01</v>
      </c>
      <c r="I553" s="89">
        <f t="shared" si="42"/>
        <v>0</v>
      </c>
      <c r="J553" s="89">
        <f t="shared" si="42"/>
        <v>258449.53</v>
      </c>
      <c r="K553" s="89">
        <f t="shared" si="42"/>
        <v>4967007.57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116225.77</v>
      </c>
      <c r="G563" s="18">
        <v>56838.37</v>
      </c>
      <c r="H563" s="18"/>
      <c r="I563" s="18"/>
      <c r="J563" s="18"/>
      <c r="K563" s="18"/>
      <c r="L563" s="88">
        <f>SUM(F563:K563)</f>
        <v>173064.14</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116225.77</v>
      </c>
      <c r="G566" s="89">
        <f t="shared" si="44"/>
        <v>56838.37</v>
      </c>
      <c r="H566" s="89">
        <f t="shared" si="44"/>
        <v>0</v>
      </c>
      <c r="I566" s="89">
        <f t="shared" si="44"/>
        <v>0</v>
      </c>
      <c r="J566" s="89">
        <f t="shared" si="44"/>
        <v>0</v>
      </c>
      <c r="K566" s="89">
        <f t="shared" si="44"/>
        <v>0</v>
      </c>
      <c r="L566" s="89">
        <f t="shared" si="44"/>
        <v>173064.14</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116225.77</v>
      </c>
      <c r="G572" s="89">
        <f t="shared" ref="G572:L572" si="46">G561+G566+G571</f>
        <v>56838.37</v>
      </c>
      <c r="H572" s="89">
        <f t="shared" si="46"/>
        <v>0</v>
      </c>
      <c r="I572" s="89">
        <f t="shared" si="46"/>
        <v>0</v>
      </c>
      <c r="J572" s="89">
        <f t="shared" si="46"/>
        <v>0</v>
      </c>
      <c r="K572" s="89">
        <f t="shared" si="46"/>
        <v>0</v>
      </c>
      <c r="L572" s="89">
        <f t="shared" si="46"/>
        <v>173064.14</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11907</v>
      </c>
      <c r="G580" s="18"/>
      <c r="H580" s="18"/>
      <c r="I580" s="87">
        <f t="shared" si="47"/>
        <v>11907</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868148.72</v>
      </c>
      <c r="G583" s="18"/>
      <c r="H583" s="18"/>
      <c r="I583" s="87">
        <f t="shared" si="47"/>
        <v>868148.72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565230.52</v>
      </c>
      <c r="I592" s="18"/>
      <c r="J592" s="18"/>
      <c r="K592" s="104">
        <f t="shared" ref="K592:K598" si="48">SUM(H592:J592)</f>
        <v>565230.52</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258449.53</v>
      </c>
      <c r="I593" s="18"/>
      <c r="J593" s="18"/>
      <c r="K593" s="104">
        <f t="shared" si="48"/>
        <v>258449.53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7099.64</v>
      </c>
      <c r="I595" s="18"/>
      <c r="J595" s="18"/>
      <c r="K595" s="104">
        <f t="shared" si="48"/>
        <v>7099.64</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6311.05</v>
      </c>
      <c r="I596" s="18"/>
      <c r="J596" s="18"/>
      <c r="K596" s="104">
        <f t="shared" si="48"/>
        <v>6311.05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48258.99</v>
      </c>
      <c r="I598" s="18"/>
      <c r="J598" s="18"/>
      <c r="K598" s="104">
        <f t="shared" si="48"/>
        <v>48258.99</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885349.7300000001</v>
      </c>
      <c r="I599" s="108">
        <f>SUM(I592:I598)</f>
        <v>0</v>
      </c>
      <c r="J599" s="108">
        <f>SUM(J592:J598)</f>
        <v>0</v>
      </c>
      <c r="K599" s="108">
        <f>SUM(K592:K598)</f>
        <v>885349.7300000001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149665.51</v>
      </c>
      <c r="I605" s="18"/>
      <c r="J605" s="18"/>
      <c r="K605" s="104">
        <f>SUM(H605:J605)</f>
        <v>149665.51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149665.51</v>
      </c>
      <c r="I606" s="108">
        <f>SUM(I603:I605)</f>
        <v>0</v>
      </c>
      <c r="J606" s="108">
        <f>SUM(J603:J605)</f>
        <v>0</v>
      </c>
      <c r="K606" s="108">
        <f>SUM(K603:K605)</f>
        <v>149665.51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802517.86999999988</v>
      </c>
      <c r="H618" s="109">
        <f>SUM(F52)</f>
        <v>802517.87000000011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16612.29</v>
      </c>
      <c r="H619" s="109">
        <f>SUM(G52)</f>
        <v>16612.290000000008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41139.25</v>
      </c>
      <c r="H620" s="109">
        <f>SUM(H52)</f>
        <v>41139.25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313852.33999999997</v>
      </c>
      <c r="H621" s="109">
        <f>SUM(I52)</f>
        <v>313852.33999999985</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162304.98000000001</v>
      </c>
      <c r="H622" s="109">
        <f>SUM(J52)</f>
        <v>162304.98000000001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684578.2300000001</v>
      </c>
      <c r="H623" s="109">
        <f>F477</f>
        <v>684578.23000000045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-3288838.64</v>
      </c>
      <c r="H626" s="109">
        <f>I477</f>
        <v>-3288838.6400000006</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162304.98000000001</v>
      </c>
      <c r="H627" s="109">
        <f>J477</f>
        <v>162304.98000000001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22729184.679999996</v>
      </c>
      <c r="H628" s="104">
        <f>SUM(F469)</f>
        <v>22729184.68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391550.44999999995</v>
      </c>
      <c r="H629" s="104">
        <f>SUM(G469)</f>
        <v>391550.45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550532</v>
      </c>
      <c r="H630" s="104">
        <f>SUM(H469)</f>
        <v>550532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127063.99</v>
      </c>
      <c r="H631" s="104">
        <f>SUM(I469)</f>
        <v>127063.99</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5177.03</v>
      </c>
      <c r="H632" s="104">
        <f>SUM(J469)</f>
        <v>5177.03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22337267.890000001</v>
      </c>
      <c r="H633" s="104">
        <f>SUM(F473)</f>
        <v>22337267.890000001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550532</v>
      </c>
      <c r="H634" s="104">
        <f>SUM(H473)</f>
        <v>550532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160804.60999999999</v>
      </c>
      <c r="H635" s="104">
        <f>I370</f>
        <v>160804.60999999999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400845.38</v>
      </c>
      <c r="H636" s="104">
        <f>SUM(G473)</f>
        <v>400845.38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5043098.8599999994</v>
      </c>
      <c r="H637" s="104">
        <f>SUM(I473)</f>
        <v>5043098.8600000003</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5177.03</v>
      </c>
      <c r="H638" s="164">
        <f>SUM(J469)</f>
        <v>5177.03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75000</v>
      </c>
      <c r="H639" s="164">
        <f>SUM(J473)</f>
        <v>75000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162304.98000000001</v>
      </c>
      <c r="H641" s="104">
        <f>SUM(G462)</f>
        <v>162304.98000000001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162304.98000000001</v>
      </c>
      <c r="H643" s="104">
        <f>SUM(I462)</f>
        <v>162304.98000000001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5177.03</v>
      </c>
      <c r="H645" s="104">
        <f>H409</f>
        <v>5177.03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5177.03</v>
      </c>
      <c r="H647" s="104">
        <f>L409</f>
        <v>5177.03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885349.7300000001</v>
      </c>
      <c r="H648" s="104">
        <f>L209+L227+L245</f>
        <v>885349.73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149665.51</v>
      </c>
      <c r="H649" s="104">
        <f>(J258+J339)-(J256+J337)</f>
        <v>149665.51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885349.73</v>
      </c>
      <c r="H650" s="104">
        <f>H599</f>
        <v>885349.7300000001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73250.86</v>
      </c>
      <c r="H653" s="104">
        <f>K264+K346</f>
        <v>73250.86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21710771.91</v>
      </c>
      <c r="G661" s="19">
        <f>(L230+L310+L360)</f>
        <v>0</v>
      </c>
      <c r="H661" s="19">
        <f>(L248+L329+L361)</f>
        <v>0</v>
      </c>
      <c r="I661" s="19">
        <f>SUM(F661:H661)</f>
        <v>21710771.91</v>
      </c>
      <c r="J661" s="13"/>
      <c r="K661" s="13"/>
      <c r="L661" s="13"/>
      <c r="M661" s="9"/>
    </row>
    <row r="662" spans="1:13" s="3" customFormat="1" ht="12.2" customHeight="1" x14ac:dyDescent="0.2">
      <c r="A662" s="1" t="s">
        <v>127</v>
      </c>
      <c r="F662" s="19">
        <f>(L359/IF(SUM(L359:L361)=0,1,SUM(L359:L361))*(SUM(G97:G110)))</f>
        <v>186208.7</v>
      </c>
      <c r="G662" s="19">
        <f>(L360/IF(SUM(L359:L361)=0,1,SUM(L359:L361))*(SUM(G97:G110)))</f>
        <v>0</v>
      </c>
      <c r="H662" s="19">
        <f>(L361/IF(SUM(L359:L361)=0,1,SUM(L359:L361))*(SUM(G97:G110)))</f>
        <v>0</v>
      </c>
      <c r="I662" s="19">
        <f>SUM(F662:H662)</f>
        <v>186208.7</v>
      </c>
      <c r="J662"/>
      <c r="K662" s="13"/>
      <c r="L662" s="13"/>
      <c r="M662" s="8"/>
    </row>
    <row r="663" spans="1:13" s="3" customFormat="1" ht="12.2" customHeight="1" x14ac:dyDescent="0.2">
      <c r="A663" s="1" t="s">
        <v>128</v>
      </c>
      <c r="F663" s="19">
        <f>(L209+L288)-(J209+J288)</f>
        <v>885349.73</v>
      </c>
      <c r="G663" s="19">
        <f>(L227+L307)-(J227+J307)</f>
        <v>0</v>
      </c>
      <c r="H663" s="19">
        <f>(L245+L326)-(J245+J326)</f>
        <v>0</v>
      </c>
      <c r="I663" s="19">
        <f>SUM(F663:H663)</f>
        <v>885349.73</v>
      </c>
      <c r="J663"/>
      <c r="K663" s="13"/>
      <c r="L663" s="13"/>
      <c r="M663" s="9"/>
    </row>
    <row r="664" spans="1:13" s="3" customFormat="1" ht="12.2" customHeight="1" x14ac:dyDescent="0.15">
      <c r="A664" s="198" t="s">
        <v>129</v>
      </c>
      <c r="B664" s="169"/>
      <c r="C664" s="169"/>
      <c r="D664" s="169"/>
      <c r="E664" s="169"/>
      <c r="F664" s="199">
        <f>SUM(F576:F588)+SUM(H603:H605)+SUM(L612)</f>
        <v>1029721.23</v>
      </c>
      <c r="G664" s="199">
        <f>SUM(G576:G588)+SUM(I603:I605)+L613</f>
        <v>0</v>
      </c>
      <c r="H664" s="199">
        <f>SUM(H576:H588)+SUM(J603:J605)+L614</f>
        <v>0</v>
      </c>
      <c r="I664" s="19">
        <f>SUM(F664:H664)</f>
        <v>1029721.23</v>
      </c>
      <c r="J664" s="13"/>
      <c r="K664" s="13"/>
      <c r="L664" s="13"/>
      <c r="M664" s="9"/>
    </row>
    <row r="665" spans="1:13" s="3" customFormat="1" ht="12.2" customHeight="1" x14ac:dyDescent="0.15">
      <c r="A665" s="1" t="s">
        <v>130</v>
      </c>
      <c r="F665" s="19">
        <f>F661-SUM(F662:F664)</f>
        <v>19609492.25</v>
      </c>
      <c r="G665" s="19">
        <f>G661-SUM(G662:G664)</f>
        <v>0</v>
      </c>
      <c r="H665" s="19">
        <f>H661-SUM(H662:H664)</f>
        <v>0</v>
      </c>
      <c r="I665" s="19">
        <f>I661-SUM(I662:I664)</f>
        <v>19609492.25</v>
      </c>
      <c r="J665" s="13"/>
      <c r="K665" s="13"/>
      <c r="L665" s="13"/>
      <c r="M665" s="8"/>
    </row>
    <row r="666" spans="1:13" s="3" customFormat="1" ht="12.2" customHeight="1" x14ac:dyDescent="0.2">
      <c r="A666" s="1" t="s">
        <v>131</v>
      </c>
      <c r="F666" s="246">
        <v>1049.07</v>
      </c>
      <c r="G666" s="247"/>
      <c r="H666" s="247"/>
      <c r="I666" s="19">
        <f>SUM(F666:H666)</f>
        <v>1049.07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18692.259999999998</v>
      </c>
      <c r="G668" s="19" t="e">
        <f>ROUND(G665/G666,2)</f>
        <v>#DIV/0!</v>
      </c>
      <c r="H668" s="19" t="e">
        <f>ROUND(H665/H666,2)</f>
        <v>#DIV/0!</v>
      </c>
      <c r="I668" s="19">
        <f>ROUND(I665/I666,2)</f>
        <v>18692.259999999998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18692.259999999998</v>
      </c>
      <c r="G673" s="19" t="e">
        <f>ROUND((G665+G670)/(G666+G671),2)</f>
        <v>#DIV/0!</v>
      </c>
      <c r="H673" s="19" t="e">
        <f>ROUND((H665+H670)/(H666+H671),2)</f>
        <v>#DIV/0!</v>
      </c>
      <c r="I673" s="19">
        <f>ROUND((I665+I670)/(I666+I671),2)</f>
        <v>18692.259999999998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Hampton</v>
      </c>
      <c r="C5" s="344"/>
      <c r="D5" s="344"/>
      <c r="E5" s="344"/>
      <c r="F5" s="344"/>
    </row>
    <row r="8" spans="1:9" ht="18" x14ac:dyDescent="0.25">
      <c r="A8" s="323" t="s">
        <v>1591</v>
      </c>
      <c r="F8" s="330" t="s">
        <v>1609</v>
      </c>
    </row>
    <row r="9" spans="1:9" ht="15" x14ac:dyDescent="0.2">
      <c r="A9" s="321" t="s">
        <v>1592</v>
      </c>
      <c r="B9" s="324">
        <f>'DOE25'!G97</f>
        <v>186208.7</v>
      </c>
      <c r="F9" s="321" t="s">
        <v>1605</v>
      </c>
    </row>
    <row r="10" spans="1:9" ht="15" x14ac:dyDescent="0.2">
      <c r="A10" s="321" t="s">
        <v>1593</v>
      </c>
      <c r="B10" s="324">
        <f>'DOE25'!G112-'DOE25'!G97</f>
        <v>0</v>
      </c>
      <c r="F10" s="321" t="s">
        <v>1606</v>
      </c>
    </row>
    <row r="11" spans="1:9" ht="15" x14ac:dyDescent="0.2">
      <c r="A11" s="321" t="s">
        <v>1594</v>
      </c>
      <c r="B11" s="324">
        <f>'DOE25'!G140</f>
        <v>6543.09</v>
      </c>
      <c r="F11" s="321" t="s">
        <v>1607</v>
      </c>
    </row>
    <row r="12" spans="1:9" ht="15" x14ac:dyDescent="0.2">
      <c r="A12" s="321" t="s">
        <v>1595</v>
      </c>
      <c r="B12" s="324">
        <f>'DOE25'!G170</f>
        <v>125547.79999999999</v>
      </c>
      <c r="F12" s="321" t="s">
        <v>1608</v>
      </c>
    </row>
    <row r="13" spans="1:9" ht="15" x14ac:dyDescent="0.2">
      <c r="A13" s="321" t="s">
        <v>1596</v>
      </c>
      <c r="B13" s="324">
        <f>'DOE25'!G193-'DOE25'!G180</f>
        <v>0</v>
      </c>
      <c r="F13" s="321" t="s">
        <v>1618</v>
      </c>
    </row>
    <row r="14" spans="1:9" ht="18" x14ac:dyDescent="0.25">
      <c r="A14" s="323" t="s">
        <v>732</v>
      </c>
      <c r="B14" s="325">
        <f>SUM(B9:B13)</f>
        <v>318299.58999999997</v>
      </c>
    </row>
    <row r="16" spans="1:9" ht="18" x14ac:dyDescent="0.25">
      <c r="A16" s="323" t="s">
        <v>786</v>
      </c>
      <c r="F16" s="330" t="s">
        <v>1610</v>
      </c>
    </row>
    <row r="17" spans="1:6" ht="15" x14ac:dyDescent="0.2">
      <c r="A17" s="321" t="s">
        <v>1597</v>
      </c>
      <c r="B17" s="324">
        <f>'DOE25'!L363-'DOE25'!L362</f>
        <v>400845.38</v>
      </c>
      <c r="F17" s="321" t="s">
        <v>1611</v>
      </c>
    </row>
    <row r="18" spans="1:6" ht="15" x14ac:dyDescent="0.2">
      <c r="A18" s="321" t="s">
        <v>1598</v>
      </c>
      <c r="B18" s="338"/>
      <c r="F18" s="330" t="s">
        <v>1637</v>
      </c>
    </row>
    <row r="19" spans="1:6" ht="18" x14ac:dyDescent="0.25">
      <c r="A19" s="323" t="s">
        <v>725</v>
      </c>
      <c r="B19" s="325">
        <f>SUM(B17:B18)</f>
        <v>400845.38</v>
      </c>
    </row>
    <row r="21" spans="1:6" ht="18.75" thickBot="1" x14ac:dyDescent="0.3">
      <c r="A21" s="323" t="s">
        <v>1599</v>
      </c>
    </row>
    <row r="22" spans="1:6" ht="18.75" thickTop="1" x14ac:dyDescent="0.25">
      <c r="A22" s="323" t="s">
        <v>1600</v>
      </c>
      <c r="B22" s="329">
        <f>B14-B19</f>
        <v>-82545.790000000037</v>
      </c>
      <c r="F22" s="321" t="s">
        <v>1612</v>
      </c>
    </row>
    <row r="26" spans="1:6" ht="18" x14ac:dyDescent="0.25">
      <c r="A26" s="323" t="s">
        <v>186</v>
      </c>
    </row>
    <row r="27" spans="1:6" ht="15" x14ac:dyDescent="0.2">
      <c r="A27" s="321" t="s">
        <v>1601</v>
      </c>
      <c r="B27" s="324">
        <f>'DOE25'!G180</f>
        <v>73250.86</v>
      </c>
      <c r="F27" s="321" t="s">
        <v>1613</v>
      </c>
    </row>
    <row r="28" spans="1:6" ht="15" x14ac:dyDescent="0.2">
      <c r="A28" s="321" t="s">
        <v>1603</v>
      </c>
      <c r="B28" s="324">
        <f>'DOE25'!L362</f>
        <v>0</v>
      </c>
      <c r="F28" s="321" t="s">
        <v>1614</v>
      </c>
    </row>
    <row r="31" spans="1:6" ht="15" x14ac:dyDescent="0.2">
      <c r="A31" s="321" t="s">
        <v>1640</v>
      </c>
      <c r="B31" s="324">
        <f>'DOE25'!G466</f>
        <v>9294.93</v>
      </c>
      <c r="F31" s="321" t="s">
        <v>1615</v>
      </c>
    </row>
    <row r="33" spans="1:6" ht="15" x14ac:dyDescent="0.2">
      <c r="A33" s="321" t="s">
        <v>1641</v>
      </c>
      <c r="B33" s="324">
        <f>'DOE25'!G477</f>
        <v>0</v>
      </c>
      <c r="F33" s="321" t="s">
        <v>1616</v>
      </c>
    </row>
    <row r="36" spans="1:6" ht="15" x14ac:dyDescent="0.2">
      <c r="A36" s="321" t="s">
        <v>1602</v>
      </c>
      <c r="B36" s="339">
        <v>1965</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34" sqref="G34:H3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Hampton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6620925.1799999997</v>
      </c>
      <c r="C9" s="229">
        <f>'DOE25'!G198+'DOE25'!G216+'DOE25'!G234+'DOE25'!G277+'DOE25'!G296+'DOE25'!G315</f>
        <v>2669029.86</v>
      </c>
    </row>
    <row r="10" spans="1:3" x14ac:dyDescent="0.2">
      <c r="A10" t="s">
        <v>775</v>
      </c>
      <c r="B10" s="240">
        <v>6206066.75</v>
      </c>
      <c r="C10" s="240">
        <v>2501791.9700000002</v>
      </c>
    </row>
    <row r="11" spans="1:3" x14ac:dyDescent="0.2">
      <c r="A11" t="s">
        <v>776</v>
      </c>
      <c r="B11" s="240">
        <f>160089.81+58936</f>
        <v>219025.81</v>
      </c>
      <c r="C11" s="240">
        <v>88293.77</v>
      </c>
    </row>
    <row r="12" spans="1:3" x14ac:dyDescent="0.2">
      <c r="A12" t="s">
        <v>777</v>
      </c>
      <c r="B12" s="240">
        <f>179447.33+16385+0.29</f>
        <v>195832.62</v>
      </c>
      <c r="C12" s="240">
        <v>78944.12</v>
      </c>
    </row>
    <row r="13" spans="1:3" x14ac:dyDescent="0.2">
      <c r="A13" t="str">
        <f>IF(B9=B13,IF(C9=C13,"Check Total OK","Check Total Error"),"Check Total Error")</f>
        <v>Check Total OK</v>
      </c>
      <c r="B13" s="231">
        <f>SUM(B10:B12)</f>
        <v>6620925.1799999997</v>
      </c>
      <c r="C13" s="231">
        <f>SUM(C10:C12)</f>
        <v>2669029.8600000003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1920527.76</v>
      </c>
      <c r="C18" s="229">
        <f>'DOE25'!G199+'DOE25'!G217+'DOE25'!G235+'DOE25'!G278+'DOE25'!G297+'DOE25'!G316</f>
        <v>765127.81</v>
      </c>
    </row>
    <row r="19" spans="1:3" x14ac:dyDescent="0.2">
      <c r="A19" t="s">
        <v>775</v>
      </c>
      <c r="B19" s="240">
        <f>997317+1000</f>
        <v>998317</v>
      </c>
      <c r="C19" s="240">
        <v>397724.06</v>
      </c>
    </row>
    <row r="20" spans="1:3" x14ac:dyDescent="0.2">
      <c r="A20" t="s">
        <v>776</v>
      </c>
      <c r="B20" s="240">
        <f>429826+189244.52</f>
        <v>619070.52</v>
      </c>
      <c r="C20" s="240">
        <v>246634.33</v>
      </c>
    </row>
    <row r="21" spans="1:3" x14ac:dyDescent="0.2">
      <c r="A21" t="s">
        <v>777</v>
      </c>
      <c r="B21" s="240">
        <f>290244+12896+0.24</f>
        <v>303140.24</v>
      </c>
      <c r="C21" s="240">
        <v>120769.42</v>
      </c>
    </row>
    <row r="22" spans="1:3" x14ac:dyDescent="0.2">
      <c r="A22" t="str">
        <f>IF(B18=B22,IF(C18=C22,"Check Total OK","Check Total Error"),"Check Total Error")</f>
        <v>Check Total OK</v>
      </c>
      <c r="B22" s="231">
        <f>SUM(B19:B21)</f>
        <v>1920527.76</v>
      </c>
      <c r="C22" s="231">
        <f>SUM(C19:C21)</f>
        <v>765127.81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88799.02</v>
      </c>
      <c r="C36" s="235">
        <f>'DOE25'!G201+'DOE25'!G219+'DOE25'!G237+'DOE25'!G280+'DOE25'!G299+'DOE25'!G318</f>
        <v>22652.63</v>
      </c>
    </row>
    <row r="37" spans="1:3" x14ac:dyDescent="0.2">
      <c r="A37" t="s">
        <v>775</v>
      </c>
      <c r="B37" s="240"/>
      <c r="C37" s="240"/>
    </row>
    <row r="38" spans="1:3" x14ac:dyDescent="0.2">
      <c r="A38" t="s">
        <v>776</v>
      </c>
      <c r="B38" s="240"/>
      <c r="C38" s="240"/>
    </row>
    <row r="39" spans="1:3" x14ac:dyDescent="0.2">
      <c r="A39" t="s">
        <v>777</v>
      </c>
      <c r="B39" s="240">
        <v>88799.02</v>
      </c>
      <c r="C39" s="240">
        <v>22652.63</v>
      </c>
    </row>
    <row r="40" spans="1:3" x14ac:dyDescent="0.2">
      <c r="A40" t="str">
        <f>IF(B36=B40,IF(C36=C40,"Check Total OK","Check Total Error"),"Check Total Error")</f>
        <v>Check Total OK</v>
      </c>
      <c r="B40" s="231">
        <f>SUM(B37:B39)</f>
        <v>88799.02</v>
      </c>
      <c r="C40" s="231">
        <f>SUM(C37:C39)</f>
        <v>22652.63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Hampton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12991932.23</v>
      </c>
      <c r="D5" s="20">
        <f>SUM('DOE25'!L198:L201)+SUM('DOE25'!L216:L219)+SUM('DOE25'!L234:L237)-F5-G5-H5</f>
        <v>12969854.530000001</v>
      </c>
      <c r="E5" s="243"/>
      <c r="F5" s="244"/>
      <c r="G5" s="53">
        <f>SUM('DOE25'!J198:J201)+SUM('DOE25'!J216:J219)+SUM('DOE25'!J234:J237)</f>
        <v>20572.699999999997</v>
      </c>
      <c r="H5" s="53">
        <f>SUM('DOE25'!K198:K201)+SUM('DOE25'!K216:K219)+SUM('DOE25'!K234:K237)</f>
        <v>1505</v>
      </c>
      <c r="I5" s="256"/>
    </row>
    <row r="6" spans="1:9" x14ac:dyDescent="0.2">
      <c r="A6" s="32">
        <v>2100</v>
      </c>
      <c r="B6" t="s">
        <v>796</v>
      </c>
      <c r="C6" s="276">
        <f t="shared" si="0"/>
        <v>1727226.35</v>
      </c>
      <c r="D6" s="20">
        <f>'DOE25'!L203+'DOE25'!L221+'DOE25'!L239-F6-G6-H6</f>
        <v>1727226.35</v>
      </c>
      <c r="E6" s="243"/>
      <c r="F6" s="244"/>
      <c r="G6" s="53">
        <f>'DOE25'!J203+'DOE25'!J221+'DOE25'!J239</f>
        <v>0</v>
      </c>
      <c r="H6" s="53">
        <f>'DOE25'!K203+'DOE25'!K221+'DOE25'!K239</f>
        <v>0</v>
      </c>
      <c r="I6" s="256"/>
    </row>
    <row r="7" spans="1:9" x14ac:dyDescent="0.2">
      <c r="A7" s="32">
        <v>2200</v>
      </c>
      <c r="B7" t="s">
        <v>821</v>
      </c>
      <c r="C7" s="276">
        <f t="shared" si="0"/>
        <v>1530010.42</v>
      </c>
      <c r="D7" s="20">
        <f>'DOE25'!L204+'DOE25'!L222+'DOE25'!L240-F7-G7-H7</f>
        <v>1438965.71</v>
      </c>
      <c r="E7" s="243"/>
      <c r="F7" s="244"/>
      <c r="G7" s="53">
        <f>'DOE25'!J204+'DOE25'!J222+'DOE25'!J240</f>
        <v>89749.71</v>
      </c>
      <c r="H7" s="53">
        <f>'DOE25'!K204+'DOE25'!K222+'DOE25'!K240</f>
        <v>1295</v>
      </c>
      <c r="I7" s="256"/>
    </row>
    <row r="8" spans="1:9" x14ac:dyDescent="0.2">
      <c r="A8" s="32">
        <v>2300</v>
      </c>
      <c r="B8" t="s">
        <v>797</v>
      </c>
      <c r="C8" s="276">
        <f t="shared" si="0"/>
        <v>764114.25</v>
      </c>
      <c r="D8" s="243"/>
      <c r="E8" s="20">
        <f>'DOE25'!L205+'DOE25'!L223+'DOE25'!L241-F8-G8-H8-D9-D11</f>
        <v>740225.65</v>
      </c>
      <c r="F8" s="244"/>
      <c r="G8" s="53">
        <f>'DOE25'!J205+'DOE25'!J223+'DOE25'!J241</f>
        <v>0</v>
      </c>
      <c r="H8" s="53">
        <f>'DOE25'!K205+'DOE25'!K223+'DOE25'!K241</f>
        <v>23888.6</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1138622.01</v>
      </c>
      <c r="D12" s="20">
        <f>'DOE25'!L206+'DOE25'!L224+'DOE25'!L242-F12-G12-H12</f>
        <v>1135132.01</v>
      </c>
      <c r="E12" s="243"/>
      <c r="F12" s="244"/>
      <c r="G12" s="53">
        <f>'DOE25'!J206+'DOE25'!J224+'DOE25'!J242</f>
        <v>0</v>
      </c>
      <c r="H12" s="53">
        <f>'DOE25'!K206+'DOE25'!K224+'DOE25'!K242</f>
        <v>3490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1722139.54</v>
      </c>
      <c r="D14" s="20">
        <f>'DOE25'!L208+'DOE25'!L226+'DOE25'!L244-F14-G14-H14</f>
        <v>1699786.06</v>
      </c>
      <c r="E14" s="243"/>
      <c r="F14" s="244"/>
      <c r="G14" s="53">
        <f>'DOE25'!J208+'DOE25'!J226+'DOE25'!J244</f>
        <v>22263.48</v>
      </c>
      <c r="H14" s="53">
        <f>'DOE25'!K208+'DOE25'!K226+'DOE25'!K244</f>
        <v>90</v>
      </c>
      <c r="I14" s="256"/>
    </row>
    <row r="15" spans="1:9" x14ac:dyDescent="0.2">
      <c r="A15" s="32">
        <v>2700</v>
      </c>
      <c r="B15" t="s">
        <v>799</v>
      </c>
      <c r="C15" s="276">
        <f t="shared" si="0"/>
        <v>885349.73</v>
      </c>
      <c r="D15" s="20">
        <f>'DOE25'!L209+'DOE25'!L227+'DOE25'!L245-F15-G15-H15</f>
        <v>885349.73</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1504622.5</v>
      </c>
      <c r="D25" s="243"/>
      <c r="E25" s="243"/>
      <c r="F25" s="255"/>
      <c r="G25" s="253"/>
      <c r="H25" s="253"/>
      <c r="I25" s="254">
        <f>'DOE25'!L261+'DOE25'!L262+'DOE25'!L342+'DOE25'!L343</f>
        <v>1504622.5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257191.79</v>
      </c>
      <c r="D29" s="284">
        <f>'DOE25'!L359+'DOE25'!L360+'DOE25'!L361-'DOE25'!I368-F29-G29-H29</f>
        <v>253136.59</v>
      </c>
      <c r="E29" s="243"/>
      <c r="F29" s="244"/>
      <c r="G29" s="53">
        <f>'DOE25'!J359+'DOE25'!J360+'DOE25'!J361</f>
        <v>1216.32</v>
      </c>
      <c r="H29" s="53">
        <f>'DOE25'!K359+'DOE25'!K360+'DOE25'!K361</f>
        <v>2838.88</v>
      </c>
      <c r="I29" s="256"/>
    </row>
    <row r="30" spans="1:9" x14ac:dyDescent="0.2">
      <c r="A30" s="32"/>
      <c r="C30" s="277"/>
      <c r="D30" s="20"/>
      <c r="E30" s="281"/>
      <c r="F30" s="271"/>
      <c r="G30" s="53"/>
      <c r="H30" s="53"/>
      <c r="I30" s="256"/>
    </row>
    <row r="31" spans="1:9" x14ac:dyDescent="0.2">
      <c r="A31" s="32" t="s">
        <v>818</v>
      </c>
      <c r="B31" t="s">
        <v>817</v>
      </c>
      <c r="C31" s="276">
        <f>SUM(D31:I31)</f>
        <v>550532</v>
      </c>
      <c r="D31" s="20">
        <f>'DOE25'!L291+'DOE25'!L310+'DOE25'!L329+'DOE25'!L334+'DOE25'!L335+'DOE25'!L336-F31-G31-H31</f>
        <v>530347.38</v>
      </c>
      <c r="E31" s="243"/>
      <c r="F31" s="244"/>
      <c r="G31" s="53">
        <f>'DOE25'!J291+'DOE25'!J310+'DOE25'!J329+'DOE25'!J334+'DOE25'!J335+'DOE25'!J336</f>
        <v>17079.620000000003</v>
      </c>
      <c r="H31" s="53">
        <f>'DOE25'!K291+'DOE25'!K310+'DOE25'!K329+'DOE25'!K334+'DOE25'!K335+'DOE25'!K336</f>
        <v>3105</v>
      </c>
      <c r="I31" s="256"/>
    </row>
    <row r="32" spans="1:9" ht="12" thickBot="1" x14ac:dyDescent="0.25">
      <c r="C32" s="277"/>
      <c r="G32" s="251"/>
      <c r="H32" s="251"/>
      <c r="I32" s="258"/>
    </row>
    <row r="33" spans="1:9" ht="12" thickTop="1" x14ac:dyDescent="0.2">
      <c r="B33" t="s">
        <v>809</v>
      </c>
      <c r="D33" s="245">
        <f t="shared" ref="D33:I33" si="1">SUM(D5:D31)</f>
        <v>20639798.359999999</v>
      </c>
      <c r="E33" s="245">
        <f t="shared" si="1"/>
        <v>740225.65</v>
      </c>
      <c r="F33" s="245">
        <f t="shared" si="1"/>
        <v>0</v>
      </c>
      <c r="G33" s="245">
        <f t="shared" si="1"/>
        <v>150881.83000000002</v>
      </c>
      <c r="H33" s="245">
        <f t="shared" si="1"/>
        <v>36212.479999999996</v>
      </c>
      <c r="I33" s="245">
        <f t="shared" si="1"/>
        <v>1504622.5</v>
      </c>
    </row>
    <row r="35" spans="1:9" ht="12" thickBot="1" x14ac:dyDescent="0.25">
      <c r="B35" s="251" t="s">
        <v>831</v>
      </c>
      <c r="D35" s="252">
        <f>E33</f>
        <v>740225.65</v>
      </c>
      <c r="E35" s="248"/>
    </row>
    <row r="36" spans="1:9" ht="12" thickTop="1" x14ac:dyDescent="0.2">
      <c r="B36" t="s">
        <v>810</v>
      </c>
      <c r="D36" s="20">
        <f>D33</f>
        <v>20639798.359999999</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Hampton</v>
      </c>
      <c r="B2" s="126">
        <f>'DOE25'!B2</f>
        <v>225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21309926.530000001</v>
      </c>
      <c r="G4" s="303">
        <f>'DOE25'!L212+'DOE25'!L291</f>
        <v>21309926.530000001</v>
      </c>
      <c r="H4" s="337">
        <f>F4-G4</f>
        <v>0</v>
      </c>
      <c r="I4" s="309" t="str">
        <f>IF(H4=0,"","Does not match DOE25 page 7 and 11 Totals!!")</f>
        <v/>
      </c>
      <c r="N4"/>
    </row>
    <row r="5" spans="1:18" x14ac:dyDescent="0.2">
      <c r="A5" s="21" t="s">
        <v>1095</v>
      </c>
      <c r="B5" s="304">
        <f>IFERROR(VLOOKUP(A5,'School Tables'!$C$3:$D$365,2,FALSE),"")</f>
        <v>20795</v>
      </c>
      <c r="C5" s="297" t="str">
        <f>IFERROR(INDEX('School Tables'!$B$3:$B$365,MATCH('School Level Expenditures'!B5,'School Tables'!$D$3:$D$365,0)),"")</f>
        <v>Hampton</v>
      </c>
      <c r="D5" s="294">
        <f>4327207+1809166.7</f>
        <v>6136373.7000000002</v>
      </c>
      <c r="E5" s="294">
        <f>52043+142910.42</f>
        <v>194953.42</v>
      </c>
      <c r="F5" s="312">
        <f>D5+E5</f>
        <v>6331327.1200000001</v>
      </c>
      <c r="G5" s="297"/>
      <c r="H5" s="297"/>
      <c r="I5" s="126"/>
      <c r="N5"/>
    </row>
    <row r="6" spans="1:18" x14ac:dyDescent="0.2">
      <c r="A6" s="21" t="s">
        <v>1094</v>
      </c>
      <c r="B6" s="304">
        <f>IFERROR(VLOOKUP(A6,'School Tables'!$C$3:$D$365,2,FALSE),"")</f>
        <v>20770</v>
      </c>
      <c r="C6" s="297" t="str">
        <f>IFERROR(INDEX('School Tables'!$B$3:$B$365,MATCH('School Level Expenditures'!B6,'School Tables'!$D$3:$D$365,0)),"")</f>
        <v>Hampton</v>
      </c>
      <c r="D6" s="294">
        <f>4216515+1809166.36</f>
        <v>6025681.3600000003</v>
      </c>
      <c r="E6" s="294">
        <f>43990.28+142910.42</f>
        <v>186900.7</v>
      </c>
      <c r="F6" s="307">
        <f t="shared" ref="F6:F20" si="0">D6+E6</f>
        <v>6212582.0600000005</v>
      </c>
      <c r="G6" s="297"/>
      <c r="H6" s="297"/>
      <c r="I6" s="126"/>
      <c r="N6"/>
    </row>
    <row r="7" spans="1:18" x14ac:dyDescent="0.2">
      <c r="A7" s="21" t="s">
        <v>1550</v>
      </c>
      <c r="B7" s="304">
        <f>IFERROR(VLOOKUP(A7,'School Tables'!$C$3:$D$365,2,FALSE),"")</f>
        <v>20790</v>
      </c>
      <c r="C7" s="297" t="str">
        <f>IFERROR(INDEX('School Tables'!$B$3:$B$365,MATCH('School Level Expenditures'!B7,'School Tables'!$D$3:$D$365,0)),"")</f>
        <v>Hampton</v>
      </c>
      <c r="D7" s="294">
        <f>6749479+1856790.82</f>
        <v>8606269.8200000003</v>
      </c>
      <c r="E7" s="294">
        <f>7905.3+151842.23</f>
        <v>159747.53</v>
      </c>
      <c r="F7" s="307">
        <f t="shared" si="0"/>
        <v>8766017.3499999996</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P46" sqref="P4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576347.31999999995</v>
      </c>
      <c r="D8" s="95">
        <f>'DOE25'!G9</f>
        <v>0</v>
      </c>
      <c r="E8" s="95">
        <f>'DOE25'!H9</f>
        <v>0</v>
      </c>
      <c r="F8" s="95">
        <f>'DOE25'!I9</f>
        <v>155450.26999999999</v>
      </c>
      <c r="G8" s="95">
        <f>'DOE25'!J9</f>
        <v>0</v>
      </c>
      <c r="H8" s="124"/>
      <c r="I8" s="124"/>
    </row>
    <row r="9" spans="1:9" x14ac:dyDescent="0.2">
      <c r="A9" s="1" t="s">
        <v>140</v>
      </c>
      <c r="B9" s="6">
        <v>110</v>
      </c>
      <c r="C9" s="95">
        <f>'DOE25'!F10</f>
        <v>0</v>
      </c>
      <c r="D9" s="95">
        <f>'DOE25'!G10</f>
        <v>0</v>
      </c>
      <c r="E9" s="95">
        <f>'DOE25'!H10</f>
        <v>0</v>
      </c>
      <c r="F9" s="95">
        <f>'DOE25'!I10</f>
        <v>158402.07</v>
      </c>
      <c r="G9" s="95">
        <f>'DOE25'!J10</f>
        <v>162304.98000000001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221770.55</v>
      </c>
      <c r="D11" s="95">
        <f>'DOE25'!G12</f>
        <v>0</v>
      </c>
      <c r="E11" s="95">
        <f>'DOE25'!H12</f>
        <v>0</v>
      </c>
      <c r="F11" s="95">
        <f>'DOE25'!I12</f>
        <v>0</v>
      </c>
      <c r="G11" s="95">
        <f>'DOE25'!J12</f>
        <v>0</v>
      </c>
      <c r="H11" s="124"/>
      <c r="I11" s="124"/>
    </row>
    <row r="12" spans="1:9" x14ac:dyDescent="0.2">
      <c r="A12" s="1" t="s">
        <v>143</v>
      </c>
      <c r="B12" s="6">
        <v>140</v>
      </c>
      <c r="C12" s="95">
        <f>'DOE25'!F13</f>
        <v>0</v>
      </c>
      <c r="D12" s="95">
        <f>'DOE25'!G13</f>
        <v>11764.65</v>
      </c>
      <c r="E12" s="95">
        <f>'DOE25'!H13</f>
        <v>41139.25</v>
      </c>
      <c r="F12" s="95">
        <f>'DOE25'!I13</f>
        <v>0</v>
      </c>
      <c r="G12" s="95">
        <f>'DOE25'!J13</f>
        <v>0</v>
      </c>
      <c r="H12" s="124"/>
      <c r="I12" s="124"/>
    </row>
    <row r="13" spans="1:9" x14ac:dyDescent="0.2">
      <c r="A13" s="1" t="s">
        <v>144</v>
      </c>
      <c r="B13" s="6">
        <v>150</v>
      </c>
      <c r="C13" s="95">
        <f>'DOE25'!F14</f>
        <v>0</v>
      </c>
      <c r="D13" s="95">
        <f>'DOE25'!G14</f>
        <v>4847.6400000000003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4400</v>
      </c>
      <c r="D17" s="95">
        <f>'DOE25'!G18</f>
        <v>0</v>
      </c>
      <c r="E17" s="95">
        <f>'DOE25'!H18</f>
        <v>0</v>
      </c>
      <c r="F17" s="95">
        <f>'DOE25'!I18</f>
        <v>0</v>
      </c>
      <c r="G17" s="95">
        <f>'DOE25'!J18</f>
        <v>0</v>
      </c>
      <c r="H17" s="124"/>
      <c r="I17" s="124"/>
    </row>
    <row r="18" spans="1:9" ht="12" thickTop="1" x14ac:dyDescent="0.2">
      <c r="A18" s="38" t="s">
        <v>149</v>
      </c>
      <c r="B18" s="39"/>
      <c r="C18" s="41">
        <f>SUM(C8:C17)</f>
        <v>802517.86999999988</v>
      </c>
      <c r="D18" s="41">
        <f>SUM(D8:D17)</f>
        <v>16612.29</v>
      </c>
      <c r="E18" s="41">
        <f>SUM(E8:E17)</f>
        <v>41139.25</v>
      </c>
      <c r="F18" s="41">
        <f>SUM(F8:F17)</f>
        <v>313852.33999999997</v>
      </c>
      <c r="G18" s="41">
        <f>SUM(G8:G17)</f>
        <v>162304.98000000001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1649.3500000000058</v>
      </c>
      <c r="E21" s="95">
        <f>'DOE25'!H22</f>
        <v>41139.25</v>
      </c>
      <c r="F21" s="95">
        <f>'DOE25'!I22</f>
        <v>217842</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2083351.52</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58639.64</v>
      </c>
      <c r="D28" s="95">
        <f>'DOE25'!G29</f>
        <v>0</v>
      </c>
      <c r="E28" s="95">
        <f>'DOE25'!H29</f>
        <v>0</v>
      </c>
      <c r="F28" s="95">
        <f>'DOE25'!I29</f>
        <v>0</v>
      </c>
      <c r="G28" s="24" t="s">
        <v>288</v>
      </c>
      <c r="H28" s="124"/>
      <c r="I28" s="124"/>
    </row>
    <row r="29" spans="1:9" x14ac:dyDescent="0.2">
      <c r="A29" s="1" t="s">
        <v>158</v>
      </c>
      <c r="B29" s="6">
        <v>480</v>
      </c>
      <c r="C29" s="95">
        <f>'DOE25'!F30</f>
        <v>59300</v>
      </c>
      <c r="D29" s="95">
        <f>'DOE25'!G30</f>
        <v>14962.94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1301497.46</v>
      </c>
      <c r="G30" s="95">
        <f>'DOE25'!J31</f>
        <v>0</v>
      </c>
      <c r="H30" s="124"/>
      <c r="I30" s="124"/>
    </row>
    <row r="31" spans="1:9" ht="12" thickTop="1" x14ac:dyDescent="0.2">
      <c r="A31" s="38" t="s">
        <v>160</v>
      </c>
      <c r="B31" s="2"/>
      <c r="C31" s="41">
        <f>SUM(C21:C30)</f>
        <v>117939.64</v>
      </c>
      <c r="D31" s="41">
        <f>SUM(D21:D30)</f>
        <v>16612.290000000008</v>
      </c>
      <c r="E31" s="41">
        <f>SUM(E21:E30)</f>
        <v>41139.25</v>
      </c>
      <c r="F31" s="41">
        <f>SUM(F21:F30)</f>
        <v>3602690.98</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-3288838.64</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192622.79</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162304.98000000001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491955.44000000006</v>
      </c>
      <c r="D49" s="24" t="s">
        <v>288</v>
      </c>
      <c r="E49" s="24" t="s">
        <v>288</v>
      </c>
      <c r="F49" s="24" t="s">
        <v>288</v>
      </c>
      <c r="G49" s="24" t="s">
        <v>288</v>
      </c>
      <c r="H49" s="124"/>
      <c r="I49" s="124"/>
    </row>
    <row r="50" spans="1:9" ht="12.75" thickTop="1" thickBot="1" x14ac:dyDescent="0.25">
      <c r="A50" s="38" t="s">
        <v>884</v>
      </c>
      <c r="B50" s="48"/>
      <c r="C50" s="41">
        <f>SUM(C34:C49)</f>
        <v>684578.2300000001</v>
      </c>
      <c r="D50" s="41">
        <f>SUM(D34:D49)</f>
        <v>0</v>
      </c>
      <c r="E50" s="41">
        <f>SUM(E34:E49)</f>
        <v>0</v>
      </c>
      <c r="F50" s="41">
        <f>SUM(F34:F49)</f>
        <v>-3288838.64</v>
      </c>
      <c r="G50" s="41">
        <f>SUM(G34:G49)</f>
        <v>162304.98000000001</v>
      </c>
      <c r="H50" s="124"/>
      <c r="I50" s="124"/>
    </row>
    <row r="51" spans="1:9" ht="12" thickTop="1" x14ac:dyDescent="0.2">
      <c r="A51" s="38" t="s">
        <v>885</v>
      </c>
      <c r="B51" s="2"/>
      <c r="C51" s="41">
        <f>C50+C31</f>
        <v>802517.87000000011</v>
      </c>
      <c r="D51" s="41">
        <f>D50+D31</f>
        <v>16612.290000000008</v>
      </c>
      <c r="E51" s="41">
        <f>E50+E31</f>
        <v>41139.25</v>
      </c>
      <c r="F51" s="41">
        <f>F50+F31</f>
        <v>313852.33999999985</v>
      </c>
      <c r="G51" s="41">
        <f>G50+G31</f>
        <v>162304.98000000001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17291819</v>
      </c>
      <c r="D56" s="95">
        <f>'DOE25'!G60</f>
        <v>0</v>
      </c>
      <c r="E56" s="95">
        <f>'DOE25'!H60</f>
        <v>0</v>
      </c>
      <c r="F56" s="95">
        <f>'DOE25'!I60</f>
        <v>122501</v>
      </c>
      <c r="G56" s="95">
        <f>'DOE25'!J60</f>
        <v>0</v>
      </c>
      <c r="H56"/>
      <c r="I56"/>
    </row>
    <row r="57" spans="1:9" x14ac:dyDescent="0.2">
      <c r="A57" s="1" t="s">
        <v>164</v>
      </c>
      <c r="B57" s="6" t="s">
        <v>165</v>
      </c>
      <c r="C57" s="95">
        <f>'DOE25'!F79</f>
        <v>43011.990000000005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4171.79</v>
      </c>
      <c r="D59" s="95">
        <f>'DOE25'!G96</f>
        <v>0</v>
      </c>
      <c r="E59" s="95">
        <f>'DOE25'!H96</f>
        <v>0</v>
      </c>
      <c r="F59" s="95">
        <f>'DOE25'!I96</f>
        <v>4562.99</v>
      </c>
      <c r="G59" s="95">
        <f>'DOE25'!J96</f>
        <v>5177.03</v>
      </c>
      <c r="H59"/>
      <c r="I59"/>
    </row>
    <row r="60" spans="1:9" x14ac:dyDescent="0.2">
      <c r="A60" s="1" t="s">
        <v>170</v>
      </c>
      <c r="B60" s="118" t="s">
        <v>171</v>
      </c>
      <c r="C60" s="24" t="s">
        <v>288</v>
      </c>
      <c r="D60" s="95">
        <f>'DOE25'!G97</f>
        <v>186208.7</v>
      </c>
      <c r="E60" s="24" t="s">
        <v>288</v>
      </c>
      <c r="F60" s="24" t="s">
        <v>288</v>
      </c>
      <c r="G60" s="24" t="s">
        <v>288</v>
      </c>
      <c r="H60"/>
      <c r="I60"/>
    </row>
    <row r="61" spans="1:9" ht="12" thickBot="1" x14ac:dyDescent="0.25">
      <c r="A61" s="1" t="s">
        <v>172</v>
      </c>
      <c r="B61" s="118" t="s">
        <v>173</v>
      </c>
      <c r="C61" s="95">
        <f>SUM('DOE25'!F98:F110)</f>
        <v>50572.030000000006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97755.810000000012</v>
      </c>
      <c r="D62" s="130">
        <f>SUM(D57:D61)</f>
        <v>186208.7</v>
      </c>
      <c r="E62" s="130">
        <f>SUM(E57:E61)</f>
        <v>0</v>
      </c>
      <c r="F62" s="130">
        <f>SUM(F57:F61)</f>
        <v>4562.99</v>
      </c>
      <c r="G62" s="130">
        <f>SUM(G57:G61)</f>
        <v>5177.03</v>
      </c>
      <c r="H62"/>
      <c r="I62"/>
    </row>
    <row r="63" spans="1:9" ht="12" thickTop="1" x14ac:dyDescent="0.2">
      <c r="A63" s="29" t="s">
        <v>175</v>
      </c>
      <c r="B63" s="6"/>
      <c r="C63" s="22">
        <f>C56+C62</f>
        <v>17389574.809999999</v>
      </c>
      <c r="D63" s="22">
        <f>D56+D62</f>
        <v>186208.7</v>
      </c>
      <c r="E63" s="22">
        <f>E56+E62</f>
        <v>0</v>
      </c>
      <c r="F63" s="22">
        <f>F56+F62</f>
        <v>127063.99</v>
      </c>
      <c r="G63" s="22">
        <f>G56+G62</f>
        <v>5177.03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4914612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4914612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24219</v>
      </c>
      <c r="D74" s="24"/>
      <c r="E74" s="24"/>
      <c r="F74" s="24"/>
      <c r="G74" s="24"/>
      <c r="H74"/>
      <c r="I74"/>
    </row>
    <row r="75" spans="1:9" x14ac:dyDescent="0.2">
      <c r="A75" s="1" t="s">
        <v>256</v>
      </c>
      <c r="B75" s="6">
        <v>3230</v>
      </c>
      <c r="C75" s="95">
        <f>'DOE25'!F126</f>
        <v>281765.03999999998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6543.09</v>
      </c>
      <c r="E77" s="95">
        <f>SUM('DOE25'!H131:H135)</f>
        <v>0</v>
      </c>
      <c r="F77" s="95">
        <f>SUM('DOE25'!I131:I135)</f>
        <v>0</v>
      </c>
      <c r="G77" s="95">
        <f>SUM('DOE25'!J131:J135)</f>
        <v>0</v>
      </c>
      <c r="H77"/>
      <c r="I77"/>
    </row>
    <row r="78" spans="1:9" ht="12.75" thickTop="1" thickBot="1" x14ac:dyDescent="0.25">
      <c r="A78" s="29" t="s">
        <v>259</v>
      </c>
      <c r="B78" s="6"/>
      <c r="C78" s="130">
        <f>SUM(C72:C77)</f>
        <v>305984.03999999998</v>
      </c>
      <c r="D78" s="130">
        <f>SUM(D72:D77)</f>
        <v>6543.09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5220596.04</v>
      </c>
      <c r="D81" s="130">
        <f>SUM(D79:D80)+D78+D70</f>
        <v>6543.09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44013.83</v>
      </c>
      <c r="D88" s="341">
        <f>SUM('DOE25'!G153:G162)</f>
        <v>125547.79999999999</v>
      </c>
      <c r="E88" s="341">
        <f>SUM('DOE25'!H153:H162)</f>
        <v>550532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44013.83</v>
      </c>
      <c r="D91" s="131">
        <f>SUM(D85:D90)</f>
        <v>125547.79999999999</v>
      </c>
      <c r="E91" s="131">
        <f>SUM(E85:E90)</f>
        <v>550532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73250.86</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75000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75000</v>
      </c>
      <c r="D103" s="86">
        <f>SUM(D93:D102)</f>
        <v>73250.86</v>
      </c>
      <c r="E103" s="86">
        <f>SUM(E93:E102)</f>
        <v>0</v>
      </c>
      <c r="F103" s="86">
        <f>SUM(F93:F102)</f>
        <v>0</v>
      </c>
      <c r="G103" s="86">
        <f>SUM(G93:G102)</f>
        <v>0</v>
      </c>
    </row>
    <row r="104" spans="1:7" ht="12.75" thickTop="1" thickBot="1" x14ac:dyDescent="0.25">
      <c r="A104" s="33" t="s">
        <v>761</v>
      </c>
      <c r="C104" s="86">
        <f>C63+C81+C91+C103</f>
        <v>22729184.679999996</v>
      </c>
      <c r="D104" s="86">
        <f>D63+D81+D91+D103</f>
        <v>391550.44999999995</v>
      </c>
      <c r="E104" s="86">
        <f>E63+E81+E91+E103</f>
        <v>550532</v>
      </c>
      <c r="F104" s="86">
        <f>F63+F81+F91+F103</f>
        <v>127063.99</v>
      </c>
      <c r="G104" s="86">
        <f>G63+G81+G103</f>
        <v>5177.03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9416302.5899999999</v>
      </c>
      <c r="D109" s="24" t="s">
        <v>288</v>
      </c>
      <c r="E109" s="95">
        <f>('DOE25'!L277)+('DOE25'!L296)+('DOE25'!L315)</f>
        <v>102761.79</v>
      </c>
      <c r="F109" s="24" t="s">
        <v>288</v>
      </c>
      <c r="G109" s="24" t="s">
        <v>288</v>
      </c>
    </row>
    <row r="110" spans="1:7" x14ac:dyDescent="0.2">
      <c r="A110" t="s">
        <v>198</v>
      </c>
      <c r="B110" s="32" t="s">
        <v>199</v>
      </c>
      <c r="C110" s="95">
        <f>('DOE25'!L199)+('DOE25'!L217)+('DOE25'!L235)</f>
        <v>3416347.21</v>
      </c>
      <c r="D110" s="24" t="s">
        <v>288</v>
      </c>
      <c r="E110" s="95">
        <f>('DOE25'!L278)+('DOE25'!L297)+('DOE25'!L316)</f>
        <v>363476.86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159282.43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12991932.23</v>
      </c>
      <c r="D115" s="86">
        <f>SUM(D109:D114)</f>
        <v>0</v>
      </c>
      <c r="E115" s="86">
        <f>SUM(E109:E114)</f>
        <v>466238.64999999997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1727226.35</v>
      </c>
      <c r="D118" s="24" t="s">
        <v>288</v>
      </c>
      <c r="E118" s="95">
        <f>+('DOE25'!L282)+('DOE25'!L301)+('DOE25'!L320)</f>
        <v>0</v>
      </c>
      <c r="F118" s="24" t="s">
        <v>288</v>
      </c>
      <c r="G118" s="24" t="s">
        <v>288</v>
      </c>
    </row>
    <row r="119" spans="1:7" x14ac:dyDescent="0.2">
      <c r="A119" t="s">
        <v>208</v>
      </c>
      <c r="B119" s="32" t="s">
        <v>209</v>
      </c>
      <c r="C119" s="95">
        <f>('DOE25'!L204)+('DOE25'!L222)+('DOE25'!L240)</f>
        <v>1530010.42</v>
      </c>
      <c r="D119" s="24" t="s">
        <v>288</v>
      </c>
      <c r="E119" s="95">
        <f>+('DOE25'!L283)+('DOE25'!L302)+('DOE25'!L321)</f>
        <v>84293.35</v>
      </c>
      <c r="F119" s="24" t="s">
        <v>288</v>
      </c>
      <c r="G119" s="24" t="s">
        <v>288</v>
      </c>
    </row>
    <row r="120" spans="1:7" x14ac:dyDescent="0.2">
      <c r="A120" t="s">
        <v>210</v>
      </c>
      <c r="B120" s="32" t="s">
        <v>211</v>
      </c>
      <c r="C120" s="95">
        <f>('DOE25'!L205)+('DOE25'!L223)+('DOE25'!L241)</f>
        <v>764114.25</v>
      </c>
      <c r="D120" s="24" t="s">
        <v>288</v>
      </c>
      <c r="E120" s="95">
        <f>+('DOE25'!L284)+('DOE25'!L303)+('DOE25'!L322)</f>
        <v>0</v>
      </c>
      <c r="F120" s="24" t="s">
        <v>288</v>
      </c>
      <c r="G120" s="24" t="s">
        <v>288</v>
      </c>
    </row>
    <row r="121" spans="1:7" x14ac:dyDescent="0.2">
      <c r="A121" t="s">
        <v>212</v>
      </c>
      <c r="B121" s="32" t="s">
        <v>213</v>
      </c>
      <c r="C121" s="95">
        <f>('DOE25'!L206)+('DOE25'!L224)+('DOE25'!L242)</f>
        <v>1138622.01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1722139.54</v>
      </c>
      <c r="D123" s="24" t="s">
        <v>288</v>
      </c>
      <c r="E123" s="95">
        <f>+('DOE25'!L287)+('DOE25'!L306)+('DOE25'!L325)</f>
        <v>0</v>
      </c>
      <c r="F123" s="24" t="s">
        <v>288</v>
      </c>
      <c r="G123" s="24" t="s">
        <v>288</v>
      </c>
    </row>
    <row r="124" spans="1:7" x14ac:dyDescent="0.2">
      <c r="A124" t="s">
        <v>218</v>
      </c>
      <c r="B124" s="32" t="s">
        <v>219</v>
      </c>
      <c r="C124" s="95">
        <f>('DOE25'!L209)+('DOE25'!L227)+('DOE25'!L245+'DOE25'!L255)</f>
        <v>885349.73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400845.38</v>
      </c>
      <c r="E127" s="24" t="s">
        <v>288</v>
      </c>
      <c r="F127" s="24" t="s">
        <v>288</v>
      </c>
      <c r="G127" s="24" t="s">
        <v>288</v>
      </c>
    </row>
    <row r="128" spans="1:7" ht="12.75" thickTop="1" thickBot="1" x14ac:dyDescent="0.25">
      <c r="A128" s="33" t="s">
        <v>226</v>
      </c>
      <c r="C128" s="86">
        <f>SUM(C118:C127)</f>
        <v>7767462.3000000007</v>
      </c>
      <c r="D128" s="86">
        <f>SUM(D118:D127)</f>
        <v>400845.38</v>
      </c>
      <c r="E128" s="86">
        <f>SUM(E118:E127)</f>
        <v>84293.35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5043098.8599999994</v>
      </c>
      <c r="G130" s="24" t="s">
        <v>288</v>
      </c>
    </row>
    <row r="131" spans="1:7" x14ac:dyDescent="0.2">
      <c r="A131" t="s">
        <v>229</v>
      </c>
      <c r="B131" s="32">
        <v>5110</v>
      </c>
      <c r="C131" s="95">
        <f>'DOE25'!L261</f>
        <v>555000</v>
      </c>
      <c r="D131" s="24" t="s">
        <v>288</v>
      </c>
      <c r="E131" s="129">
        <f>'DOE25'!L342</f>
        <v>0</v>
      </c>
      <c r="F131" s="24" t="s">
        <v>288</v>
      </c>
      <c r="G131" s="24" t="s">
        <v>288</v>
      </c>
    </row>
    <row r="132" spans="1:7" x14ac:dyDescent="0.2">
      <c r="A132" t="s">
        <v>230</v>
      </c>
      <c r="B132" s="32">
        <v>5120</v>
      </c>
      <c r="C132" s="95">
        <f>'DOE25'!L262</f>
        <v>949622.5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75000</v>
      </c>
    </row>
    <row r="135" spans="1:7" x14ac:dyDescent="0.2">
      <c r="A135" t="s">
        <v>233</v>
      </c>
      <c r="B135" s="32" t="s">
        <v>234</v>
      </c>
      <c r="C135" s="95">
        <f>'DOE25'!L264</f>
        <v>73250.86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5177.03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-5177.03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1577873.36</v>
      </c>
      <c r="D144" s="141">
        <f>SUM(D130:D143)</f>
        <v>0</v>
      </c>
      <c r="E144" s="141">
        <f>SUM(E130:E143)</f>
        <v>0</v>
      </c>
      <c r="F144" s="141">
        <f>SUM(F130:F143)</f>
        <v>5043098.8599999994</v>
      </c>
      <c r="G144" s="141">
        <f>SUM(G130:G143)</f>
        <v>75000</v>
      </c>
    </row>
    <row r="145" spans="1:9" ht="12.75" thickTop="1" thickBot="1" x14ac:dyDescent="0.25">
      <c r="A145" s="33" t="s">
        <v>244</v>
      </c>
      <c r="C145" s="86">
        <f>(C115+C128+C144)</f>
        <v>22337267.890000001</v>
      </c>
      <c r="D145" s="86">
        <f>(D115+D128+D144)</f>
        <v>400845.38</v>
      </c>
      <c r="E145" s="86">
        <f>(E115+E128+E144)</f>
        <v>550532</v>
      </c>
      <c r="F145" s="86">
        <f>(F115+F128+F144)</f>
        <v>5043098.8599999994</v>
      </c>
      <c r="G145" s="86">
        <f>(G115+G128+G144)</f>
        <v>75000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25</v>
      </c>
      <c r="C151" s="153">
        <f>'DOE25'!G491</f>
        <v>0</v>
      </c>
      <c r="D151" s="153">
        <f>'DOE25'!H491</f>
        <v>0</v>
      </c>
      <c r="E151" s="153">
        <f>'DOE25'!I491</f>
        <v>0</v>
      </c>
      <c r="F151" s="153">
        <f>'DOE25'!J491</f>
        <v>0</v>
      </c>
      <c r="G151" s="24" t="s">
        <v>288</v>
      </c>
    </row>
    <row r="152" spans="1:9" x14ac:dyDescent="0.2">
      <c r="A152" s="136" t="s">
        <v>28</v>
      </c>
      <c r="B152" s="152" t="str">
        <f>'DOE25'!F492</f>
        <v>07/17</v>
      </c>
      <c r="C152" s="152">
        <f>'DOE25'!G492</f>
        <v>0</v>
      </c>
      <c r="D152" s="152">
        <f>'DOE25'!H492</f>
        <v>0</v>
      </c>
      <c r="E152" s="152">
        <f>'DOE25'!I492</f>
        <v>0</v>
      </c>
      <c r="F152" s="152">
        <f>'DOE25'!J492</f>
        <v>0</v>
      </c>
      <c r="G152" s="24" t="s">
        <v>288</v>
      </c>
    </row>
    <row r="153" spans="1:9" x14ac:dyDescent="0.2">
      <c r="A153" s="136" t="s">
        <v>29</v>
      </c>
      <c r="B153" s="152" t="str">
        <f>'DOE25'!F493</f>
        <v>08/42</v>
      </c>
      <c r="C153" s="152">
        <f>'DOE25'!G493</f>
        <v>0</v>
      </c>
      <c r="D153" s="152">
        <f>'DOE25'!H493</f>
        <v>0</v>
      </c>
      <c r="E153" s="152">
        <f>'DOE25'!I493</f>
        <v>0</v>
      </c>
      <c r="F153" s="152">
        <f>'DOE25'!J493</f>
        <v>0</v>
      </c>
      <c r="G153" s="24" t="s">
        <v>288</v>
      </c>
    </row>
    <row r="154" spans="1:9" x14ac:dyDescent="0.2">
      <c r="A154" s="136" t="s">
        <v>30</v>
      </c>
      <c r="B154" s="137">
        <f>'DOE25'!F494</f>
        <v>23701700</v>
      </c>
      <c r="C154" s="137">
        <f>'DOE25'!G494</f>
        <v>0</v>
      </c>
      <c r="D154" s="137">
        <f>'DOE25'!H494</f>
        <v>0</v>
      </c>
      <c r="E154" s="137">
        <f>'DOE25'!I494</f>
        <v>0</v>
      </c>
      <c r="F154" s="137">
        <f>'DOE25'!J494</f>
        <v>0</v>
      </c>
      <c r="G154" s="24" t="s">
        <v>288</v>
      </c>
    </row>
    <row r="155" spans="1:9" x14ac:dyDescent="0.2">
      <c r="A155" s="136" t="s">
        <v>31</v>
      </c>
      <c r="B155" s="137">
        <f>'DOE25'!F495</f>
        <v>3.15</v>
      </c>
      <c r="C155" s="137">
        <f>'DOE25'!G495</f>
        <v>0</v>
      </c>
      <c r="D155" s="137">
        <f>'DOE25'!H495</f>
        <v>0</v>
      </c>
      <c r="E155" s="137">
        <f>'DOE25'!I495</f>
        <v>0</v>
      </c>
      <c r="F155" s="137">
        <f>'DOE25'!J495</f>
        <v>0</v>
      </c>
      <c r="G155" s="24" t="s">
        <v>288</v>
      </c>
    </row>
    <row r="156" spans="1:9" x14ac:dyDescent="0.2">
      <c r="A156" s="22" t="s">
        <v>32</v>
      </c>
      <c r="B156" s="137">
        <f>'DOE25'!F496</f>
        <v>23175000</v>
      </c>
      <c r="C156" s="137">
        <f>'DOE25'!G496</f>
        <v>0</v>
      </c>
      <c r="D156" s="137">
        <f>'DOE25'!H496</f>
        <v>0</v>
      </c>
      <c r="E156" s="137">
        <f>'DOE25'!I496</f>
        <v>0</v>
      </c>
      <c r="F156" s="137">
        <f>'DOE25'!J496</f>
        <v>0</v>
      </c>
      <c r="G156" s="138">
        <f>SUM(B156:F156)</f>
        <v>23175000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555000</v>
      </c>
      <c r="C158" s="137">
        <f>'DOE25'!G498</f>
        <v>0</v>
      </c>
      <c r="D158" s="137">
        <f>'DOE25'!H498</f>
        <v>0</v>
      </c>
      <c r="E158" s="137">
        <f>'DOE25'!I498</f>
        <v>0</v>
      </c>
      <c r="F158" s="137">
        <f>'DOE25'!J498</f>
        <v>0</v>
      </c>
      <c r="G158" s="138">
        <f t="shared" si="0"/>
        <v>555000</v>
      </c>
    </row>
    <row r="159" spans="1:9" x14ac:dyDescent="0.2">
      <c r="A159" s="22" t="s">
        <v>35</v>
      </c>
      <c r="B159" s="137">
        <f>'DOE25'!F499</f>
        <v>22620000</v>
      </c>
      <c r="C159" s="137">
        <f>'DOE25'!G499</f>
        <v>0</v>
      </c>
      <c r="D159" s="137">
        <f>'DOE25'!H499</f>
        <v>0</v>
      </c>
      <c r="E159" s="137">
        <f>'DOE25'!I499</f>
        <v>0</v>
      </c>
      <c r="F159" s="137">
        <f>'DOE25'!J499</f>
        <v>0</v>
      </c>
      <c r="G159" s="138">
        <f t="shared" si="0"/>
        <v>22620000</v>
      </c>
    </row>
    <row r="160" spans="1:9" x14ac:dyDescent="0.2">
      <c r="A160" s="22" t="s">
        <v>36</v>
      </c>
      <c r="B160" s="137">
        <f>'DOE25'!F500</f>
        <v>12171549.700000001</v>
      </c>
      <c r="C160" s="137">
        <f>'DOE25'!G500</f>
        <v>0</v>
      </c>
      <c r="D160" s="137">
        <f>'DOE25'!H500</f>
        <v>0</v>
      </c>
      <c r="E160" s="137">
        <f>'DOE25'!I500</f>
        <v>0</v>
      </c>
      <c r="F160" s="137">
        <f>'DOE25'!J500</f>
        <v>0</v>
      </c>
      <c r="G160" s="138">
        <f t="shared" si="0"/>
        <v>12171549.700000001</v>
      </c>
    </row>
    <row r="161" spans="1:7" x14ac:dyDescent="0.2">
      <c r="A161" s="22" t="s">
        <v>37</v>
      </c>
      <c r="B161" s="137">
        <f>'DOE25'!F501</f>
        <v>34791549.700000003</v>
      </c>
      <c r="C161" s="137">
        <f>'DOE25'!G501</f>
        <v>0</v>
      </c>
      <c r="D161" s="137">
        <f>'DOE25'!H501</f>
        <v>0</v>
      </c>
      <c r="E161" s="137">
        <f>'DOE25'!I501</f>
        <v>0</v>
      </c>
      <c r="F161" s="137">
        <f>'DOE25'!J501</f>
        <v>0</v>
      </c>
      <c r="G161" s="138">
        <f t="shared" si="0"/>
        <v>34791549.700000003</v>
      </c>
    </row>
    <row r="162" spans="1:7" x14ac:dyDescent="0.2">
      <c r="A162" s="22" t="s">
        <v>38</v>
      </c>
      <c r="B162" s="137">
        <f>'DOE25'!F502</f>
        <v>580000</v>
      </c>
      <c r="C162" s="137">
        <f>'DOE25'!G502</f>
        <v>0</v>
      </c>
      <c r="D162" s="137">
        <f>'DOE25'!H502</f>
        <v>0</v>
      </c>
      <c r="E162" s="137">
        <f>'DOE25'!I502</f>
        <v>0</v>
      </c>
      <c r="F162" s="137">
        <f>'DOE25'!J502</f>
        <v>0</v>
      </c>
      <c r="G162" s="138">
        <f t="shared" si="0"/>
        <v>580000</v>
      </c>
    </row>
    <row r="163" spans="1:7" x14ac:dyDescent="0.2">
      <c r="A163" s="22" t="s">
        <v>39</v>
      </c>
      <c r="B163" s="137">
        <f>'DOE25'!F503</f>
        <v>920680</v>
      </c>
      <c r="C163" s="137">
        <f>'DOE25'!G503</f>
        <v>0</v>
      </c>
      <c r="D163" s="137">
        <f>'DOE25'!H503</f>
        <v>0</v>
      </c>
      <c r="E163" s="137">
        <f>'DOE25'!I503</f>
        <v>0</v>
      </c>
      <c r="F163" s="137">
        <f>'DOE25'!J503</f>
        <v>0</v>
      </c>
      <c r="G163" s="138">
        <f t="shared" si="0"/>
        <v>920680</v>
      </c>
    </row>
    <row r="164" spans="1:7" x14ac:dyDescent="0.2">
      <c r="A164" s="22" t="s">
        <v>246</v>
      </c>
      <c r="B164" s="137">
        <f>'DOE25'!F504</f>
        <v>1500680</v>
      </c>
      <c r="C164" s="137">
        <f>'DOE25'!G504</f>
        <v>0</v>
      </c>
      <c r="D164" s="137">
        <f>'DOE25'!H504</f>
        <v>0</v>
      </c>
      <c r="E164" s="137">
        <f>'DOE25'!I504</f>
        <v>0</v>
      </c>
      <c r="F164" s="137">
        <f>'DOE25'!J504</f>
        <v>0</v>
      </c>
      <c r="G164" s="138">
        <f t="shared" si="0"/>
        <v>1500680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10" sqref="B1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Hampton</v>
      </c>
    </row>
    <row r="3" spans="1:4" x14ac:dyDescent="0.2">
      <c r="B3" s="188" t="s">
        <v>1587</v>
      </c>
    </row>
    <row r="4" spans="1:4" x14ac:dyDescent="0.2">
      <c r="B4" t="s">
        <v>61</v>
      </c>
      <c r="C4" s="179">
        <f>IF('DOE25'!F666+'DOE25'!F671=0,0,ROUND('DOE25'!F673,0))</f>
        <v>18692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18692</v>
      </c>
    </row>
    <row r="9" spans="1:4" x14ac:dyDescent="0.2">
      <c r="A9" s="187" t="s">
        <v>94</v>
      </c>
      <c r="B9" s="188" t="s">
        <v>1588</v>
      </c>
      <c r="C9" s="181" t="s">
        <v>720</v>
      </c>
      <c r="D9" s="181" t="s">
        <v>721</v>
      </c>
    </row>
    <row r="10" spans="1:4" x14ac:dyDescent="0.2">
      <c r="A10">
        <v>1100</v>
      </c>
      <c r="B10" t="s">
        <v>702</v>
      </c>
      <c r="C10" s="179">
        <f>ROUND('DOE25'!L198+'DOE25'!L216+'DOE25'!L234+'DOE25'!L277+'DOE25'!L296+'DOE25'!L315,0)</f>
        <v>9519064</v>
      </c>
      <c r="D10" s="182">
        <f>ROUND((C10/$C$28)*100,1)</f>
        <v>42.4</v>
      </c>
    </row>
    <row r="11" spans="1:4" x14ac:dyDescent="0.2">
      <c r="A11">
        <v>1200</v>
      </c>
      <c r="B11" t="s">
        <v>703</v>
      </c>
      <c r="C11" s="179">
        <f>ROUND('DOE25'!L199+'DOE25'!L217+'DOE25'!L235+'DOE25'!L278+'DOE25'!L297+'DOE25'!L316,0)</f>
        <v>3779824</v>
      </c>
      <c r="D11" s="182">
        <f>ROUND((C11/$C$28)*100,1)</f>
        <v>16.8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159282</v>
      </c>
      <c r="D13" s="182">
        <f>ROUND((C13/$C$28)*100,1)</f>
        <v>0.7</v>
      </c>
    </row>
    <row r="14" spans="1:4" x14ac:dyDescent="0.2">
      <c r="D14" s="182"/>
    </row>
    <row r="15" spans="1:4" x14ac:dyDescent="0.2">
      <c r="A15">
        <v>2100</v>
      </c>
      <c r="B15" t="s">
        <v>706</v>
      </c>
      <c r="C15" s="179">
        <f>ROUND('DOE25'!L203+'DOE25'!L221+'DOE25'!L239+'DOE25'!L282+'DOE25'!L301+'DOE25'!L320,0)</f>
        <v>1727226</v>
      </c>
      <c r="D15" s="182">
        <f t="shared" ref="D15:D27" si="0">ROUND((C15/$C$28)*100,1)</f>
        <v>7.7</v>
      </c>
    </row>
    <row r="16" spans="1:4" x14ac:dyDescent="0.2">
      <c r="A16">
        <v>2200</v>
      </c>
      <c r="B16" t="s">
        <v>707</v>
      </c>
      <c r="C16" s="179">
        <f>ROUND('DOE25'!L204+'DOE25'!L222+'DOE25'!L240+'DOE25'!L283+'DOE25'!L302+'DOE25'!L321,0)</f>
        <v>1614304</v>
      </c>
      <c r="D16" s="182">
        <f t="shared" si="0"/>
        <v>7.2</v>
      </c>
    </row>
    <row r="17" spans="1:4" x14ac:dyDescent="0.2">
      <c r="A17" s="183" t="s">
        <v>723</v>
      </c>
      <c r="B17" t="s">
        <v>738</v>
      </c>
      <c r="C17" s="179">
        <f>ROUND('DOE25'!L205+'DOE25'!L210+'DOE25'!L223+'DOE25'!L228+'DOE25'!L241+'DOE25'!L246+'DOE25'!L284+'DOE25'!L289+'DOE25'!L303+'DOE25'!L308+'DOE25'!L322+'DOE25'!L327,0)</f>
        <v>764114</v>
      </c>
      <c r="D17" s="182">
        <f t="shared" si="0"/>
        <v>3.4</v>
      </c>
    </row>
    <row r="18" spans="1:4" x14ac:dyDescent="0.2">
      <c r="A18">
        <v>2400</v>
      </c>
      <c r="B18" t="s">
        <v>711</v>
      </c>
      <c r="C18" s="179">
        <f>ROUND('DOE25'!L206+'DOE25'!L224+'DOE25'!L242+'DOE25'!L285+'DOE25'!L304+'DOE25'!L323,0)</f>
        <v>1138622</v>
      </c>
      <c r="D18" s="182">
        <f t="shared" si="0"/>
        <v>5.0999999999999996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1722140</v>
      </c>
      <c r="D20" s="182">
        <f t="shared" si="0"/>
        <v>7.7</v>
      </c>
    </row>
    <row r="21" spans="1:4" x14ac:dyDescent="0.2">
      <c r="A21">
        <v>2700</v>
      </c>
      <c r="B21" t="s">
        <v>710</v>
      </c>
      <c r="C21" s="179">
        <f>ROUND('DOE25'!L209+'DOE25'!L227+'DOE25'!L245+'DOE25'!L288+'DOE25'!L307+'DOE25'!L326,0)</f>
        <v>885350</v>
      </c>
      <c r="D21" s="182">
        <f t="shared" si="0"/>
        <v>3.9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949623</v>
      </c>
      <c r="D25" s="182">
        <f t="shared" si="0"/>
        <v>4.2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214636.3</v>
      </c>
      <c r="D27" s="182">
        <f t="shared" si="0"/>
        <v>1</v>
      </c>
    </row>
    <row r="28" spans="1:4" x14ac:dyDescent="0.2">
      <c r="B28" s="187" t="s">
        <v>719</v>
      </c>
      <c r="C28" s="180">
        <f>SUM(C10:C27)</f>
        <v>22474185.300000001</v>
      </c>
      <c r="D28" s="184">
        <f>ROUND(SUM(D10:D27),0)</f>
        <v>100</v>
      </c>
    </row>
    <row r="29" spans="1:4" x14ac:dyDescent="0.2">
      <c r="A29">
        <v>4000</v>
      </c>
      <c r="B29" t="s">
        <v>724</v>
      </c>
      <c r="C29" s="179">
        <f>ROUND('DOE25'!L256+'DOE25'!L337+'DOE25'!L375+'DOE25'!L376+'DOE25'!L377+'DOE25'!L378+'DOE25'!L379+'DOE25'!L380+'DOE25'!L381,0)</f>
        <v>5043099</v>
      </c>
    </row>
    <row r="30" spans="1:4" x14ac:dyDescent="0.2">
      <c r="B30" s="187" t="s">
        <v>725</v>
      </c>
      <c r="C30" s="180">
        <f>SUM(C28:C29)</f>
        <v>27517284.300000001</v>
      </c>
    </row>
    <row r="31" spans="1:4" x14ac:dyDescent="0.2">
      <c r="B31" s="33"/>
      <c r="C31" s="180"/>
    </row>
    <row r="32" spans="1:4" x14ac:dyDescent="0.2">
      <c r="A32">
        <v>5100</v>
      </c>
      <c r="B32" s="33" t="s">
        <v>726</v>
      </c>
      <c r="C32" s="180">
        <f>ROUND('DOE25'!L261+'DOE25'!L342,0)</f>
        <v>555000</v>
      </c>
    </row>
    <row r="34" spans="1:4" x14ac:dyDescent="0.2">
      <c r="A34" s="187" t="s">
        <v>94</v>
      </c>
      <c r="B34" s="188" t="s">
        <v>1589</v>
      </c>
      <c r="C34" s="181" t="s">
        <v>720</v>
      </c>
      <c r="D34" s="181" t="s">
        <v>721</v>
      </c>
    </row>
    <row r="35" spans="1:4" x14ac:dyDescent="0.2">
      <c r="A35">
        <v>1100</v>
      </c>
      <c r="B35" s="185" t="s">
        <v>727</v>
      </c>
      <c r="C35" s="179">
        <f>ROUND('DOE25'!F60+'DOE25'!G60+'DOE25'!H60+'DOE25'!I60+'DOE25'!J60,0)</f>
        <v>17414320</v>
      </c>
      <c r="D35" s="182">
        <f t="shared" ref="D35:D40" si="1">ROUND((C35/$C$41)*100,1)</f>
        <v>74.2</v>
      </c>
    </row>
    <row r="36" spans="1:4" x14ac:dyDescent="0.2">
      <c r="B36" s="185" t="s">
        <v>739</v>
      </c>
      <c r="C36" s="179">
        <f>SUM('DOE25'!F112:J112)-SUM('DOE25'!G97:G110)+('DOE25'!F175+'DOE25'!F176+'DOE25'!I175+'DOE25'!I176)-C35</f>
        <v>107495.82999999821</v>
      </c>
      <c r="D36" s="182">
        <f t="shared" si="1"/>
        <v>0.5</v>
      </c>
    </row>
    <row r="37" spans="1:4" x14ac:dyDescent="0.2">
      <c r="A37" s="183" t="s">
        <v>835</v>
      </c>
      <c r="B37" s="185" t="s">
        <v>728</v>
      </c>
      <c r="C37" s="179">
        <f>ROUND('DOE25'!F117+'DOE25'!F118,0)</f>
        <v>4914612</v>
      </c>
      <c r="D37" s="182">
        <f t="shared" si="1"/>
        <v>20.9</v>
      </c>
    </row>
    <row r="38" spans="1:4" x14ac:dyDescent="0.2">
      <c r="A38" s="183" t="s">
        <v>734</v>
      </c>
      <c r="B38" s="185" t="s">
        <v>729</v>
      </c>
      <c r="C38" s="179">
        <f>ROUND(SUM('DOE25'!F140:J140)-SUM('DOE25'!F117:F119),0)</f>
        <v>312527</v>
      </c>
      <c r="D38" s="182">
        <f t="shared" si="1"/>
        <v>1.3</v>
      </c>
    </row>
    <row r="39" spans="1:4" x14ac:dyDescent="0.2">
      <c r="A39">
        <v>4000</v>
      </c>
      <c r="B39" s="185" t="s">
        <v>730</v>
      </c>
      <c r="C39" s="179">
        <f>ROUND('DOE25'!F170+'DOE25'!G170+'DOE25'!H170+'DOE25'!I170,0)</f>
        <v>720094</v>
      </c>
      <c r="D39" s="182">
        <f t="shared" si="1"/>
        <v>3.1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23469048.829999998</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4" sqref="C14:M1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Hampton</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t="s">
        <v>1644</v>
      </c>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2020-10-07T13:43:45Z</cp:lastPrinted>
  <dcterms:created xsi:type="dcterms:W3CDTF">1997-12-04T19:04:30Z</dcterms:created>
  <dcterms:modified xsi:type="dcterms:W3CDTF">2020-12-09T18:48:01Z</dcterms:modified>
</cp:coreProperties>
</file>