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BB2D0738-7D97-4A2D-BC1B-40BDAC879C29}" xr6:coauthVersionLast="47" xr6:coauthVersionMax="47" xr10:uidLastSave="{00000000-0000-0000-0000-000000000000}"/>
  <workbookProtection workbookPassword="B10A" lockStructure="1"/>
  <bookViews>
    <workbookView xWindow="-12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66" i="1" l="1"/>
  <c r="F50" i="1" l="1"/>
  <c r="F469" i="1" l="1"/>
  <c r="F473" i="1"/>
  <c r="H474" i="1"/>
  <c r="J469" i="1"/>
  <c r="J180" i="1"/>
  <c r="H473" i="1" l="1"/>
  <c r="H469" i="1"/>
  <c r="F470" i="1" l="1"/>
  <c r="F503" i="1" l="1"/>
  <c r="F500" i="1"/>
  <c r="F499" i="1"/>
  <c r="H359" i="1"/>
  <c r="H256" i="1"/>
  <c r="G204" i="1"/>
  <c r="H199" i="1"/>
  <c r="H22" i="1"/>
  <c r="G30" i="1"/>
  <c r="F24" i="1"/>
  <c r="H155" i="1" l="1"/>
  <c r="H209" i="1"/>
  <c r="I209" i="1"/>
  <c r="I208" i="1" l="1"/>
  <c r="H208" i="1"/>
  <c r="F208" i="1"/>
  <c r="H206" i="1"/>
  <c r="H205" i="1"/>
  <c r="F205" i="1"/>
  <c r="H204" i="1"/>
  <c r="F204" i="1"/>
  <c r="I203" i="1"/>
  <c r="G203" i="1"/>
  <c r="F203" i="1"/>
  <c r="K199" i="1"/>
  <c r="J199" i="1"/>
  <c r="I199" i="1"/>
  <c r="G199" i="1"/>
  <c r="F199" i="1"/>
  <c r="J198" i="1"/>
  <c r="I198" i="1"/>
  <c r="H198" i="1"/>
  <c r="G198" i="1"/>
  <c r="F198" i="1"/>
  <c r="F126" i="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6" i="14"/>
  <c r="C18" i="14"/>
  <c r="B6" i="14"/>
  <c r="C6" i="14" s="1"/>
  <c r="B7" i="14"/>
  <c r="C7" i="14" s="1"/>
  <c r="B8" i="14"/>
  <c r="C8" i="14" s="1"/>
  <c r="B9" i="14"/>
  <c r="C9" i="14" s="1"/>
  <c r="B10" i="14"/>
  <c r="C10" i="14" s="1"/>
  <c r="B11" i="14"/>
  <c r="C11" i="14" s="1"/>
  <c r="B12" i="14"/>
  <c r="C12" i="14" s="1"/>
  <c r="B13" i="14"/>
  <c r="C13" i="14" s="1"/>
  <c r="B14" i="14"/>
  <c r="C14" i="14" s="1"/>
  <c r="B15" i="14"/>
  <c r="C15" i="14" s="1"/>
  <c r="B16" i="14"/>
  <c r="B17" i="14"/>
  <c r="C17" i="14" s="1"/>
  <c r="B18" i="14"/>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C13" i="10" s="1"/>
  <c r="L282" i="1"/>
  <c r="L283" i="1"/>
  <c r="E119" i="2" s="1"/>
  <c r="L284" i="1"/>
  <c r="L285" i="1"/>
  <c r="E121" i="2" s="1"/>
  <c r="L286" i="1"/>
  <c r="L287" i="1"/>
  <c r="L288" i="1"/>
  <c r="E124" i="2" s="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H663" i="1" s="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A31" i="12" s="1"/>
  <c r="C31" i="12"/>
  <c r="B9" i="12"/>
  <c r="B11" i="12" s="1"/>
  <c r="B13" i="12" s="1"/>
  <c r="C9" i="12"/>
  <c r="C11" i="12" s="1"/>
  <c r="C13" i="12" s="1"/>
  <c r="B18" i="12"/>
  <c r="B20" i="12" s="1"/>
  <c r="B22" i="12" s="1"/>
  <c r="C18" i="12"/>
  <c r="C20" i="12" s="1"/>
  <c r="C22" i="12" s="1"/>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56" i="2" s="1"/>
  <c r="F79" i="1"/>
  <c r="C57" i="2" s="1"/>
  <c r="F94" i="1"/>
  <c r="C58" i="2" s="1"/>
  <c r="F111" i="1"/>
  <c r="G111" i="1"/>
  <c r="H79" i="1"/>
  <c r="H94" i="1"/>
  <c r="H111" i="1"/>
  <c r="I111" i="1"/>
  <c r="J111" i="1"/>
  <c r="J112" i="1" s="1"/>
  <c r="F121" i="1"/>
  <c r="F136" i="1"/>
  <c r="G121" i="1"/>
  <c r="G136" i="1"/>
  <c r="H121" i="1"/>
  <c r="H140" i="1" s="1"/>
  <c r="H136" i="1"/>
  <c r="I121" i="1"/>
  <c r="I136" i="1"/>
  <c r="J121" i="1"/>
  <c r="J136" i="1"/>
  <c r="F147" i="1"/>
  <c r="F170" i="1"/>
  <c r="G147" i="1"/>
  <c r="D85" i="2" s="1"/>
  <c r="H147" i="1"/>
  <c r="H170" i="1"/>
  <c r="I147" i="1"/>
  <c r="C11"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20" i="2"/>
  <c r="E123" i="2"/>
  <c r="C125"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G339" i="1" s="1"/>
  <c r="G353" i="1" s="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G653" i="1"/>
  <c r="H653" i="1"/>
  <c r="G654" i="1"/>
  <c r="H654" i="1"/>
  <c r="G655" i="1"/>
  <c r="H655" i="1"/>
  <c r="H656" i="1"/>
  <c r="J656" i="1" s="1"/>
  <c r="A40" i="12"/>
  <c r="I170" i="1"/>
  <c r="J140" i="1"/>
  <c r="H409" i="1" l="1"/>
  <c r="H645" i="1" s="1"/>
  <c r="K339" i="1"/>
  <c r="K353" i="1" s="1"/>
  <c r="I112" i="1"/>
  <c r="J652" i="1"/>
  <c r="D6" i="13"/>
  <c r="C6" i="13" s="1"/>
  <c r="C12" i="10"/>
  <c r="E13" i="13"/>
  <c r="C13" i="13" s="1"/>
  <c r="H462" i="1"/>
  <c r="H642" i="1" s="1"/>
  <c r="J642" i="1" s="1"/>
  <c r="D50" i="2"/>
  <c r="F258" i="1"/>
  <c r="E125" i="2"/>
  <c r="G553" i="1"/>
  <c r="H477" i="1"/>
  <c r="H625" i="1" s="1"/>
  <c r="J625" i="1" s="1"/>
  <c r="H112" i="1"/>
  <c r="G646" i="1"/>
  <c r="G409" i="1"/>
  <c r="H646" i="1" s="1"/>
  <c r="J646" i="1" s="1"/>
  <c r="L402" i="1"/>
  <c r="C139" i="2" s="1"/>
  <c r="G662" i="1"/>
  <c r="C131" i="2"/>
  <c r="C110" i="2"/>
  <c r="D15" i="13"/>
  <c r="C15" i="13" s="1"/>
  <c r="C20" i="10"/>
  <c r="C121" i="2"/>
  <c r="C91" i="2"/>
  <c r="F339" i="1"/>
  <c r="F353" i="1" s="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H661" i="1" s="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H649" i="1" l="1"/>
  <c r="C141" i="2"/>
  <c r="C144" i="2" s="1"/>
  <c r="F661" i="1"/>
  <c r="E145" i="2"/>
  <c r="H665" i="1"/>
  <c r="H668" i="1" s="1"/>
  <c r="G36" i="14"/>
  <c r="H36" i="14" s="1"/>
  <c r="I36" i="14" s="1"/>
  <c r="F194" i="1"/>
  <c r="G628" i="1" s="1"/>
  <c r="J62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<sst xmlns="http://schemas.openxmlformats.org/spreadsheetml/2006/main" count="5549" uniqueCount="1647">
  <si>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</si>
  <si>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</si>
  <si>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</si>
  <si>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</si>
  <si>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</si>
  <si>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</si>
  <si>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</si>
  <si>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</si>
  <si>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</si>
  <si>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</si>
  <si>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</si>
  <si>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</si>
  <si>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</si>
  <si>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</si>
  <si>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</si>
  <si>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</si>
  <si>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</si>
  <si>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</si>
  <si>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</si>
  <si>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</si>
  <si>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</si>
  <si>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</si>
  <si>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</si>
  <si>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</si>
  <si>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</si>
  <si>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</si>
  <si>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</si>
  <si>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</si>
  <si>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</si>
  <si>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</si>
  <si>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</si>
  <si>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</si>
  <si>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</si>
  <si>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</si>
  <si>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</si>
  <si>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</si>
  <si>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</si>
  <si>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</si>
  <si>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</si>
  <si>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</si>
  <si>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</si>
  <si>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</si>
  <si>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</si>
  <si>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</si>
  <si>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</si>
  <si>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</si>
  <si>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</si>
  <si>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</si>
  <si>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</si>
  <si>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</si>
  <si>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</si>
  <si>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</si>
  <si>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</si>
  <si>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</si>
  <si>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</si>
  <si>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</si>
  <si>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</si>
  <si>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</si>
  <si>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</si>
  <si>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</si>
  <si>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</si>
  <si>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</si>
  <si>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</si>
  <si>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</si>
  <si>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</si>
  <si>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</si>
  <si>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</si>
  <si>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</si>
  <si>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</si>
  <si>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</si>
  <si>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</si>
  <si>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</si>
  <si>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</si>
  <si>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</si>
  <si>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</si>
  <si>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</si>
  <si>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</si>
  <si>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</si>
  <si>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</si>
  <si>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</si>
  <si>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</si>
  <si>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</si>
  <si>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</si>
  <si>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</si>
  <si>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</si>
  <si>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</si>
  <si>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</si>
  <si>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</si>
  <si>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</si>
  <si>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</si>
  <si>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</si>
  <si>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</si>
  <si>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</si>
  <si>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</si>
  <si>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</si>
  <si>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</si>
  <si>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</si>
  <si>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</si>
  <si>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</si>
  <si>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</si>
  <si>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</si>
  <si>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</si>
  <si>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</si>
  <si>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</si>
  <si>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</si>
  <si>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</si>
  <si>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</si>
  <si>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</si>
  <si>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</si>
  <si>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</si>
  <si>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</si>
  <si>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</si>
  <si>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</si>
  <si>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</si>
  <si>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</si>
  <si>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</si>
  <si>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</si>
  <si>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</si>
  <si>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</si>
  <si>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</si>
  <si>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</si>
  <si>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</si>
  <si>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</si>
  <si>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</si>
  <si>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</si>
  <si>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</si>
  <si>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</si>
  <si>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</si>
  <si>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</si>
  <si>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</si>
  <si>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</si>
  <si>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</si>
  <si>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</si>
  <si>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</si>
  <si>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</si>
  <si>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</si>
  <si>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</si>
  <si>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</si>
  <si>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</si>
  <si>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</si>
  <si>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</si>
  <si>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</si>
  <si>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</si>
  <si>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</si>
  <si>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</si>
  <si>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</si>
  <si>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</si>
  <si>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</si>
  <si>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</si>
  <si>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</si>
  <si>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</si>
  <si>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</si>
  <si>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</si>
  <si>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</si>
  <si>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</si>
  <si>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</si>
  <si>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</si>
  <si>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</si>
  <si>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</si>
  <si>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</si>
  <si>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</si>
  <si>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</si>
  <si>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</si>
  <si>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</si>
  <si>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</si>
  <si>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</si>
  <si>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</si>
  <si>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</si>
  <si>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</si>
  <si>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</si>
  <si>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</si>
  <si>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</si>
  <si>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</si>
  <si>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</si>
  <si>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</si>
  <si>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</si>
  <si>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</si>
  <si>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</si>
  <si>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</si>
  <si>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</si>
  <si>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</si>
  <si>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</si>
  <si>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</si>
  <si>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</si>
  <si>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</si>
  <si>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</si>
  <si>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</si>
  <si>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</si>
  <si>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</si>
  <si>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</si>
  <si>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</si>
  <si>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</si>
  <si>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</si>
  <si>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</si>
  <si>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</si>
  <si>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</si>
  <si>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</si>
  <si>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</si>
  <si>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</si>
  <si>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</si>
  <si>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</si>
  <si>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</si>
  <si>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</si>
  <si>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</si>
  <si>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</si>
  <si>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</si>
  <si>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</si>
  <si>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</si>
  <si>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</si>
  <si>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</si>
  <si>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</si>
  <si>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</si>
  <si>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</si>
  <si>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</si>
  <si>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</si>
  <si>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</si>
  <si>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</si>
  <si>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</si>
  <si>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</si>
  <si>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</si>
  <si>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</si>
  <si>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</si>
  <si>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</si>
  <si>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</si>
  <si>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</si>
  <si>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</si>
  <si>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</si>
  <si>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</si>
  <si>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</si>
  <si>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</si>
  <si>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</si>
  <si>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</si>
  <si>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</si>
  <si>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</si>
  <si>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</si>
  <si>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</si>
  <si>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</si>
  <si>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</si>
  <si>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</si>
  <si>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</si>
  <si>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</si>
  <si>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</si>
  <si>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</si>
  <si>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</si>
  <si>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</si>
  <si>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</si>
  <si>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</si>
  <si>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</si>
  <si>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</si>
  <si>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</si>
  <si>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</si>
  <si>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</si>
  <si>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</si>
  <si>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</si>
  <si>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</si>
  <si>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</si>
  <si>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</si>
  <si>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</si>
  <si>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</si>
  <si>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</si>
  <si>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</si>
  <si>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</si>
  <si>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</si>
  <si>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</si>
  <si>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</si>
  <si>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</si>
  <si>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</si>
  <si>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</si>
  <si>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</si>
  <si>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</si>
  <si>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</si>
  <si>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</si>
  <si>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</si>
  <si>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</si>
  <si>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</si>
  <si>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</si>
  <si>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</si>
  <si>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</si>
  <si>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</si>
  <si>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</si>
  <si>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</si>
  <si>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</si>
  <si>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</si>
  <si>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</si>
  <si>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</si>
  <si>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</si>
  <si>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</si>
  <si>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</si>
  <si>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</si>
  <si>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</si>
  <si>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</si>
  <si>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</si>
  <si>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</si>
  <si>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</si>
  <si>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</si>
  <si>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</si>
  <si>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</si>
  <si>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</si>
  <si>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</si>
  <si>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</si>
  <si>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</si>
  <si>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</si>
  <si>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</si>
  <si>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</si>
  <si>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</si>
  <si>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</si>
  <si>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</si>
  <si>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</si>
  <si>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</si>
  <si>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</si>
  <si>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</si>
  <si>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</si>
  <si>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</si>
  <si>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</si>
  <si>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</si>
  <si>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</si>
  <si>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</si>
  <si>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</si>
  <si>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</si>
  <si>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</si>
  <si>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</si>
  <si>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</si>
  <si>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</si>
  <si>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</si>
  <si>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</si>
  <si>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</si>
  <si>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</si>
  <si>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</si>
  <si>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</si>
  <si>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</si>
  <si>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</si>
  <si>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</si>
  <si>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</si>
  <si>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</si>
  <si>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</si>
  <si>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</si>
  <si>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</si>
  <si>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</si>
  <si>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</si>
  <si>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</si>
  <si>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</si>
  <si>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</si>
  <si>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</si>
  <si>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</si>
  <si>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</si>
  <si>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</si>
  <si>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</si>
  <si>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</si>
  <si>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</si>
  <si>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</si>
  <si>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</si>
  <si>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</si>
  <si>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</si>
  <si>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</si>
  <si>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</si>
  <si>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</si>
  <si>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</si>
  <si>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</si>
  <si>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</si>
  <si>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</si>
  <si>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</si>
  <si>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</si>
  <si>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</si>
  <si>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</si>
  <si>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</si>
  <si>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</si>
  <si>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</si>
  <si>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</si>
  <si>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</si>
  <si>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</si>
  <si>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</si>
  <si>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</si>
  <si>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</si>
  <si>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</si>
  <si>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</si>
  <si>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</si>
  <si>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</si>
  <si>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</si>
  <si>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</si>
  <si>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</si>
  <si>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</si>
  <si>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</si>
  <si>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</si>
  <si>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</si>
  <si>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</si>
  <si>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</si>
  <si>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</si>
  <si>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</si>
  <si>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</si>
  <si>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</si>
  <si>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</si>
  <si>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</si>
  <si>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</si>
  <si>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</si>
  <si>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</si>
  <si>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</si>
  <si>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</si>
  <si>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</si>
  <si>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</si>
  <si>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</si>
  <si>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</si>
  <si>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</si>
  <si>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</si>
  <si>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</si>
  <si>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</si>
  <si>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</si>
  <si>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</si>
  <si>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</si>
  <si>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</si>
  <si>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</si>
  <si>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</si>
  <si>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</si>
  <si>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</si>
  <si>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</si>
  <si>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</si>
  <si>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</si>
  <si>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</si>
  <si>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</si>
  <si>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</si>
  <si>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</si>
  <si>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</si>
  <si>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</si>
  <si>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</si>
  <si>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</si>
  <si>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</si>
  <si>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</si>
  <si>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</si>
  <si>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</si>
  <si>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</si>
  <si>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</si>
  <si>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</si>
  <si>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</si>
  <si>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</si>
  <si>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</si>
  <si>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</si>
  <si>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</si>
  <si>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</si>
  <si>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</si>
  <si>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</si>
  <si>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</si>
  <si>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</si>
  <si>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</si>
  <si>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</si>
  <si>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</si>
  <si>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</si>
  <si>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</si>
  <si>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</si>
  <si>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</si>
  <si>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</si>
  <si>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</si>
  <si>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</si>
  <si>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</si>
  <si>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</si>
  <si>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</si>
  <si>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</si>
  <si>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</si>
  <si>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</si>
  <si>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</si>
  <si>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</si>
  <si>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</si>
  <si>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</si>
  <si>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</si>
  <si>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</si>
  <si>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</si>
  <si>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</si>
  <si>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</si>
  <si>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</si>
  <si>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</si>
  <si>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</si>
  <si>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</si>
  <si>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</si>
  <si>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</si>
  <si>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</si>
  <si>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</si>
  <si>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</si>
  <si>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</si>
  <si>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</si>
  <si>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</si>
  <si>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</si>
  <si>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</si>
  <si>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</si>
  <si>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</si>
  <si>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</si>
  <si>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</si>
  <si>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</si>
  <si>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</si>
  <si>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</si>
  <si>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</si>
  <si>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</si>
  <si>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</si>
  <si>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</si>
  <si>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</si>
  <si>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</si>
  <si>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</si>
  <si>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</si>
  <si>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</si>
  <si>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</si>
  <si>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</si>
  <si>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</si>
  <si>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</si>
  <si>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</si>
  <si>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</si>
  <si>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</si>
  <si>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</si>
  <si>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</si>
  <si>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</si>
  <si>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</si>
  <si>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</si>
  <si>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</si>
  <si>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</si>
  <si>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</si>
  <si>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</si>
  <si>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</si>
  <si>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</si>
  <si>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</si>
  <si>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</si>
  <si>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</si>
  <si>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</si>
  <si>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</si>
  <si>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</si>
  <si>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</si>
  <si>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</si>
  <si>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</si>
  <si>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</si>
  <si>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</si>
  <si>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</si>
  <si>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</si>
  <si>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</si>
  <si>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</si>
  <si>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</si>
  <si>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</si>
  <si>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</si>
  <si>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</si>
  <si>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</si>
  <si>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</si>
  <si>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</si>
  <si>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</si>
  <si>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</si>
  <si>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</si>
  <si>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</si>
  <si>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</si>
  <si>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</si>
  <si>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</si>
  <si>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</si>
  <si>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</si>
  <si>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</si>
  <si>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</si>
  <si>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</si>
  <si>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</si>
  <si>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</si>
  <si>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</si>
  <si>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</si>
  <si>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</si>
  <si>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</si>
  <si>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</si>
  <si>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</si>
  <si>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</si>
  <si>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</si>
  <si>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</si>
  <si>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</si>
  <si>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</si>
  <si>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</si>
  <si>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</si>
  <si>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</si>
  <si>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</si>
  <si>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</si>
  <si>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</si>
  <si>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</si>
  <si>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</si>
  <si>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</si>
  <si>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</si>
  <si>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</si>
  <si>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</si>
  <si>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</si>
  <si>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</si>
  <si>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</si>
  <si>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</si>
  <si>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</si>
  <si>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</si>
  <si>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</si>
  <si>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</si>
  <si>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</si>
  <si>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</si>
  <si>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</si>
  <si>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</si>
  <si>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</si>
  <si>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</si>
  <si>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</si>
  <si>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</si>
  <si>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</si>
  <si>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</si>
  <si>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</si>
  <si>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</si>
  <si>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</si>
  <si>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</si>
  <si>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</si>
  <si>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</si>
  <si>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</si>
  <si>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</si>
  <si>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</si>
  <si>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</si>
  <si>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</si>
  <si>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</si>
  <si>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</si>
  <si>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</si>
  <si>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</si>
  <si>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</si>
  <si>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</si>
  <si>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</si>
  <si>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</si>
  <si>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</si>
  <si>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</si>
  <si>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</si>
  <si>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</si>
  <si>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</si>
  <si>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</si>
  <si>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</si>
  <si>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</si>
  <si>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</si>
  <si>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</si>
  <si>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</si>
  <si>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</si>
  <si>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</si>
  <si>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</si>
  <si>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</si>
  <si>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</si>
  <si>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</si>
  <si>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</si>
  <si>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</si>
  <si>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</si>
  <si>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</si>
  <si>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</si>
  <si>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</si>
  <si>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</si>
  <si>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</si>
  <si>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</si>
  <si>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</si>
  <si>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</si>
  <si>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</si>
  <si>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</si>
  <si>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</si>
  <si>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</si>
  <si>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</si>
  <si>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</si>
  <si>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</si>
  <si>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</si>
  <si>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</si>
  <si>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</si>
  <si>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</si>
  <si>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</si>
  <si>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</si>
  <si>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</si>
  <si>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</si>
  <si>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</si>
  <si>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</si>
  <si>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</si>
  <si>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</si>
  <si>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</si>
  <si>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</si>
  <si>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</si>
  <si>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</si>
  <si>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</si>
  <si>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</si>
  <si>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</si>
  <si>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</si>
  <si>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</si>
  <si>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</si>
  <si>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</si>
  <si>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</si>
  <si>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</si>
  <si>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</si>
  <si>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</si>
  <si>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</si>
  <si>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</si>
  <si>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</si>
  <si>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</si>
  <si>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</si>
  <si>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</si>
  <si>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</si>
  <si>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</si>
  <si>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</si>
  <si>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</si>
  <si>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</si>
  <si>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</si>
  <si>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</si>
  <si>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</si>
  <si>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</si>
  <si>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</si>
  <si>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</si>
  <si>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</si>
  <si>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</si>
  <si>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</si>
  <si>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</si>
  <si>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</si>
  <si>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</si>
  <si>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</si>
  <si>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</si>
  <si>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</si>
  <si>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</si>
  <si>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</si>
  <si>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</si>
  <si>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</si>
  <si>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</si>
  <si>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</si>
  <si>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</si>
  <si>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</si>
  <si>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</si>
  <si>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</si>
  <si>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</si>
  <si>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</si>
  <si>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</si>
  <si>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</si>
  <si>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</si>
  <si>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</si>
  <si>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</si>
  <si>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</si>
  <si>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</si>
  <si>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</si>
  <si>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</si>
  <si>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</si>
  <si>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</si>
  <si>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</si>
  <si>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</si>
  <si>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</si>
  <si>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</si>
  <si>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</si>
  <si>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</si>
  <si>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</si>
  <si>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</si>
  <si>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</si>
  <si>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</si>
  <si>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</si>
  <si>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</si>
  <si>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</si>
  <si>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</si>
  <si>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</si>
  <si>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</si>
  <si>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</si>
  <si>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</si>
  <si>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</si>
  <si>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</si>
  <si>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</si>
  <si>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</si>
  <si>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</si>
  <si>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</si>
  <si>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</si>
  <si>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</si>
  <si>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</si>
  <si>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</si>
  <si>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</si>
  <si>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</si>
  <si>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</si>
  <si>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</si>
  <si>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</si>
  <si>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</si>
  <si>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</si>
  <si>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</si>
  <si>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</si>
  <si>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</si>
  <si>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</si>
  <si>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</si>
  <si>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</si>
  <si>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</si>
  <si>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</si>
  <si>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</si>
  <si>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</si>
  <si>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</si>
  <si>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</si>
  <si>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</si>
  <si>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</si>
  <si>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</si>
  <si>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</si>
  <si>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</si>
  <si>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</si>
  <si>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</si>
  <si>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</si>
  <si>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</si>
  <si>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</si>
  <si>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</si>
  <si>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</si>
  <si>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</si>
  <si>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</si>
  <si>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</si>
  <si>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</si>
  <si>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</si>
  <si>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</si>
  <si>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</si>
  <si>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</si>
  <si>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</si>
  <si>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</si>
  <si>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</si>
  <si>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</si>
  <si>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</si>
  <si>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</si>
  <si>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</si>
  <si>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</si>
  <si>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</si>
  <si>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</si>
  <si>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</si>
  <si>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</si>
  <si>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</si>
  <si>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</si>
  <si>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</si>
  <si>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</si>
  <si>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</si>
  <si>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</si>
  <si>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</si>
  <si>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</si>
  <si>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</si>
  <si>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</si>
  <si>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</si>
  <si>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</si>
  <si>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</si>
  <si>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</si>
  <si>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</si>
  <si>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</si>
  <si>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</si>
  <si>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</si>
  <si>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</si>
  <si>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</si>
  <si>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</si>
  <si>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</si>
  <si>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</si>
  <si>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</si>
  <si>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</si>
  <si>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</si>
  <si>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</si>
  <si>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</si>
  <si>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</si>
  <si>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</si>
  <si>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</si>
  <si>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</si>
  <si>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</si>
  <si>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</si>
  <si>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</si>
  <si>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</si>
  <si>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</si>
  <si>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</si>
  <si>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</si>
  <si>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</si>
  <si>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</si>
  <si>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</si>
  <si>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</si>
  <si>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</si>
  <si>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</si>
  <si>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</si>
  <si>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</si>
  <si>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</si>
  <si>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</si>
  <si>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</si>
  <si>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</si>
  <si>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</si>
  <si>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</si>
  <si>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</si>
  <si>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</si>
  <si>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</si>
  <si>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</si>
  <si>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</si>
  <si>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</si>
  <si>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</si>
  <si>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</si>
  <si>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</si>
  <si>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</si>
  <si>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</si>
  <si>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</si>
  <si>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</si>
  <si>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</si>
  <si>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</si>
  <si>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</si>
  <si>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</si>
  <si>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</si>
  <si>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</si>
  <si>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</si>
  <si>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</si>
  <si>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</si>
  <si>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</si>
  <si>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</si>
  <si>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</si>
  <si>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</si>
  <si>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</si>
  <si>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</si>
  <si>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</si>
  <si>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</si>
  <si>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</si>
  <si>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</si>
  <si>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</si>
  <si>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</si>
  <si>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</si>
  <si>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</si>
  <si>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</si>
  <si>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</si>
  <si>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</si>
  <si>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</si>
  <si>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</si>
  <si>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</si>
  <si>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</si>
  <si>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</si>
  <si>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</si>
  <si>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</si>
  <si>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</si>
  <si>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</si>
  <si>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</si>
  <si>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</si>
  <si>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</si>
  <si>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</si>
  <si>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</si>
  <si>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</si>
  <si>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</si>
  <si>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</si>
  <si>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</si>
  <si>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</si>
  <si>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</si>
  <si>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</si>
  <si>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</si>
  <si>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</si>
  <si>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</si>
  <si>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</si>
  <si>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</si>
  <si>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</si>
  <si>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</si>
  <si>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</si>
  <si>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</si>
  <si>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</si>
  <si>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</si>
  <si>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</si>
  <si>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</si>
  <si>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</si>
  <si>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</si>
  <si>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</si>
  <si>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</si>
  <si>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</si>
  <si>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</si>
  <si>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</si>
  <si>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</si>
  <si>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</si>
  <si>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</si>
  <si>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</si>
  <si>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</si>
  <si>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</si>
  <si>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</si>
  <si>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</si>
  <si>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</si>
  <si>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</si>
  <si>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</si>
  <si>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</si>
  <si>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</si>
  <si>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</si>
  <si>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</si>
  <si>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</si>
  <si>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</si>
  <si>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</si>
  <si>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</si>
  <si>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</si>
  <si>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</si>
  <si>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</si>
  <si>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</si>
  <si>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</si>
  <si>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</si>
  <si>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</si>
  <si>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</si>
  <si>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</si>
  <si>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</si>
  <si>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</si>
  <si>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</si>
  <si>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</si>
  <si>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</si>
  <si>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</si>
  <si>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</si>
  <si>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</si>
  <si>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</si>
  <si>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</si>
  <si>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</si>
  <si>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</si>
  <si>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</si>
  <si>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</si>
  <si>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</si>
  <si>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</si>
  <si>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</si>
  <si>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</si>
  <si>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</si>
  <si>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</si>
  <si>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</si>
  <si>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</si>
  <si>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</si>
  <si>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</si>
  <si>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</si>
  <si>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</si>
  <si>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</si>
  <si>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</si>
  <si>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</si>
  <si>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</si>
  <si>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</si>
  <si>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</si>
  <si>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</si>
  <si>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</si>
  <si>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</si>
  <si>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</si>
  <si>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</si>
  <si>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</si>
  <si>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</si>
  <si>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</si>
  <si>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</si>
  <si>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</si>
  <si>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</si>
  <si>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</si>
  <si>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</si>
  <si>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</si>
  <si>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</si>
  <si>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</si>
  <si>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</si>
  <si>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</si>
  <si>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</si>
  <si>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</si>
  <si>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</si>
  <si>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</si>
  <si>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</si>
  <si>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</si>
  <si>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</si>
  <si>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</si>
  <si>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</si>
  <si>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</si>
  <si>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</si>
  <si>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</si>
  <si>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</si>
  <si>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</si>
  <si>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</si>
  <si>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</si>
  <si>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</si>
  <si>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</si>
  <si>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</si>
  <si>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</si>
  <si>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</si>
  <si>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</si>
  <si>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</si>
  <si>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</si>
  <si>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</si>
  <si>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</si>
  <si>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</si>
  <si>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</si>
  <si>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</si>
  <si>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</si>
  <si>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</si>
  <si>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</si>
  <si>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</si>
  <si>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</si>
  <si>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</si>
  <si>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</si>
  <si>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</si>
  <si>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</si>
  <si>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</si>
  <si>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</si>
  <si>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</si>
  <si>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</si>
  <si>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</si>
  <si>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</si>
  <si>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</si>
  <si>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</si>
  <si>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</si>
  <si>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</si>
  <si>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</si>
  <si>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</si>
  <si>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</si>
  <si>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</si>
  <si>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</si>
  <si>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</si>
  <si>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</si>
  <si>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</si>
  <si>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</si>
  <si>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</si>
  <si>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</si>
  <si>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</si>
  <si>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</si>
  <si>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</si>
  <si>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</si>
  <si>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</si>
  <si>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</si>
  <si>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</si>
  <si>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</si>
  <si>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</si>
  <si>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</si>
  <si>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</si>
  <si>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</si>
  <si>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</si>
  <si>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</si>
  <si>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</si>
  <si>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</si>
  <si>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</si>
  <si>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</si>
  <si>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</si>
  <si>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</si>
  <si>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</si>
  <si>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</si>
  <si>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</si>
  <si>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</si>
  <si>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</si>
  <si>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</si>
  <si>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</si>
  <si>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</si>
  <si>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</si>
  <si>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</si>
  <si>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</si>
  <si>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</si>
  <si>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</si>
  <si>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</si>
  <si>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</si>
  <si>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</si>
  <si>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</si>
  <si>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</si>
  <si>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</si>
  <si>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</si>
  <si>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</si>
  <si>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</si>
  <si>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</si>
  <si>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</si>
  <si>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</si>
  <si>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</si>
  <si>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</si>
  <si>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</si>
  <si>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</si>
  <si>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</si>
  <si>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</si>
  <si>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</si>
  <si>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</si>
  <si>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</si>
  <si>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</si>
  <si>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</si>
  <si>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</si>
  <si>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</si>
  <si>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</si>
  <si>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</si>
  <si>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</si>
  <si>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</si>
  <si>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</si>
  <si>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</si>
  <si>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</si>
  <si>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</si>
  <si>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</si>
  <si>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</si>
  <si>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</si>
  <si>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</si>
  <si>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</si>
  <si>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</si>
  <si>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</si>
  <si>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</si>
  <si>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</si>
  <si>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</si>
  <si>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</si>
  <si>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</si>
  <si>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</si>
  <si>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</si>
  <si>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</si>
  <si>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</si>
  <si>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</si>
  <si>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</si>
  <si>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</si>
  <si>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</si>
  <si>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</si>
  <si>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</si>
  <si>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</si>
  <si>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</si>
  <si>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</si>
  <si>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</si>
  <si>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</si>
  <si>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</si>
  <si>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</si>
  <si>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</si>
  <si>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</si>
  <si>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</si>
  <si>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</si>
  <si>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</si>
  <si>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</si>
  <si>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</si>
  <si>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</si>
  <si>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</si>
  <si>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</si>
  <si>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</si>
  <si>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</si>
  <si>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</si>
  <si>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</si>
  <si>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</si>
  <si>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</si>
  <si>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</si>
  <si>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</si>
  <si>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</si>
  <si>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</si>
  <si>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</si>
  <si>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</si>
  <si>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</si>
  <si>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</si>
  <si>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</si>
  <si>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</si>
  <si>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</si>
  <si>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</si>
  <si>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</si>
  <si>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</si>
  <si>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</si>
  <si>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</si>
  <si>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</si>
  <si>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</si>
  <si>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</si>
  <si>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</si>
  <si>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</si>
  <si>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</si>
  <si>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</si>
  <si>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</si>
  <si>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</si>
  <si>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</si>
  <si>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</si>
  <si>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</si>
  <si>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</si>
  <si>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</si>
  <si>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</si>
  <si>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</si>
  <si>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</si>
  <si>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</si>
  <si>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</si>
  <si>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</si>
  <si>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</si>
  <si>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</si>
  <si>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</si>
  <si>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</si>
  <si>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</si>
  <si>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</si>
  <si>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</si>
  <si>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</si>
  <si>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</si>
  <si>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</si>
  <si>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</si>
  <si>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</si>
  <si>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</si>
  <si>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</si>
  <si>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</si>
  <si>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</si>
  <si>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</si>
  <si>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</si>
  <si>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</si>
  <si>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</si>
  <si>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</si>
  <si>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</si>
  <si>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</si>
  <si>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</si>
  <si>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</si>
  <si>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</si>
  <si>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</si>
  <si>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</si>
  <si>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</si>
  <si>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</si>
  <si>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</si>
  <si>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</si>
  <si>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</si>
  <si>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</si>
  <si>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</si>
  <si>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</si>
  <si>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</si>
  <si>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</si>
  <si>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</si>
  <si>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</si>
  <si>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</si>
  <si>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</si>
  <si>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</si>
  <si>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</si>
  <si>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</si>
  <si>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</si>
  <si>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</si>
  <si>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</si>
  <si>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</si>
  <si>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</si>
  <si>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</si>
  <si>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</si>
  <si>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</si>
  <si>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</si>
  <si>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</si>
  <si>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</si>
  <si>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</si>
  <si>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</si>
  <si>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</si>
  <si>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</si>
  <si>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</si>
  <si>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</si>
  <si>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</si>
  <si>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</si>
  <si>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</si>
  <si>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</si>
  <si>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</si>
  <si>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</si>
  <si>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</si>
  <si>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</si>
  <si>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</si>
  <si>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</si>
  <si>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</si>
  <si>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</si>
  <si>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</si>
  <si>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</si>
  <si>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</si>
  <si>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</si>
  <si>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</si>
  <si>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</si>
  <si>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</si>
  <si>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</si>
  <si>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</si>
  <si>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</si>
  <si>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</si>
  <si>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</si>
  <si>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</si>
  <si>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</si>
  <si>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</si>
  <si>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</si>
  <si>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</si>
  <si>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</si>
  <si>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</si>
  <si>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</si>
  <si>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</si>
  <si>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</si>
  <si>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</si>
  <si>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</si>
  <si>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</si>
  <si>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</si>
  <si>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</si>
  <si>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</si>
  <si>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</si>
  <si>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</si>
  <si>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</si>
  <si>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</si>
  <si>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</si>
  <si>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</si>
  <si>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</si>
  <si>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</si>
  <si>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</si>
  <si>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</si>
  <si>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</si>
  <si>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</si>
  <si>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</si>
  <si>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</si>
  <si>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</si>
  <si>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</si>
  <si>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</si>
  <si>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</si>
  <si>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</si>
  <si>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</si>
  <si>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</si>
  <si>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</si>
  <si>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</si>
  <si>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</si>
  <si>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</si>
  <si>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</si>
  <si>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</si>
  <si>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</si>
  <si>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</si>
  <si>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</si>
  <si>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</si>
  <si>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</si>
  <si>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</si>
  <si>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</si>
  <si>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</si>
  <si>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</si>
  <si>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</si>
  <si>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</si>
  <si>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</si>
  <si>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</si>
  <si>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</si>
  <si>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</si>
  <si>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</si>
  <si>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</si>
  <si>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</si>
  <si>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</si>
  <si>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</si>
  <si>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</si>
  <si>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</si>
  <si>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</si>
  <si>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</si>
  <si>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</si>
  <si>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</si>
  <si>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</si>
  <si>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</si>
  <si>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</si>
  <si>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</si>
  <si>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</si>
  <si>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</si>
  <si>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</si>
  <si>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</si>
  <si>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</si>
  <si>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</si>
  <si>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</si>
  <si>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</si>
  <si>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</si>
  <si>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</si>
  <si>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</si>
  <si>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</si>
  <si>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</si>
  <si>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</si>
  <si>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</si>
  <si>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</si>
  <si>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</si>
  <si>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</si>
  <si>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</si>
  <si>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</si>
  <si>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</si>
  <si>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</si>
  <si>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</si>
  <si>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</si>
  <si>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</si>
  <si>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</si>
  <si>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</si>
  <si>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</si>
  <si>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</si>
  <si>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</si>
  <si>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</si>
  <si>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</si>
  <si>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</si>
  <si>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</si>
  <si>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</si>
  <si>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</si>
  <si>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</si>
  <si>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</si>
  <si>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</si>
  <si>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</si>
  <si>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</si>
  <si>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</si>
  <si>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</si>
  <si>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</si>
  <si>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</si>
  <si>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</si>
  <si>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</si>
  <si>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</si>
  <si>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</si>
  <si>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</si>
  <si>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</si>
  <si>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</si>
  <si>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</si>
  <si>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</si>
  <si>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</si>
  <si>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</si>
  <si>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</si>
  <si>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</si>
  <si>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</si>
  <si>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</si>
  <si>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</si>
  <si>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</si>
  <si>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</si>
  <si>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</si>
  <si>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</si>
  <si>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</si>
  <si>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</si>
  <si>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</si>
  <si>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</si>
  <si>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</si>
  <si>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</si>
  <si>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</si>
  <si>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</si>
  <si>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</si>
  <si>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</si>
  <si>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</si>
  <si>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</si>
  <si>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</si>
  <si>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</si>
  <si>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</si>
  <si>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</si>
  <si>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</si>
  <si>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</si>
  <si>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</si>
  <si>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</si>
  <si>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</si>
  <si>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</si>
  <si>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</si>
  <si>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</si>
  <si>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</si>
  <si>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</si>
  <si>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</si>
  <si>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</si>
  <si>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</si>
  <si>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</si>
  <si>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</si>
  <si>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</si>
  <si>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</si>
  <si>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</si>
  <si>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</si>
  <si>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</si>
  <si>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</si>
  <si>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</si>
  <si>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</si>
  <si>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</si>
  <si>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</si>
  <si>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</si>
  <si>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</si>
  <si>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</si>
  <si>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</si>
  <si>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</si>
  <si>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</si>
  <si>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</si>
  <si>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</si>
  <si>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</si>
  <si>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</si>
  <si>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</si>
  <si>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</si>
  <si>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</si>
  <si>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</si>
  <si>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</si>
  <si>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</si>
  <si>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</si>
  <si>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</si>
  <si>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</si>
  <si>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</si>
  <si>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</si>
  <si>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</si>
  <si>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</si>
  <si>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</si>
  <si>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</si>
  <si>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</si>
  <si>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</si>
  <si>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</si>
  <si>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</si>
  <si>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</si>
  <si>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</si>
  <si>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</si>
  <si>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</si>
  <si>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</si>
  <si>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</si>
  <si>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</si>
  <si>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</si>
  <si>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</si>
  <si>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</si>
  <si>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</si>
  <si>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</si>
  <si>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</si>
  <si>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</si>
  <si>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</si>
  <si>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</si>
  <si>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</si>
  <si>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</si>
  <si>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</si>
  <si>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</si>
  <si>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</si>
  <si>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</si>
  <si>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</si>
  <si>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</si>
  <si>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</si>
  <si>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</si>
  <si>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</si>
  <si>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</si>
  <si>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</si>
  <si>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</si>
  <si>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</si>
  <si>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</si>
  <si>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</si>
  <si>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</si>
  <si>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</si>
  <si>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</si>
  <si>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</si>
  <si>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</si>
  <si>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</si>
  <si>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</si>
  <si>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</si>
  <si>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</si>
  <si>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</si>
  <si>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</si>
  <si>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</si>
  <si>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</si>
  <si>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</si>
  <si>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</si>
  <si>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</si>
  <si>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</si>
  <si>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</si>
  <si>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</si>
  <si>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</si>
  <si>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</si>
  <si>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</si>
  <si>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</si>
  <si>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</si>
  <si>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</si>
  <si>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</si>
  <si>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</si>
  <si>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</si>
  <si>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</si>
  <si>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</si>
  <si>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</si>
  <si>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</si>
  <si>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</si>
  <si>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</si>
  <si>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</si>
  <si>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</si>
  <si>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</si>
  <si>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</si>
  <si>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</si>
  <si>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</si>
  <si>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</si>
  <si>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</si>
  <si>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</si>
  <si>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</si>
  <si>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</si>
  <si>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</si>
  <si>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</si>
  <si>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</si>
  <si>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</si>
  <si>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</si>
  <si>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</si>
  <si>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</si>
  <si>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</si>
  <si>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</si>
  <si>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</si>
  <si>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</si>
  <si>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</si>
  <si>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</si>
  <si>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</si>
  <si>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</si>
  <si>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</si>
  <si>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</si>
  <si>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</si>
  <si>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</si>
  <si>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</si>
  <si>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</si>
  <si>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</si>
  <si>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</si>
  <si>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</si>
  <si>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</si>
  <si>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</si>
  <si>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</si>
  <si>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</si>
  <si>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</si>
  <si>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</si>
  <si>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</si>
  <si>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</si>
  <si>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</si>
  <si>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</si>
  <si>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</si>
  <si>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</si>
  <si>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</si>
  <si>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</si>
  <si>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</si>
  <si>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</si>
  <si>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</si>
  <si>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</si>
  <si>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</si>
  <si>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</si>
  <si>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</si>
  <si>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</si>
  <si>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</si>
  <si>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</si>
  <si>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</si>
  <si>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</si>
  <si>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</si>
  <si>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</si>
  <si>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</si>
  <si>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Hanover School District</t>
  </si>
  <si>
    <t>02/15</t>
  </si>
  <si>
    <t>02/36</t>
  </si>
  <si>
    <t xml:space="preserve">Auditor Adjustments from prior year </t>
  </si>
  <si>
    <t>Auditor Adjustments from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</si>
</sst>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290">
    <xf numFmtId="0" fontId="0" fillId="0" borderId="0" xfId="0"/>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xf numFmtId="0" fontId="2" fillId="0" borderId="0" xfId="0" applyFont="1" applyProtection="1">
      <protection locked="0"/>
    </xf>
    <xf numFmtId="164"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lignment horizontal="left"/>
    </xf>
    <xf numFmtId="40" fontId="2" fillId="0" borderId="0" xfId="0" quotePrefix="1" applyNumberFormat="1" applyFont="1" applyAlignment="1">
      <alignment horizontal="center"/>
    </xf>
    <xf numFmtId="40" fontId="2" fillId="0" borderId="0" xfId="0" applyNumberFormat="1" applyFont="1" applyAlignment="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0" fillId="0" borderId="0" xfId="0" applyNumberFormat="1"/>
    <xf numFmtId="0" fontId="0" fillId="0" borderId="0" xfId="0" applyProtection="1">
      <protection locked="0"/>
    </xf>
    <xf numFmtId="40" fontId="4" fillId="0" borderId="0" xfId="0" applyNumberFormat="1" applyFont="1"/>
    <xf numFmtId="0" fontId="2" fillId="0" borderId="0" xfId="0" applyFont="1" applyAlignment="1">
      <alignment horizontal="center"/>
    </xf>
    <xf numFmtId="40" fontId="2" fillId="2" borderId="0" xfId="0" applyNumberFormat="1" applyFont="1" applyFill="1" applyAlignment="1">
      <alignment horizontal="left"/>
    </xf>
    <xf numFmtId="40" fontId="6" fillId="0" borderId="0" xfId="0" applyNumberFormat="1" applyFont="1" applyAlignment="1">
      <alignment horizontal="center"/>
    </xf>
    <xf numFmtId="40" fontId="6" fillId="0" borderId="0" xfId="0" applyNumberFormat="1" applyFont="1" applyAlignment="1">
      <alignment horizontal="left"/>
    </xf>
    <xf numFmtId="0" fontId="7" fillId="0" borderId="0" xfId="0" applyFont="1"/>
    <xf numFmtId="0" fontId="8" fillId="0" borderId="0" xfId="0" applyFont="1"/>
    <xf numFmtId="164" fontId="6" fillId="0" borderId="0" xfId="0" applyNumberFormat="1" applyFont="1" applyAlignment="1">
      <alignment horizontal="left"/>
    </xf>
    <xf numFmtId="164" fontId="7" fillId="0" borderId="0" xfId="0" applyNumberFormat="1" applyFont="1" applyAlignment="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4" fontId="6" fillId="0" borderId="3" xfId="0" applyNumberFormat="1" applyFont="1" applyBorder="1" applyAlignment="1">
      <alignment horizontal="left"/>
    </xf>
    <xf numFmtId="165" fontId="2" fillId="0" borderId="3" xfId="0" applyNumberFormat="1" applyFont="1" applyBorder="1" applyAlignment="1">
      <alignment horizontal="left"/>
    </xf>
    <xf numFmtId="165" fontId="2" fillId="0" borderId="3" xfId="0" applyNumberFormat="1" applyFont="1" applyBorder="1" applyAlignment="1">
      <alignment horizontal="center"/>
    </xf>
    <xf numFmtId="40" fontId="2" fillId="0" borderId="3" xfId="0" applyNumberFormat="1" applyFont="1" applyBorder="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lignment horizontal="left"/>
    </xf>
    <xf numFmtId="0" fontId="6" fillId="0" borderId="3" xfId="0" applyFont="1" applyBorder="1"/>
    <xf numFmtId="165" fontId="2" fillId="0" borderId="4" xfId="0" applyNumberFormat="1" applyFont="1" applyBorder="1" applyAlignment="1">
      <alignment horizontal="left"/>
    </xf>
    <xf numFmtId="40" fontId="2" fillId="2" borderId="4" xfId="0" applyNumberFormat="1" applyFont="1" applyFill="1" applyBorder="1" applyAlignment="1">
      <alignment horizontal="left"/>
    </xf>
    <xf numFmtId="164" fontId="6" fillId="0" borderId="4" xfId="0" applyNumberFormat="1" applyFont="1" applyBorder="1" applyAlignment="1">
      <alignment horizontal="left"/>
    </xf>
    <xf numFmtId="165" fontId="2" fillId="0" borderId="4" xfId="0" applyNumberFormat="1" applyFont="1" applyBorder="1" applyAlignment="1">
      <alignment horizontal="center"/>
    </xf>
    <xf numFmtId="49" fontId="2" fillId="0" borderId="0" xfId="0" applyNumberFormat="1" applyFont="1" applyAlignment="1">
      <alignment horizontal="center"/>
    </xf>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lignment horizontal="left"/>
    </xf>
    <xf numFmtId="40" fontId="3" fillId="0" borderId="6"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Protection="1">
      <protection locked="0"/>
    </xf>
    <xf numFmtId="165" fontId="2" fillId="0" borderId="6" xfId="0" applyNumberFormat="1" applyFont="1" applyBorder="1" applyAlignment="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lignment horizontal="left"/>
    </xf>
    <xf numFmtId="165" fontId="6" fillId="0" borderId="0" xfId="0" applyNumberFormat="1" applyFont="1" applyAlignment="1">
      <alignment horizontal="left"/>
    </xf>
    <xf numFmtId="49" fontId="6" fillId="0" borderId="0" xfId="0" applyNumberFormat="1" applyFont="1" applyAlignment="1">
      <alignment horizontal="left"/>
    </xf>
    <xf numFmtId="49" fontId="2" fillId="0" borderId="0" xfId="0" applyNumberFormat="1" applyFont="1" applyAlignment="1">
      <alignment horizontal="left"/>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Alignment="1">
      <alignment horizontal="right"/>
    </xf>
    <xf numFmtId="40" fontId="4" fillId="0" borderId="3" xfId="0" applyNumberFormat="1" applyFont="1" applyBorder="1" applyAlignment="1">
      <alignment horizontal="right"/>
    </xf>
    <xf numFmtId="0" fontId="11" fillId="0" borderId="0" xfId="0" applyFont="1"/>
    <xf numFmtId="0" fontId="13" fillId="0" borderId="0" xfId="0" applyFont="1"/>
    <xf numFmtId="40" fontId="3" fillId="0" borderId="0" xfId="0" applyNumberFormat="1" applyFont="1"/>
    <xf numFmtId="40" fontId="14" fillId="0" borderId="0" xfId="0" applyNumberFormat="1" applyFont="1"/>
    <xf numFmtId="40" fontId="14" fillId="0" borderId="3" xfId="0" applyNumberFormat="1" applyFont="1" applyBorder="1"/>
    <xf numFmtId="40" fontId="14" fillId="0" borderId="0" xfId="0" applyNumberFormat="1" applyFont="1" applyAlignment="1">
      <alignment horizontal="center"/>
    </xf>
    <xf numFmtId="40" fontId="4" fillId="0" borderId="0" xfId="0" applyNumberFormat="1" applyFont="1" applyAlignment="1">
      <alignment horizontal="center"/>
    </xf>
    <xf numFmtId="0" fontId="4" fillId="0" borderId="0" xfId="0" applyFont="1" applyAlignment="1">
      <alignment horizontal="center" vertical="justify"/>
    </xf>
    <xf numFmtId="40" fontId="4" fillId="0" borderId="0" xfId="0" applyNumberFormat="1" applyFont="1" applyAlignment="1">
      <alignment horizontal="center" vertical="justify"/>
    </xf>
    <xf numFmtId="40" fontId="4" fillId="0" borderId="0" xfId="0" applyNumberFormat="1" applyFont="1" applyAlignment="1">
      <alignment horizontal="right" vertical="justify"/>
    </xf>
    <xf numFmtId="40" fontId="4" fillId="0" borderId="3" xfId="0" applyNumberFormat="1" applyFont="1" applyBorder="1" applyAlignment="1">
      <alignment horizontal="right" vertical="justify"/>
    </xf>
    <xf numFmtId="49" fontId="2" fillId="0" borderId="0" xfId="0" applyNumberFormat="1" applyFont="1" applyAlignment="1" applyProtection="1">
      <alignment horizontal="left"/>
      <protection locked="0"/>
    </xf>
    <xf numFmtId="40" fontId="14" fillId="0" borderId="0" xfId="0" applyNumberFormat="1" applyFont="1" applyAlignment="1">
      <alignment horizontal="center" vertical="justify"/>
    </xf>
    <xf numFmtId="40" fontId="10" fillId="0" borderId="0" xfId="0" applyNumberFormat="1" applyFont="1" applyAlignment="1">
      <alignment horizontal="center"/>
    </xf>
    <xf numFmtId="0" fontId="2" fillId="0" borderId="0" xfId="0" quotePrefix="1" applyFont="1" applyAlignment="1">
      <alignment horizontal="left"/>
    </xf>
    <xf numFmtId="14" fontId="2" fillId="0" borderId="0" xfId="0" quotePrefix="1" applyNumberFormat="1" applyFont="1" applyAlignment="1">
      <alignment horizontal="left"/>
    </xf>
    <xf numFmtId="40" fontId="4" fillId="0" borderId="0" xfId="0" quotePrefix="1" applyNumberFormat="1" applyFont="1" applyAlignment="1">
      <alignment horizontal="left" vertical="justify"/>
    </xf>
    <xf numFmtId="40" fontId="14" fillId="0" borderId="0" xfId="0" applyNumberFormat="1" applyFont="1" applyAlignment="1">
      <alignment horizontal="centerContinuous" vertical="justify"/>
    </xf>
    <xf numFmtId="40" fontId="14" fillId="0" borderId="0" xfId="0" applyNumberFormat="1" applyFont="1" applyAlignment="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40" fontId="15" fillId="0" borderId="0" xfId="0" applyNumberFormat="1" applyFont="1"/>
    <xf numFmtId="40" fontId="4" fillId="0" borderId="4" xfId="0" applyNumberFormat="1" applyFont="1" applyBorder="1"/>
    <xf numFmtId="40" fontId="16" fillId="0" borderId="4" xfId="0" applyNumberFormat="1" applyFont="1" applyBorder="1"/>
    <xf numFmtId="0" fontId="2" fillId="0" borderId="0" xfId="0" applyFont="1" applyAlignment="1">
      <alignment horizontal="left"/>
    </xf>
    <xf numFmtId="2" fontId="0" fillId="0" borderId="0" xfId="0" applyNumberFormat="1"/>
    <xf numFmtId="40" fontId="4" fillId="0" borderId="3" xfId="0" applyNumberFormat="1" applyFont="1" applyBorder="1"/>
    <xf numFmtId="40" fontId="0" fillId="0" borderId="7" xfId="0" applyNumberFormat="1" applyBorder="1"/>
    <xf numFmtId="14" fontId="2" fillId="0" borderId="0" xfId="0" applyNumberFormat="1" applyFont="1" applyAlignment="1">
      <alignment horizontal="left"/>
    </xf>
    <xf numFmtId="40" fontId="4" fillId="0" borderId="0" xfId="0" applyNumberFormat="1" applyFont="1" applyAlignment="1">
      <alignment horizontal="left" vertical="justify"/>
    </xf>
    <xf numFmtId="40" fontId="0" fillId="0" borderId="0" xfId="0" applyNumberFormat="1" applyProtection="1">
      <protection locked="0"/>
    </xf>
    <xf numFmtId="0" fontId="3" fillId="0" borderId="0" xfId="0" applyFont="1" applyProtection="1">
      <protection locked="0"/>
    </xf>
    <xf numFmtId="40" fontId="4" fillId="0" borderId="0" xfId="0" applyNumberFormat="1" applyFont="1" applyAlignment="1">
      <alignment horizontal="left"/>
    </xf>
    <xf numFmtId="40" fontId="14" fillId="0" borderId="0" xfId="0" quotePrefix="1" applyNumberFormat="1" applyFont="1" applyAlignment="1">
      <alignment horizontal="left"/>
    </xf>
    <xf numFmtId="0" fontId="4" fillId="0" borderId="3" xfId="0" applyFont="1" applyBorder="1" applyAlignment="1">
      <alignment horizontal="center" vertical="justify"/>
    </xf>
    <xf numFmtId="40" fontId="4" fillId="0" borderId="3" xfId="0" applyNumberFormat="1" applyFont="1" applyBorder="1" applyAlignment="1">
      <alignment horizontal="center" vertical="justify"/>
    </xf>
    <xf numFmtId="40" fontId="17" fillId="0" borderId="0" xfId="0" quotePrefix="1" applyNumberFormat="1" applyFont="1" applyAlignment="1">
      <alignment horizontal="center" vertical="justify"/>
    </xf>
    <xf numFmtId="40" fontId="17"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lignment horizontal="left"/>
    </xf>
    <xf numFmtId="49" fontId="20" fillId="0" borderId="0" xfId="0" applyNumberFormat="1" applyFont="1" applyAlignment="1">
      <alignment horizontal="left"/>
    </xf>
    <xf numFmtId="40" fontId="17" fillId="0" borderId="0" xfId="0" applyNumberFormat="1" applyFont="1"/>
    <xf numFmtId="0" fontId="21" fillId="0" borderId="0" xfId="0" applyFont="1" applyAlignment="1">
      <alignment horizontal="center"/>
    </xf>
    <xf numFmtId="14" fontId="21" fillId="0" borderId="0" xfId="0" quotePrefix="1" applyNumberFormat="1" applyFont="1" applyAlignment="1">
      <alignment horizontal="left"/>
    </xf>
    <xf numFmtId="40" fontId="17" fillId="0" borderId="0" xfId="0" quotePrefix="1" applyNumberFormat="1" applyFont="1" applyAlignment="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lignment horizontal="left"/>
    </xf>
    <xf numFmtId="40" fontId="19" fillId="0" borderId="3" xfId="0" applyNumberFormat="1" applyFont="1" applyBorder="1"/>
    <xf numFmtId="40" fontId="19" fillId="0" borderId="0" xfId="0" applyNumberFormat="1" applyFont="1"/>
    <xf numFmtId="49" fontId="2" fillId="0" borderId="0" xfId="0" applyNumberFormat="1" applyFont="1" applyProtection="1">
      <protection locked="0"/>
    </xf>
    <xf numFmtId="40" fontId="14" fillId="0" borderId="0" xfId="0" quotePrefix="1" applyNumberFormat="1" applyFont="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Alignment="1">
      <alignment horizontal="left"/>
    </xf>
    <xf numFmtId="40" fontId="4" fillId="0" borderId="0" xfId="0" quotePrefix="1" applyNumberFormat="1" applyFont="1" applyAlignment="1">
      <alignment horizontal="left"/>
    </xf>
    <xf numFmtId="0" fontId="2" fillId="0" borderId="4" xfId="0" applyFont="1" applyBorder="1" applyAlignment="1">
      <alignment horizontal="left"/>
    </xf>
    <xf numFmtId="40" fontId="4" fillId="0" borderId="4" xfId="0" applyNumberFormat="1" applyFont="1" applyBorder="1" applyAlignment="1">
      <alignment horizontal="right"/>
    </xf>
    <xf numFmtId="164" fontId="21" fillId="0" borderId="0" xfId="0" applyNumberFormat="1" applyFont="1" applyAlignment="1">
      <alignment horizontal="left"/>
    </xf>
    <xf numFmtId="40" fontId="21" fillId="0" borderId="0" xfId="0" applyNumberFormat="1" applyFont="1"/>
    <xf numFmtId="40" fontId="4" fillId="0" borderId="5" xfId="0" applyNumberFormat="1" applyFont="1" applyBorder="1"/>
    <xf numFmtId="0" fontId="2" fillId="0" borderId="5" xfId="0" applyFont="1" applyBorder="1" applyAlignment="1">
      <alignment horizontal="center"/>
    </xf>
    <xf numFmtId="165" fontId="2" fillId="0" borderId="5" xfId="0" applyNumberFormat="1" applyFont="1" applyBorder="1" applyAlignment="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1" fontId="0" fillId="0" borderId="0" xfId="0" applyNumberFormat="1" applyAlignment="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lignment horizontal="left"/>
    </xf>
    <xf numFmtId="40" fontId="2" fillId="4" borderId="0" xfId="0" applyNumberFormat="1" applyFont="1" applyFill="1" applyAlignment="1">
      <alignment horizontal="center"/>
    </xf>
    <xf numFmtId="40" fontId="21" fillId="0" borderId="0" xfId="0" applyNumberFormat="1" applyFont="1" applyAlignment="1">
      <alignment horizontal="center"/>
    </xf>
    <xf numFmtId="0" fontId="6" fillId="0" borderId="0" xfId="0" applyFont="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0" fontId="32" fillId="0" borderId="0" xfId="0" applyFont="1" applyAlignment="1">
      <alignment horizontal="center"/>
    </xf>
    <xf numFmtId="164" fontId="24" fillId="0" borderId="0" xfId="0" applyNumberFormat="1" applyFont="1" applyAlignment="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8" fillId="0" borderId="0" xfId="0" applyFont="1" applyAlignment="1">
      <alignment horizontal="center"/>
    </xf>
    <xf numFmtId="0" fontId="36" fillId="0" borderId="0" xfId="0" applyFont="1"/>
    <xf numFmtId="0" fontId="0" fillId="0" borderId="15" xfId="0"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40" fontId="37" fillId="6" borderId="0" xfId="0" applyNumberFormat="1" applyFont="1"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xf numFmtId="0" fontId="28" fillId="9" borderId="0" xfId="0" applyFont="1" applyFill="1"/>
    <xf numFmtId="0" fontId="0" fillId="9" borderId="0" xfId="0" applyFill="1"/>
    <xf numFmtId="0" fontId="10" fillId="9" borderId="0" xfId="0" applyFont="1" applyFill="1"/>
    <xf numFmtId="0" fontId="10" fillId="9" borderId="26" xfId="0" applyFont="1" applyFill="1" applyBorder="1" applyAlignment="1">
      <alignment horizontal="center"/>
    </xf>
    <xf numFmtId="0" fontId="10" fillId="9" borderId="26" xfId="0" applyFont="1" applyFill="1" applyBorder="1" applyAlignment="1">
      <alignment horizontal="center" wrapText="1"/>
    </xf>
    <xf numFmtId="0" fontId="10" fillId="9" borderId="26" xfId="0" applyFont="1" applyFill="1" applyBorder="1"/>
    <xf numFmtId="2" fontId="10"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7"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1" fillId="0" borderId="23" xfId="40" applyBorder="1" applyAlignment="1">
      <alignment horizontal="left"/>
    </xf>
    <xf numFmtId="0" fontId="1" fillId="0" borderId="37" xfId="40" applyBorder="1" applyAlignment="1">
      <alignment horizontal="left"/>
    </xf>
    <xf numFmtId="0" fontId="64" fillId="0" borderId="0" xfId="0" applyFont="1"/>
    <xf numFmtId="0" fontId="28" fillId="0" borderId="0" xfId="0" applyFont="1"/>
    <xf numFmtId="0" fontId="63" fillId="0" borderId="0" xfId="0" applyFont="1"/>
    <xf numFmtId="4" fontId="64" fillId="0" borderId="0" xfId="0" applyNumberFormat="1" applyFont="1"/>
    <xf numFmtId="4" fontId="64" fillId="0" borderId="5" xfId="0" applyNumberFormat="1" applyFont="1" applyBorder="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lignment horizontal="center"/>
    </xf>
    <xf numFmtId="165" fontId="67" fillId="0" borderId="0" xfId="0" applyNumberFormat="1" applyFont="1" applyAlignment="1">
      <alignment horizontal="left"/>
    </xf>
    <xf numFmtId="40" fontId="3" fillId="41" borderId="0" xfId="0" applyNumberFormat="1" applyFont="1" applyFill="1" applyProtection="1">
      <protection locked="0"/>
    </xf>
    <xf numFmtId="164" fontId="36"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3" fillId="7" borderId="0" xfId="0" applyNumberFormat="1" applyFont="1" applyFill="1"/>
    <xf numFmtId="0" fontId="64" fillId="0" borderId="0" xfId="0" applyFont="1" applyAlignment="1">
      <alignment horizontal="center"/>
    </xf>
    <xf numFmtId="49" fontId="64" fillId="7" borderId="0" xfId="0" applyNumberFormat="1" applyFont="1" applyFill="1"/>
    <xf numFmtId="0" fontId="64" fillId="7" borderId="0" xfId="0" applyFont="1" applyFill="1"/>
    <xf numFmtId="0" fontId="27" fillId="0" borderId="0" xfId="0" applyFont="1" applyAlignment="1">
      <alignment horizontal="center"/>
    </xf>
    <xf numFmtId="0" fontId="27" fillId="0" borderId="0" xfId="0" applyFo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lignment horizontal="left"/>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10" xfId="0" applyFont="1" applyBorder="1" applyAlignment="1">
      <alignment horizontal="center"/>
    </xf>
    <xf numFmtId="49" fontId="31" fillId="0" borderId="0" xfId="0" applyNumberFormat="1" applyFont="1"/>
    <xf numFmtId="0" fontId="31" fillId="0" borderId="0" xfId="0" applyFont="1"/>
    <xf numFmtId="0" fontId="30" fillId="0" borderId="11" xfId="0" applyFont="1" applyBorder="1" applyAlignment="1">
      <alignment horizontal="center"/>
    </xf>
    <xf numFmtId="0" fontId="30" fillId="0" borderId="0" xfId="0" applyFont="1" applyAlignment="1">
      <alignment horizontal="center"/>
    </xf>
    <xf numFmtId="49" fontId="11" fillId="0" borderId="10" xfId="0" applyNumberFormat="1" applyFont="1" applyBorder="1" applyAlignment="1">
      <alignment horizontal="left"/>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30" zoomScaleNormal="130" workbookViewId="0">
      <pane xSplit="5" ySplit="3" topLeftCell="F4" activePane="bottomRight" state="frozen"/>
      <selection pane="topRight" activeCell="F1" sqref="F1"/>
      <selection pane="bottomLeft" activeCell="A4" sqref="A4"/>
      <selection pane="bottomRight" activeCell="A11" sqref="A1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8" t="s">
        <v>1642</v>
      </c>
      <c r="B2" s="20">
        <v>233</v>
      </c>
      <c r="C2" s="20">
        <v>233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5" t="s">
        <v>280</v>
      </c>
      <c r="G6" s="165" t="s">
        <v>281</v>
      </c>
      <c r="H6" s="165" t="s">
        <v>282</v>
      </c>
      <c r="I6" s="165" t="s">
        <v>283</v>
      </c>
      <c r="J6" s="165" t="s">
        <v>284</v>
      </c>
      <c r="K6" s="13"/>
      <c r="L6" s="13"/>
      <c r="M6" s="8"/>
    </row>
    <row r="7" spans="1:14" s="3" customFormat="1" ht="12.2" customHeight="1" x14ac:dyDescent="0.15">
      <c r="A7" s="1" t="s">
        <v>285</v>
      </c>
      <c r="B7" s="7"/>
      <c r="C7" s="7"/>
      <c r="D7" s="7"/>
      <c r="E7" s="7"/>
      <c r="F7" s="165"/>
      <c r="G7" s="144"/>
      <c r="H7" s="165" t="s">
        <v>768</v>
      </c>
      <c r="I7" s="144"/>
      <c r="J7" s="144"/>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-3581.17</v>
      </c>
      <c r="G9" s="18"/>
      <c r="H9" s="18"/>
      <c r="I9" s="18"/>
      <c r="J9" s="13">
        <f>SUM(I440)</f>
        <v>2262852.92</v>
      </c>
      <c r="K9" s="23" t="s">
        <v>288</v>
      </c>
      <c r="L9" s="23" t="s">
        <v>288</v>
      </c>
      <c r="M9" s="8"/>
      <c r="N9" s="166"/>
    </row>
    <row r="10" spans="1:14" s="3" customFormat="1" ht="12.2" customHeight="1" x14ac:dyDescent="0.15">
      <c r="A10" s="1" t="s">
        <v>562</v>
      </c>
      <c r="B10" s="2" t="s">
        <v>289</v>
      </c>
      <c r="C10" s="6">
        <v>2</v>
      </c>
      <c r="D10" s="2" t="s">
        <v>428</v>
      </c>
      <c r="E10" s="6">
        <v>110</v>
      </c>
      <c r="F10" s="18">
        <v>831785.32</v>
      </c>
      <c r="G10" s="18"/>
      <c r="H10" s="18"/>
      <c r="I10" s="18"/>
      <c r="J10" s="13">
        <f>SUM(I441)</f>
        <v>0</v>
      </c>
      <c r="K10" s="23" t="s">
        <v>288</v>
      </c>
      <c r="L10" s="23" t="s">
        <v>288</v>
      </c>
      <c r="M10" s="8"/>
      <c r="N10" s="166"/>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6"/>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6"/>
    </row>
    <row r="13" spans="1:14" s="3" customFormat="1" ht="12.2" customHeight="1" x14ac:dyDescent="0.15">
      <c r="A13" s="1" t="s">
        <v>604</v>
      </c>
      <c r="B13" s="2" t="s">
        <v>289</v>
      </c>
      <c r="C13" s="6">
        <v>5</v>
      </c>
      <c r="D13" s="2" t="s">
        <v>428</v>
      </c>
      <c r="E13" s="6">
        <v>140</v>
      </c>
      <c r="F13" s="18">
        <v>23944</v>
      </c>
      <c r="G13" s="18">
        <v>51705.4</v>
      </c>
      <c r="H13" s="18">
        <v>38171.56</v>
      </c>
      <c r="I13" s="18"/>
      <c r="J13" s="13">
        <f>SUM(I443)</f>
        <v>0</v>
      </c>
      <c r="K13" s="23" t="s">
        <v>288</v>
      </c>
      <c r="L13" s="23" t="s">
        <v>288</v>
      </c>
      <c r="M13" s="8"/>
      <c r="N13" s="166"/>
    </row>
    <row r="14" spans="1:14" s="3" customFormat="1" ht="12.2" customHeight="1" x14ac:dyDescent="0.15">
      <c r="A14" s="1" t="s">
        <v>565</v>
      </c>
      <c r="B14" s="2" t="s">
        <v>289</v>
      </c>
      <c r="C14" s="6">
        <v>6</v>
      </c>
      <c r="D14" s="2" t="s">
        <v>428</v>
      </c>
      <c r="E14" s="6">
        <v>150</v>
      </c>
      <c r="F14" s="18">
        <v>405</v>
      </c>
      <c r="G14" s="18"/>
      <c r="H14" s="18">
        <v>1114</v>
      </c>
      <c r="I14" s="18"/>
      <c r="J14" s="13">
        <f>SUM(I444)</f>
        <v>0</v>
      </c>
      <c r="K14" s="23" t="s">
        <v>288</v>
      </c>
      <c r="L14" s="23" t="s">
        <v>288</v>
      </c>
      <c r="M14" s="8"/>
      <c r="N14" s="166"/>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6"/>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6"/>
    </row>
    <row r="17" spans="1:14" s="3" customFormat="1" ht="12.2" customHeight="1" x14ac:dyDescent="0.15">
      <c r="A17" s="1" t="s">
        <v>567</v>
      </c>
      <c r="B17" s="2" t="s">
        <v>289</v>
      </c>
      <c r="C17" s="6">
        <v>9</v>
      </c>
      <c r="D17" s="2" t="s">
        <v>428</v>
      </c>
      <c r="E17" s="6">
        <v>180</v>
      </c>
      <c r="F17" s="18">
        <v>1777.25</v>
      </c>
      <c r="G17" s="18"/>
      <c r="H17" s="18"/>
      <c r="I17" s="18"/>
      <c r="J17" s="13">
        <f>SUM(I445)</f>
        <v>0</v>
      </c>
      <c r="K17" s="23" t="s">
        <v>288</v>
      </c>
      <c r="L17" s="23" t="s">
        <v>288</v>
      </c>
      <c r="M17" s="8"/>
      <c r="N17" s="166"/>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6"/>
    </row>
    <row r="19" spans="1:14" s="3" customFormat="1" ht="12.2" customHeight="1" thickTop="1" x14ac:dyDescent="0.15">
      <c r="A19" s="35" t="s">
        <v>404</v>
      </c>
      <c r="B19" s="36" t="s">
        <v>289</v>
      </c>
      <c r="C19" s="37">
        <v>11</v>
      </c>
      <c r="D19" s="36" t="s">
        <v>428</v>
      </c>
      <c r="E19" s="36"/>
      <c r="F19" s="38">
        <f>SUM(F9:F18)</f>
        <v>854330.39999999991</v>
      </c>
      <c r="G19" s="38">
        <f>SUM(G9:G18)</f>
        <v>51705.4</v>
      </c>
      <c r="H19" s="38">
        <f>SUM(H9:H18)</f>
        <v>39285.56</v>
      </c>
      <c r="I19" s="38">
        <f>SUM(I9:I18)</f>
        <v>0</v>
      </c>
      <c r="J19" s="38">
        <f>SUM(J9:J18)</f>
        <v>2262852.92</v>
      </c>
      <c r="K19" s="42" t="s">
        <v>288</v>
      </c>
      <c r="L19" s="42" t="s">
        <v>288</v>
      </c>
      <c r="M19" s="8"/>
      <c r="N19" s="166"/>
    </row>
    <row r="20" spans="1:14" s="3" customFormat="1" ht="12.2" customHeight="1" x14ac:dyDescent="0.15">
      <c r="A20" s="1" t="s">
        <v>454</v>
      </c>
      <c r="C20" s="95"/>
      <c r="F20" s="13"/>
      <c r="G20" s="13"/>
      <c r="H20" s="13"/>
      <c r="I20" s="13"/>
      <c r="J20" s="13"/>
      <c r="K20" s="13"/>
      <c r="L20" s="13"/>
      <c r="M20" s="8"/>
      <c r="N20" s="166"/>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6"/>
    </row>
    <row r="22" spans="1:14" s="3" customFormat="1" ht="12.2" customHeight="1" x14ac:dyDescent="0.15">
      <c r="A22" s="1" t="s">
        <v>569</v>
      </c>
      <c r="B22" s="2" t="s">
        <v>289</v>
      </c>
      <c r="C22" s="6">
        <v>12</v>
      </c>
      <c r="D22" s="2" t="s">
        <v>429</v>
      </c>
      <c r="E22" s="6">
        <v>400</v>
      </c>
      <c r="F22" s="18">
        <v>11667.59</v>
      </c>
      <c r="G22" s="18">
        <v>33545.160000000003</v>
      </c>
      <c r="H22" s="18">
        <f>38171.56-83384.3</f>
        <v>-45212.740000000005</v>
      </c>
      <c r="I22" s="18"/>
      <c r="J22" s="13">
        <f>SUM(I449)</f>
        <v>0</v>
      </c>
      <c r="K22" s="23" t="s">
        <v>288</v>
      </c>
      <c r="L22" s="23" t="s">
        <v>288</v>
      </c>
      <c r="M22" s="8"/>
      <c r="N22" s="166"/>
    </row>
    <row r="23" spans="1:14" s="3" customFormat="1" ht="12.2" customHeight="1" x14ac:dyDescent="0.15">
      <c r="A23" s="1" t="s">
        <v>607</v>
      </c>
      <c r="B23" s="2" t="s">
        <v>289</v>
      </c>
      <c r="C23" s="6">
        <v>13</v>
      </c>
      <c r="D23" s="2" t="s">
        <v>429</v>
      </c>
      <c r="E23" s="6">
        <v>410</v>
      </c>
      <c r="F23" s="18">
        <v>33774</v>
      </c>
      <c r="G23" s="18"/>
      <c r="H23" s="18"/>
      <c r="I23" s="18"/>
      <c r="J23" s="13">
        <f>SUM(I450)</f>
        <v>0</v>
      </c>
      <c r="K23" s="23" t="s">
        <v>288</v>
      </c>
      <c r="L23" s="23" t="s">
        <v>288</v>
      </c>
      <c r="M23" s="8"/>
      <c r="N23" s="166"/>
    </row>
    <row r="24" spans="1:14" s="3" customFormat="1" ht="12.2" customHeight="1" x14ac:dyDescent="0.15">
      <c r="A24" s="1" t="s">
        <v>570</v>
      </c>
      <c r="B24" s="2" t="s">
        <v>289</v>
      </c>
      <c r="C24" s="6">
        <v>14</v>
      </c>
      <c r="D24" s="2" t="s">
        <v>429</v>
      </c>
      <c r="E24" s="6">
        <v>420</v>
      </c>
      <c r="F24" s="18">
        <f>51882.19+21488.75</f>
        <v>73370.94</v>
      </c>
      <c r="G24" s="18"/>
      <c r="H24" s="18">
        <v>8463</v>
      </c>
      <c r="I24" s="18"/>
      <c r="J24" s="13">
        <f>SUM(I451)</f>
        <v>0</v>
      </c>
      <c r="K24" s="23" t="s">
        <v>288</v>
      </c>
      <c r="L24" s="23" t="s">
        <v>288</v>
      </c>
      <c r="M24" s="8"/>
      <c r="N24" s="166"/>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6"/>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6"/>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6"/>
    </row>
    <row r="28" spans="1:14" s="3" customFormat="1" ht="12.2" customHeight="1" x14ac:dyDescent="0.15">
      <c r="A28" s="1" t="s">
        <v>573</v>
      </c>
      <c r="B28" s="2" t="s">
        <v>289</v>
      </c>
      <c r="C28" s="6">
        <v>18</v>
      </c>
      <c r="D28" s="2" t="s">
        <v>429</v>
      </c>
      <c r="E28" s="6">
        <v>460</v>
      </c>
      <c r="F28" s="18">
        <v>1913</v>
      </c>
      <c r="G28" s="18"/>
      <c r="H28" s="18"/>
      <c r="I28" s="18"/>
      <c r="J28" s="23" t="s">
        <v>288</v>
      </c>
      <c r="K28" s="23" t="s">
        <v>288</v>
      </c>
      <c r="L28" s="23" t="s">
        <v>288</v>
      </c>
      <c r="M28" s="8"/>
      <c r="N28" s="166"/>
    </row>
    <row r="29" spans="1:14" s="3" customFormat="1" ht="12.2" customHeight="1" x14ac:dyDescent="0.15">
      <c r="A29" s="1" t="s">
        <v>575</v>
      </c>
      <c r="B29" s="2" t="s">
        <v>289</v>
      </c>
      <c r="C29" s="6">
        <v>19</v>
      </c>
      <c r="D29" s="2" t="s">
        <v>429</v>
      </c>
      <c r="E29" s="6">
        <v>470</v>
      </c>
      <c r="F29" s="18">
        <v>-7271.16</v>
      </c>
      <c r="G29" s="18"/>
      <c r="H29" s="18"/>
      <c r="I29" s="18"/>
      <c r="J29" s="23" t="s">
        <v>288</v>
      </c>
      <c r="K29" s="23" t="s">
        <v>288</v>
      </c>
      <c r="L29" s="23" t="s">
        <v>288</v>
      </c>
      <c r="M29" s="8"/>
      <c r="N29" s="166"/>
    </row>
    <row r="30" spans="1:14" s="3" customFormat="1" ht="12.2" customHeight="1" x14ac:dyDescent="0.15">
      <c r="A30" s="1" t="s">
        <v>576</v>
      </c>
      <c r="B30" s="2" t="s">
        <v>289</v>
      </c>
      <c r="C30" s="6">
        <v>20</v>
      </c>
      <c r="D30" s="2" t="s">
        <v>429</v>
      </c>
      <c r="E30" s="6">
        <v>480</v>
      </c>
      <c r="F30" s="18">
        <v>80000</v>
      </c>
      <c r="G30" s="18">
        <f>18160.17+0.07</f>
        <v>18160.239999999998</v>
      </c>
      <c r="H30" s="18"/>
      <c r="I30" s="18"/>
      <c r="J30" s="23" t="s">
        <v>288</v>
      </c>
      <c r="K30" s="23" t="s">
        <v>288</v>
      </c>
      <c r="L30" s="23" t="s">
        <v>288</v>
      </c>
      <c r="M30" s="8"/>
      <c r="N30" s="166"/>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6"/>
    </row>
    <row r="32" spans="1:14" s="3" customFormat="1" ht="12.2" customHeight="1" thickTop="1" x14ac:dyDescent="0.15">
      <c r="A32" s="35" t="s">
        <v>406</v>
      </c>
      <c r="B32" s="36" t="s">
        <v>289</v>
      </c>
      <c r="C32" s="37">
        <v>22</v>
      </c>
      <c r="D32" s="36" t="s">
        <v>429</v>
      </c>
      <c r="E32" s="36"/>
      <c r="F32" s="38">
        <f>SUM(F22:F31)</f>
        <v>193454.37</v>
      </c>
      <c r="G32" s="38">
        <f>SUM(G22:G31)</f>
        <v>51705.4</v>
      </c>
      <c r="H32" s="38">
        <f>SUM(H22:H31)</f>
        <v>-36749.740000000005</v>
      </c>
      <c r="I32" s="38">
        <f>SUM(I22:I31)</f>
        <v>0</v>
      </c>
      <c r="J32" s="38">
        <f>SUM(J22:J31)</f>
        <v>0</v>
      </c>
      <c r="K32" s="42" t="s">
        <v>288</v>
      </c>
      <c r="L32" s="42" t="s">
        <v>288</v>
      </c>
      <c r="M32" s="8"/>
      <c r="N32" s="166"/>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6"/>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6"/>
    </row>
    <row r="35" spans="1:14" s="3" customFormat="1" ht="12.2" customHeight="1" x14ac:dyDescent="0.15">
      <c r="A35" s="1" t="s">
        <v>577</v>
      </c>
      <c r="B35" s="6">
        <v>1</v>
      </c>
      <c r="C35" s="6">
        <v>23</v>
      </c>
      <c r="D35" s="2" t="s">
        <v>653</v>
      </c>
      <c r="E35" s="6">
        <v>751</v>
      </c>
      <c r="F35" s="18">
        <v>1777.42</v>
      </c>
      <c r="G35" s="18"/>
      <c r="H35" s="18"/>
      <c r="I35" s="18"/>
      <c r="J35" s="23" t="s">
        <v>288</v>
      </c>
      <c r="K35" s="23" t="s">
        <v>288</v>
      </c>
      <c r="L35" s="23" t="s">
        <v>288</v>
      </c>
      <c r="M35" s="8"/>
      <c r="N35" s="166"/>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6"/>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6"/>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6"/>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6"/>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6"/>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6"/>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6"/>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6"/>
    </row>
    <row r="44" spans="1:14" s="3" customFormat="1" ht="12.2" customHeight="1" x14ac:dyDescent="0.15">
      <c r="A44" s="1" t="s">
        <v>837</v>
      </c>
      <c r="B44" s="6">
        <v>1</v>
      </c>
      <c r="C44" s="6">
        <v>30</v>
      </c>
      <c r="D44" s="2" t="s">
        <v>653</v>
      </c>
      <c r="E44" s="6">
        <v>755</v>
      </c>
      <c r="F44" s="18">
        <v>100000</v>
      </c>
      <c r="G44" s="18"/>
      <c r="H44" s="18"/>
      <c r="I44" s="18"/>
      <c r="J44" s="23" t="s">
        <v>288</v>
      </c>
      <c r="K44" s="23" t="s">
        <v>288</v>
      </c>
      <c r="L44" s="23" t="s">
        <v>288</v>
      </c>
      <c r="M44" s="8"/>
      <c r="N44" s="166"/>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6"/>
    </row>
    <row r="46" spans="1:14" s="3" customFormat="1" ht="12.2" customHeight="1" x14ac:dyDescent="0.15">
      <c r="A46" s="1" t="s">
        <v>874</v>
      </c>
      <c r="B46" s="6">
        <v>1</v>
      </c>
      <c r="C46" s="6">
        <v>32</v>
      </c>
      <c r="D46" s="2"/>
      <c r="E46" s="6"/>
      <c r="F46" s="18">
        <v>300000</v>
      </c>
      <c r="G46" s="23" t="s">
        <v>288</v>
      </c>
      <c r="H46" s="23" t="s">
        <v>288</v>
      </c>
      <c r="I46" s="23" t="s">
        <v>288</v>
      </c>
      <c r="J46" s="23" t="s">
        <v>288</v>
      </c>
      <c r="K46" s="23"/>
      <c r="L46" s="23"/>
      <c r="M46" s="8"/>
      <c r="N46" s="166"/>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6"/>
    </row>
    <row r="48" spans="1:14" s="3" customFormat="1" ht="12.2" customHeight="1" x14ac:dyDescent="0.15">
      <c r="A48" s="1" t="s">
        <v>839</v>
      </c>
      <c r="B48" s="2" t="s">
        <v>289</v>
      </c>
      <c r="C48" s="6">
        <v>33</v>
      </c>
      <c r="D48" s="2" t="s">
        <v>653</v>
      </c>
      <c r="E48" s="6">
        <v>760</v>
      </c>
      <c r="F48" s="18"/>
      <c r="G48" s="18"/>
      <c r="H48" s="18">
        <v>76035.3</v>
      </c>
      <c r="I48" s="18"/>
      <c r="J48" s="13">
        <f>SUM(I460)</f>
        <v>2262852.92</v>
      </c>
      <c r="K48" s="23" t="s">
        <v>288</v>
      </c>
      <c r="L48" s="23" t="s">
        <v>288</v>
      </c>
      <c r="M48" s="8"/>
      <c r="N48" s="166"/>
    </row>
    <row r="49" spans="1:14" s="3" customFormat="1" ht="12.2" customHeight="1" x14ac:dyDescent="0.15">
      <c r="A49" s="1" t="s">
        <v>859</v>
      </c>
      <c r="B49" s="2" t="s">
        <v>289</v>
      </c>
      <c r="C49" s="6">
        <v>34</v>
      </c>
      <c r="D49" s="2"/>
      <c r="E49" s="6">
        <v>753</v>
      </c>
      <c r="F49" s="18">
        <v>20075</v>
      </c>
      <c r="G49" s="18"/>
      <c r="H49" s="18"/>
      <c r="I49" s="18"/>
      <c r="J49" s="13">
        <f>I455</f>
        <v>0</v>
      </c>
      <c r="K49" s="23"/>
      <c r="L49" s="23"/>
      <c r="M49" s="8"/>
      <c r="N49" s="166"/>
    </row>
    <row r="50" spans="1:14" s="3" customFormat="1" ht="12.2" customHeight="1" thickBot="1" x14ac:dyDescent="0.2">
      <c r="A50" s="28" t="s">
        <v>840</v>
      </c>
      <c r="B50" s="2" t="s">
        <v>289</v>
      </c>
      <c r="C50" s="56">
        <v>35</v>
      </c>
      <c r="D50" s="2" t="s">
        <v>653</v>
      </c>
      <c r="E50" s="6">
        <v>770</v>
      </c>
      <c r="F50" s="18">
        <f>360079.61+178944-300000</f>
        <v>239023.61</v>
      </c>
      <c r="G50" s="23" t="s">
        <v>288</v>
      </c>
      <c r="H50" s="23" t="s">
        <v>288</v>
      </c>
      <c r="I50" s="23" t="s">
        <v>288</v>
      </c>
      <c r="J50" s="23" t="s">
        <v>288</v>
      </c>
      <c r="K50" s="23" t="s">
        <v>288</v>
      </c>
      <c r="L50" s="23" t="s">
        <v>288</v>
      </c>
      <c r="M50" s="8"/>
      <c r="N50" s="166"/>
    </row>
    <row r="51" spans="1:14" ht="12.2" customHeight="1" thickTop="1" thickBot="1" x14ac:dyDescent="0.25">
      <c r="A51" s="35" t="s">
        <v>407</v>
      </c>
      <c r="B51" s="36" t="s">
        <v>289</v>
      </c>
      <c r="C51" s="47">
        <v>36</v>
      </c>
      <c r="D51" s="36" t="s">
        <v>653</v>
      </c>
      <c r="E51" s="36"/>
      <c r="F51" s="38">
        <f>SUM(F35:F50)</f>
        <v>660876.03</v>
      </c>
      <c r="G51" s="38">
        <f>SUM(G35:G50)</f>
        <v>0</v>
      </c>
      <c r="H51" s="38">
        <f>SUM(H35:H50)</f>
        <v>76035.3</v>
      </c>
      <c r="I51" s="38">
        <f>SUM(I35:I50)</f>
        <v>0</v>
      </c>
      <c r="J51" s="38">
        <f>SUM(J35:J50)</f>
        <v>2262852.92</v>
      </c>
      <c r="K51" s="42" t="s">
        <v>288</v>
      </c>
      <c r="L51" s="42" t="s">
        <v>288</v>
      </c>
      <c r="N51" s="132"/>
    </row>
    <row r="52" spans="1:14" s="3" customFormat="1" ht="12.2" customHeight="1" thickTop="1" x14ac:dyDescent="0.15">
      <c r="A52" s="35" t="s">
        <v>455</v>
      </c>
      <c r="B52" s="36" t="s">
        <v>289</v>
      </c>
      <c r="C52" s="6">
        <v>37</v>
      </c>
      <c r="D52" s="36" t="s">
        <v>653</v>
      </c>
      <c r="E52" s="36"/>
      <c r="F52" s="38">
        <f>F51+F32</f>
        <v>854330.4</v>
      </c>
      <c r="G52" s="38">
        <f>G51+G32</f>
        <v>51705.4</v>
      </c>
      <c r="H52" s="38">
        <f>H51+H32</f>
        <v>39285.56</v>
      </c>
      <c r="I52" s="38">
        <f>I51+I32</f>
        <v>0</v>
      </c>
      <c r="J52" s="38">
        <f>J51+J32</f>
        <v>2262852.92</v>
      </c>
      <c r="K52" s="42" t="s">
        <v>288</v>
      </c>
      <c r="L52" s="42" t="s">
        <v>288</v>
      </c>
      <c r="M52" s="8"/>
      <c r="N52" s="166"/>
    </row>
    <row r="53" spans="1:14" s="3" customFormat="1" ht="12.2" customHeight="1" x14ac:dyDescent="0.2">
      <c r="A53"/>
      <c r="B53"/>
      <c r="C53"/>
      <c r="D53"/>
      <c r="E53"/>
      <c r="F53" s="22" t="s">
        <v>273</v>
      </c>
      <c r="G53" s="22" t="s">
        <v>274</v>
      </c>
      <c r="H53" s="22" t="s">
        <v>275</v>
      </c>
      <c r="I53" s="22" t="s">
        <v>276</v>
      </c>
      <c r="J53" s="22" t="s">
        <v>277</v>
      </c>
      <c r="K53" s="19"/>
      <c r="L53" s="19"/>
      <c r="M53" s="8"/>
      <c r="N53" s="166"/>
    </row>
    <row r="54" spans="1:14" s="3" customFormat="1" ht="12.2" customHeight="1" x14ac:dyDescent="0.2">
      <c r="A54" s="1" t="s">
        <v>305</v>
      </c>
      <c r="F54" s="22"/>
      <c r="G54" s="22"/>
      <c r="H54" s="22" t="s">
        <v>282</v>
      </c>
      <c r="I54" s="22"/>
      <c r="J54" s="22"/>
      <c r="K54" s="19"/>
      <c r="L54" s="19"/>
      <c r="M54" s="8"/>
      <c r="N54" s="166"/>
    </row>
    <row r="55" spans="1:14" s="3" customFormat="1" ht="12.2" customHeight="1" x14ac:dyDescent="0.2">
      <c r="A55" s="27" t="s">
        <v>307</v>
      </c>
      <c r="E55" s="6"/>
      <c r="F55" s="16" t="s">
        <v>280</v>
      </c>
      <c r="G55" s="16" t="s">
        <v>281</v>
      </c>
      <c r="H55" s="16" t="s">
        <v>768</v>
      </c>
      <c r="I55" s="16" t="s">
        <v>283</v>
      </c>
      <c r="J55" s="16" t="s">
        <v>284</v>
      </c>
      <c r="K55" s="19"/>
      <c r="L55" s="19"/>
      <c r="M55" s="8"/>
      <c r="N55" s="166"/>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6"/>
    </row>
    <row r="57" spans="1:14" s="3" customFormat="1" ht="12.2" customHeight="1" x14ac:dyDescent="0.15">
      <c r="A57" s="1" t="s">
        <v>511</v>
      </c>
      <c r="B57" s="2" t="s">
        <v>309</v>
      </c>
      <c r="C57" s="6">
        <v>1</v>
      </c>
      <c r="D57" s="2" t="s">
        <v>430</v>
      </c>
      <c r="E57" s="6">
        <v>1111</v>
      </c>
      <c r="F57" s="18">
        <v>11119540</v>
      </c>
      <c r="G57" s="18"/>
      <c r="H57" s="18"/>
      <c r="I57" s="18"/>
      <c r="J57" s="18"/>
      <c r="K57" s="23" t="s">
        <v>288</v>
      </c>
      <c r="L57" s="23" t="s">
        <v>288</v>
      </c>
      <c r="M57" s="8"/>
      <c r="N57" s="166"/>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6"/>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1"/>
    </row>
    <row r="60" spans="1:14" s="26" customFormat="1" ht="12.2" customHeight="1" thickTop="1" x14ac:dyDescent="0.15">
      <c r="A60" s="35" t="s">
        <v>408</v>
      </c>
      <c r="B60" s="36" t="s">
        <v>309</v>
      </c>
      <c r="C60" s="37">
        <v>4</v>
      </c>
      <c r="D60" s="36" t="s">
        <v>430</v>
      </c>
      <c r="E60" s="37">
        <v>1100</v>
      </c>
      <c r="F60" s="38">
        <f>SUM(F57:F59)</f>
        <v>11119540</v>
      </c>
      <c r="G60" s="38">
        <f>SUM(G57:G59)</f>
        <v>0</v>
      </c>
      <c r="H60" s="38">
        <f>SUM(H57:H59)</f>
        <v>0</v>
      </c>
      <c r="I60" s="38">
        <f>SUM(I57:I59)</f>
        <v>0</v>
      </c>
      <c r="J60" s="38">
        <f>SUM(J57:J59)</f>
        <v>0</v>
      </c>
      <c r="K60" s="42" t="s">
        <v>288</v>
      </c>
      <c r="L60" s="42" t="s">
        <v>288</v>
      </c>
      <c r="M60" s="30"/>
      <c r="N60" s="201"/>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6"/>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6"/>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6"/>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6"/>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1"/>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6"/>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6"/>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6"/>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6"/>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6"/>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6"/>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6"/>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6"/>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6"/>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6"/>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6"/>
    </row>
    <row r="77" spans="1:14" s="3" customFormat="1" ht="12.2" customHeight="1" x14ac:dyDescent="0.15">
      <c r="A77" s="1" t="s">
        <v>515</v>
      </c>
      <c r="B77" s="2" t="s">
        <v>309</v>
      </c>
      <c r="C77" s="6">
        <v>16</v>
      </c>
      <c r="D77" s="2" t="s">
        <v>430</v>
      </c>
      <c r="E77" s="6">
        <v>1342</v>
      </c>
      <c r="F77" s="18">
        <v>157076</v>
      </c>
      <c r="G77" s="23" t="s">
        <v>288</v>
      </c>
      <c r="H77" s="18"/>
      <c r="I77" s="23" t="s">
        <v>288</v>
      </c>
      <c r="J77" s="23" t="s">
        <v>288</v>
      </c>
      <c r="K77" s="23" t="s">
        <v>288</v>
      </c>
      <c r="L77" s="23" t="s">
        <v>288</v>
      </c>
      <c r="M77" s="8"/>
      <c r="N77" s="166"/>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2"/>
    </row>
    <row r="79" spans="1:14" s="3" customFormat="1" ht="12.2" customHeight="1" thickTop="1" x14ac:dyDescent="0.15">
      <c r="A79" s="35" t="s">
        <v>409</v>
      </c>
      <c r="B79" s="36" t="s">
        <v>309</v>
      </c>
      <c r="C79" s="36" t="s">
        <v>314</v>
      </c>
      <c r="D79" s="36" t="s">
        <v>430</v>
      </c>
      <c r="E79" s="37">
        <v>1300</v>
      </c>
      <c r="F79" s="38">
        <f>SUM(F63:F78)</f>
        <v>157076</v>
      </c>
      <c r="G79" s="42" t="s">
        <v>288</v>
      </c>
      <c r="H79" s="38">
        <f>SUM(H63:H78)</f>
        <v>0</v>
      </c>
      <c r="I79" s="42" t="s">
        <v>288</v>
      </c>
      <c r="J79" s="42" t="s">
        <v>288</v>
      </c>
      <c r="K79" s="42" t="s">
        <v>288</v>
      </c>
      <c r="L79" s="42" t="s">
        <v>288</v>
      </c>
      <c r="M79" s="8">
        <v>278</v>
      </c>
      <c r="N79" s="166"/>
    </row>
    <row r="80" spans="1:14" s="3" customFormat="1" ht="12.2" customHeight="1" x14ac:dyDescent="0.2">
      <c r="A80"/>
      <c r="B80"/>
      <c r="C80" s="31"/>
      <c r="D80" s="31"/>
      <c r="E80" s="31"/>
      <c r="F80" s="22" t="s">
        <v>273</v>
      </c>
      <c r="G80" s="22" t="s">
        <v>274</v>
      </c>
      <c r="H80" s="22" t="s">
        <v>275</v>
      </c>
      <c r="I80" s="22" t="s">
        <v>276</v>
      </c>
      <c r="J80" s="22" t="s">
        <v>277</v>
      </c>
      <c r="K80" s="19"/>
      <c r="L80" s="19"/>
      <c r="M80" s="8"/>
      <c r="N80" s="166"/>
    </row>
    <row r="81" spans="1:14" s="3" customFormat="1" ht="12.2" customHeight="1" x14ac:dyDescent="0.2">
      <c r="A81" s="125" t="s">
        <v>518</v>
      </c>
      <c r="C81" s="22"/>
      <c r="D81" s="22"/>
      <c r="E81" s="22"/>
      <c r="F81" s="22"/>
      <c r="G81" s="22"/>
      <c r="H81" s="22" t="s">
        <v>282</v>
      </c>
      <c r="I81" s="22"/>
      <c r="J81" s="22"/>
      <c r="K81" s="19"/>
      <c r="L81" s="19"/>
      <c r="M81" s="8"/>
      <c r="N81" s="166"/>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6"/>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6"/>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6"/>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6"/>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6"/>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6"/>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6"/>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6"/>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6"/>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6"/>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6"/>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6"/>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6"/>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6"/>
    </row>
    <row r="96" spans="1:14" s="3" customFormat="1" ht="12.2" customHeight="1" x14ac:dyDescent="0.15">
      <c r="A96" s="1" t="s">
        <v>592</v>
      </c>
      <c r="B96" s="2" t="s">
        <v>315</v>
      </c>
      <c r="C96" s="6">
        <v>11</v>
      </c>
      <c r="D96" s="2" t="s">
        <v>430</v>
      </c>
      <c r="E96" s="6">
        <v>1500</v>
      </c>
      <c r="F96" s="18">
        <v>55760.87</v>
      </c>
      <c r="G96" s="18"/>
      <c r="H96" s="18"/>
      <c r="I96" s="18"/>
      <c r="J96" s="18">
        <v>99326.92</v>
      </c>
      <c r="K96" s="23" t="s">
        <v>288</v>
      </c>
      <c r="L96" s="23" t="s">
        <v>288</v>
      </c>
      <c r="M96" s="8"/>
      <c r="N96" s="166"/>
    </row>
    <row r="97" spans="1:14" s="3" customFormat="1" ht="12.2" customHeight="1" x14ac:dyDescent="0.15">
      <c r="A97" s="1" t="s">
        <v>503</v>
      </c>
      <c r="B97" s="2" t="s">
        <v>315</v>
      </c>
      <c r="C97" s="6">
        <v>12</v>
      </c>
      <c r="D97" s="2" t="s">
        <v>430</v>
      </c>
      <c r="E97" s="6">
        <v>1600</v>
      </c>
      <c r="F97" s="23" t="s">
        <v>288</v>
      </c>
      <c r="G97" s="18">
        <v>102968.25</v>
      </c>
      <c r="H97" s="23" t="s">
        <v>288</v>
      </c>
      <c r="I97" s="23" t="s">
        <v>288</v>
      </c>
      <c r="J97" s="23" t="s">
        <v>288</v>
      </c>
      <c r="K97" s="23" t="s">
        <v>288</v>
      </c>
      <c r="L97" s="23" t="s">
        <v>288</v>
      </c>
      <c r="M97" s="8"/>
      <c r="N97" s="166"/>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6"/>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6"/>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6"/>
    </row>
    <row r="101" spans="1:14" s="3" customFormat="1" ht="12.2" customHeight="1" x14ac:dyDescent="0.15">
      <c r="A101" s="1" t="s">
        <v>505</v>
      </c>
      <c r="B101" s="2" t="s">
        <v>315</v>
      </c>
      <c r="C101" s="6">
        <v>15</v>
      </c>
      <c r="D101" s="2" t="s">
        <v>430</v>
      </c>
      <c r="E101" s="6">
        <v>1910</v>
      </c>
      <c r="F101" s="18">
        <v>13429.69</v>
      </c>
      <c r="G101" s="18"/>
      <c r="H101" s="18"/>
      <c r="I101" s="18"/>
      <c r="J101" s="23" t="s">
        <v>288</v>
      </c>
      <c r="K101" s="23" t="s">
        <v>288</v>
      </c>
      <c r="L101" s="23" t="s">
        <v>288</v>
      </c>
      <c r="M101" s="8"/>
      <c r="N101" s="166"/>
    </row>
    <row r="102" spans="1:14" s="3" customFormat="1" ht="12.2" customHeight="1" x14ac:dyDescent="0.15">
      <c r="A102" s="1" t="s">
        <v>506</v>
      </c>
      <c r="B102" s="2" t="s">
        <v>315</v>
      </c>
      <c r="C102" s="6">
        <v>16</v>
      </c>
      <c r="D102" s="2" t="s">
        <v>430</v>
      </c>
      <c r="E102" s="6">
        <v>1920</v>
      </c>
      <c r="F102" s="18"/>
      <c r="G102" s="18"/>
      <c r="H102" s="18">
        <v>33232</v>
      </c>
      <c r="I102" s="18"/>
      <c r="J102" s="18"/>
      <c r="K102" s="23" t="s">
        <v>288</v>
      </c>
      <c r="L102" s="23" t="s">
        <v>288</v>
      </c>
      <c r="M102" s="8"/>
      <c r="N102" s="166"/>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6"/>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6"/>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6"/>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6"/>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6"/>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6"/>
    </row>
    <row r="109" spans="1:14" s="3" customFormat="1" ht="12.2" customHeight="1" x14ac:dyDescent="0.15">
      <c r="A109" s="1" t="s">
        <v>509</v>
      </c>
      <c r="B109" s="2" t="s">
        <v>315</v>
      </c>
      <c r="C109" s="6">
        <v>23</v>
      </c>
      <c r="D109" s="2" t="s">
        <v>430</v>
      </c>
      <c r="E109" s="6">
        <v>1980</v>
      </c>
      <c r="F109" s="18">
        <v>2721.87</v>
      </c>
      <c r="G109" s="18"/>
      <c r="H109" s="18"/>
      <c r="I109" s="18"/>
      <c r="J109" s="23" t="s">
        <v>288</v>
      </c>
      <c r="K109" s="23" t="s">
        <v>288</v>
      </c>
      <c r="L109" s="23" t="s">
        <v>288</v>
      </c>
      <c r="M109" s="8"/>
      <c r="N109" s="166"/>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6"/>
    </row>
    <row r="111" spans="1:14" ht="12.2" customHeight="1" thickTop="1" thickBot="1" x14ac:dyDescent="0.25">
      <c r="A111" s="35" t="s">
        <v>433</v>
      </c>
      <c r="B111" s="36" t="s">
        <v>315</v>
      </c>
      <c r="C111" s="37">
        <v>25</v>
      </c>
      <c r="D111" s="36" t="s">
        <v>430</v>
      </c>
      <c r="E111" s="37"/>
      <c r="F111" s="38">
        <f>SUM(F96:F110)</f>
        <v>71912.429999999993</v>
      </c>
      <c r="G111" s="38">
        <f>SUM(G96:G110)</f>
        <v>102968.25</v>
      </c>
      <c r="H111" s="38">
        <f>SUM(H96:H110)</f>
        <v>33232</v>
      </c>
      <c r="I111" s="38">
        <f>SUM(I96:I110)</f>
        <v>0</v>
      </c>
      <c r="J111" s="38">
        <f>SUM(J96:J110)</f>
        <v>99326.92</v>
      </c>
      <c r="K111" s="42" t="s">
        <v>288</v>
      </c>
      <c r="L111" s="42" t="s">
        <v>288</v>
      </c>
      <c r="N111" s="132"/>
    </row>
    <row r="112" spans="1:14" s="3" customFormat="1" ht="12.2" customHeight="1" thickTop="1" x14ac:dyDescent="0.15">
      <c r="A112" s="35" t="s">
        <v>414</v>
      </c>
      <c r="B112" s="36" t="s">
        <v>315</v>
      </c>
      <c r="C112" s="37">
        <v>26</v>
      </c>
      <c r="D112" s="36" t="s">
        <v>430</v>
      </c>
      <c r="E112" s="37">
        <v>1000</v>
      </c>
      <c r="F112" s="38">
        <f>F60+F79+F94+F111</f>
        <v>11348528.43</v>
      </c>
      <c r="G112" s="38">
        <f>G60+G111</f>
        <v>102968.25</v>
      </c>
      <c r="H112" s="38">
        <f>H60+H79+H94+H111</f>
        <v>33232</v>
      </c>
      <c r="I112" s="38">
        <f>I60+I111</f>
        <v>0</v>
      </c>
      <c r="J112" s="38">
        <f>J60+J111</f>
        <v>99326.92</v>
      </c>
      <c r="K112" s="42" t="s">
        <v>288</v>
      </c>
      <c r="L112" s="42" t="s">
        <v>288</v>
      </c>
      <c r="M112" s="8"/>
      <c r="N112" s="166"/>
    </row>
    <row r="113" spans="1:14" s="3" customFormat="1" ht="12.2" customHeight="1" x14ac:dyDescent="0.2">
      <c r="A113"/>
      <c r="B113"/>
      <c r="C113"/>
      <c r="D113"/>
      <c r="E113"/>
      <c r="F113" s="22" t="s">
        <v>273</v>
      </c>
      <c r="G113" s="22" t="s">
        <v>274</v>
      </c>
      <c r="H113" s="22" t="s">
        <v>275</v>
      </c>
      <c r="I113" s="22" t="s">
        <v>276</v>
      </c>
      <c r="J113" s="22" t="s">
        <v>277</v>
      </c>
      <c r="K113" s="19"/>
      <c r="L113" s="19"/>
      <c r="M113" s="8"/>
      <c r="N113" s="166"/>
    </row>
    <row r="114" spans="1:14" s="3" customFormat="1" ht="12.2" customHeight="1" x14ac:dyDescent="0.2">
      <c r="A114" s="28" t="s">
        <v>319</v>
      </c>
      <c r="H114" s="22" t="s">
        <v>282</v>
      </c>
      <c r="K114" s="19"/>
      <c r="L114" s="19"/>
      <c r="M114" s="8"/>
      <c r="N114" s="166"/>
    </row>
    <row r="115" spans="1:14" s="3" customFormat="1" ht="12.2" customHeight="1" x14ac:dyDescent="0.2">
      <c r="A115" s="27" t="s">
        <v>320</v>
      </c>
      <c r="F115" s="16" t="s">
        <v>280</v>
      </c>
      <c r="G115" s="14" t="s">
        <v>281</v>
      </c>
      <c r="H115" s="16" t="s">
        <v>768</v>
      </c>
      <c r="I115" s="16" t="s">
        <v>283</v>
      </c>
      <c r="J115" s="16" t="s">
        <v>284</v>
      </c>
      <c r="K115" s="19"/>
      <c r="L115" s="19"/>
      <c r="M115" s="8"/>
      <c r="N115" s="166"/>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6"/>
    </row>
    <row r="117" spans="1:14" s="3" customFormat="1" ht="12.2" customHeight="1" x14ac:dyDescent="0.15">
      <c r="A117" s="1" t="s">
        <v>833</v>
      </c>
      <c r="B117" s="2" t="s">
        <v>321</v>
      </c>
      <c r="C117" s="6">
        <v>1</v>
      </c>
      <c r="D117" s="2" t="s">
        <v>430</v>
      </c>
      <c r="E117" s="6">
        <v>3111</v>
      </c>
      <c r="F117" s="18"/>
      <c r="G117" s="23" t="s">
        <v>288</v>
      </c>
      <c r="H117" s="23" t="s">
        <v>288</v>
      </c>
      <c r="I117" s="23" t="s">
        <v>288</v>
      </c>
      <c r="J117" s="23" t="s">
        <v>288</v>
      </c>
      <c r="K117" s="23" t="s">
        <v>288</v>
      </c>
      <c r="L117" s="23" t="s">
        <v>288</v>
      </c>
      <c r="M117" s="8"/>
      <c r="N117" s="166"/>
    </row>
    <row r="118" spans="1:14" s="3" customFormat="1" ht="12.2" customHeight="1" x14ac:dyDescent="0.15">
      <c r="A118" s="1" t="s">
        <v>769</v>
      </c>
      <c r="B118" s="2" t="s">
        <v>321</v>
      </c>
      <c r="C118" s="6">
        <v>2</v>
      </c>
      <c r="D118" s="2" t="s">
        <v>430</v>
      </c>
      <c r="E118" s="6">
        <v>3112</v>
      </c>
      <c r="F118" s="18">
        <v>2448368</v>
      </c>
      <c r="G118" s="23" t="s">
        <v>288</v>
      </c>
      <c r="H118" s="23" t="s">
        <v>288</v>
      </c>
      <c r="I118" s="23" t="s">
        <v>288</v>
      </c>
      <c r="J118" s="23" t="s">
        <v>288</v>
      </c>
      <c r="K118" s="23" t="s">
        <v>288</v>
      </c>
      <c r="L118" s="23" t="s">
        <v>288</v>
      </c>
      <c r="M118" s="8"/>
      <c r="N118" s="166"/>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6"/>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6"/>
    </row>
    <row r="121" spans="1:14" s="3" customFormat="1" ht="12.2" customHeight="1" thickTop="1" x14ac:dyDescent="0.15">
      <c r="A121" s="35" t="s">
        <v>648</v>
      </c>
      <c r="B121" s="36" t="s">
        <v>321</v>
      </c>
      <c r="C121" s="37">
        <v>5</v>
      </c>
      <c r="D121" s="36" t="s">
        <v>430</v>
      </c>
      <c r="E121" s="37">
        <v>3100</v>
      </c>
      <c r="F121" s="38">
        <f>SUM(F117:F120)</f>
        <v>2448368</v>
      </c>
      <c r="G121" s="38">
        <f>SUM(G117:G120)</f>
        <v>0</v>
      </c>
      <c r="H121" s="38">
        <f>SUM(H117:H120)</f>
        <v>0</v>
      </c>
      <c r="I121" s="38">
        <f>SUM(I117:I120)</f>
        <v>0</v>
      </c>
      <c r="J121" s="38">
        <f>SUM(J117:J120)</f>
        <v>0</v>
      </c>
      <c r="K121" s="42" t="s">
        <v>288</v>
      </c>
      <c r="L121" s="42" t="s">
        <v>288</v>
      </c>
      <c r="M121" s="8"/>
      <c r="N121" s="166"/>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6"/>
    </row>
    <row r="123" spans="1:14" s="3" customFormat="1" ht="12.2" customHeight="1" x14ac:dyDescent="0.15">
      <c r="A123" s="1" t="s">
        <v>496</v>
      </c>
      <c r="B123" s="2" t="s">
        <v>321</v>
      </c>
      <c r="C123" s="6">
        <v>6</v>
      </c>
      <c r="D123" s="2" t="s">
        <v>430</v>
      </c>
      <c r="E123" s="6">
        <v>3210</v>
      </c>
      <c r="F123" s="18">
        <v>77951.83</v>
      </c>
      <c r="G123" s="23" t="s">
        <v>288</v>
      </c>
      <c r="H123" s="23" t="s">
        <v>288</v>
      </c>
      <c r="I123" s="18"/>
      <c r="J123" s="23" t="s">
        <v>288</v>
      </c>
      <c r="K123" s="23" t="s">
        <v>288</v>
      </c>
      <c r="L123" s="23" t="s">
        <v>288</v>
      </c>
      <c r="M123" s="8"/>
      <c r="N123" s="166"/>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6"/>
    </row>
    <row r="125" spans="1:14" s="3" customFormat="1" ht="12.2" customHeight="1" x14ac:dyDescent="0.15">
      <c r="A125" s="1" t="s">
        <v>906</v>
      </c>
      <c r="B125" s="2" t="s">
        <v>321</v>
      </c>
      <c r="C125" s="6">
        <v>8</v>
      </c>
      <c r="D125" s="2" t="s">
        <v>430</v>
      </c>
      <c r="E125" s="6">
        <v>3220</v>
      </c>
      <c r="F125" s="18">
        <v>14779</v>
      </c>
      <c r="G125" s="23" t="s">
        <v>288</v>
      </c>
      <c r="H125" s="23" t="s">
        <v>288</v>
      </c>
      <c r="I125" s="23" t="s">
        <v>288</v>
      </c>
      <c r="J125" s="23" t="s">
        <v>288</v>
      </c>
      <c r="K125" s="23" t="s">
        <v>288</v>
      </c>
      <c r="L125" s="23" t="s">
        <v>288</v>
      </c>
      <c r="M125" s="8"/>
      <c r="N125" s="166"/>
    </row>
    <row r="126" spans="1:14" s="3" customFormat="1" ht="12.2" customHeight="1" x14ac:dyDescent="0.15">
      <c r="A126" s="1" t="s">
        <v>904</v>
      </c>
      <c r="B126" s="2" t="s">
        <v>321</v>
      </c>
      <c r="C126" s="6">
        <v>9</v>
      </c>
      <c r="D126" s="2" t="s">
        <v>430</v>
      </c>
      <c r="E126" s="6">
        <v>3230</v>
      </c>
      <c r="F126" s="18">
        <f>398155.64+42132.8</f>
        <v>440288.44</v>
      </c>
      <c r="G126" s="23" t="s">
        <v>288</v>
      </c>
      <c r="H126" s="23" t="s">
        <v>288</v>
      </c>
      <c r="I126" s="23" t="s">
        <v>288</v>
      </c>
      <c r="J126" s="23" t="s">
        <v>288</v>
      </c>
      <c r="K126" s="23" t="s">
        <v>288</v>
      </c>
      <c r="L126" s="23" t="s">
        <v>288</v>
      </c>
      <c r="M126" s="8"/>
      <c r="N126" s="166"/>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6"/>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6"/>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6"/>
    </row>
    <row r="130" spans="1:14" s="3" customFormat="1" ht="12.2" customHeight="1" x14ac:dyDescent="0.15">
      <c r="A130" s="1" t="s">
        <v>905</v>
      </c>
      <c r="B130" s="2" t="s">
        <v>321</v>
      </c>
      <c r="C130" s="6">
        <v>13</v>
      </c>
      <c r="D130" s="2" t="s">
        <v>430</v>
      </c>
      <c r="E130" s="6">
        <v>3249</v>
      </c>
      <c r="F130" s="18"/>
      <c r="G130" s="23" t="s">
        <v>288</v>
      </c>
      <c r="H130" s="18"/>
      <c r="I130" s="23" t="s">
        <v>288</v>
      </c>
      <c r="J130" s="23" t="s">
        <v>288</v>
      </c>
      <c r="K130" s="23" t="s">
        <v>288</v>
      </c>
      <c r="L130" s="23" t="s">
        <v>288</v>
      </c>
      <c r="M130" s="8"/>
      <c r="N130" s="166"/>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6"/>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6"/>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6"/>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6"/>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6"/>
    </row>
    <row r="136" spans="1:14" s="3" customFormat="1" ht="12.2" customHeight="1" thickTop="1" x14ac:dyDescent="0.15">
      <c r="A136" s="35" t="s">
        <v>434</v>
      </c>
      <c r="B136" s="36" t="s">
        <v>321</v>
      </c>
      <c r="C136" s="37">
        <v>19</v>
      </c>
      <c r="D136" s="36" t="s">
        <v>430</v>
      </c>
      <c r="E136" s="37">
        <v>3200</v>
      </c>
      <c r="F136" s="38">
        <f>SUM(F123:F135)</f>
        <v>533019.27</v>
      </c>
      <c r="G136" s="38">
        <f>SUM(G123:G135)</f>
        <v>0</v>
      </c>
      <c r="H136" s="38">
        <f>SUM(H123:H135)</f>
        <v>0</v>
      </c>
      <c r="I136" s="38">
        <f>SUM(I123:I135)</f>
        <v>0</v>
      </c>
      <c r="J136" s="38">
        <f>SUM(J123:J135)</f>
        <v>0</v>
      </c>
      <c r="K136" s="42" t="s">
        <v>288</v>
      </c>
      <c r="L136" s="42" t="s">
        <v>288</v>
      </c>
      <c r="M136" s="8"/>
      <c r="N136" s="166"/>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6"/>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6"/>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6"/>
    </row>
    <row r="140" spans="1:14" s="3" customFormat="1" ht="12.2" customHeight="1" thickTop="1" x14ac:dyDescent="0.15">
      <c r="A140" s="35" t="s">
        <v>415</v>
      </c>
      <c r="B140" s="36" t="s">
        <v>321</v>
      </c>
      <c r="C140" s="37">
        <v>23</v>
      </c>
      <c r="D140" s="36" t="s">
        <v>430</v>
      </c>
      <c r="E140" s="37">
        <v>3000</v>
      </c>
      <c r="F140" s="38">
        <f>F121+SUM(F136:F139)</f>
        <v>2981387.27</v>
      </c>
      <c r="G140" s="38">
        <f>G121+SUM(G136:G137)</f>
        <v>0</v>
      </c>
      <c r="H140" s="38">
        <f>H121+SUM(H136:H139)</f>
        <v>0</v>
      </c>
      <c r="I140" s="38">
        <f>I121+I136</f>
        <v>0</v>
      </c>
      <c r="J140" s="38">
        <f>J121+J136</f>
        <v>0</v>
      </c>
      <c r="K140" s="42" t="s">
        <v>288</v>
      </c>
      <c r="L140" s="42" t="s">
        <v>288</v>
      </c>
      <c r="M140" s="8"/>
      <c r="N140" s="166"/>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6"/>
    </row>
    <row r="142" spans="1:14" s="3" customFormat="1" ht="12.2" customHeight="1" x14ac:dyDescent="0.2">
      <c r="A142" s="28" t="s">
        <v>319</v>
      </c>
      <c r="F142" s="22"/>
      <c r="G142" s="22"/>
      <c r="H142" s="16" t="s">
        <v>282</v>
      </c>
      <c r="I142" s="22"/>
      <c r="J142" s="22"/>
      <c r="K142" s="19"/>
      <c r="L142" s="19"/>
      <c r="M142" s="8"/>
      <c r="N142" s="166"/>
    </row>
    <row r="143" spans="1:14" s="3" customFormat="1" ht="12.2" customHeight="1" x14ac:dyDescent="0.2">
      <c r="A143" s="27" t="s">
        <v>456</v>
      </c>
      <c r="F143" s="16" t="s">
        <v>280</v>
      </c>
      <c r="G143" s="16" t="s">
        <v>281</v>
      </c>
      <c r="H143" s="164" t="s">
        <v>768</v>
      </c>
      <c r="I143" s="16" t="s">
        <v>283</v>
      </c>
      <c r="J143" s="16" t="s">
        <v>284</v>
      </c>
      <c r="K143" s="19"/>
      <c r="L143" s="19"/>
      <c r="M143" s="8"/>
      <c r="N143" s="166"/>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6"/>
    </row>
    <row r="145" spans="1:14" s="3" customFormat="1" ht="12.2" customHeight="1" x14ac:dyDescent="0.15">
      <c r="A145" s="1" t="s">
        <v>599</v>
      </c>
      <c r="B145" s="2" t="s">
        <v>324</v>
      </c>
      <c r="C145" s="6">
        <v>1</v>
      </c>
      <c r="D145" s="2" t="s">
        <v>430</v>
      </c>
      <c r="E145" s="6">
        <v>4100</v>
      </c>
      <c r="F145" s="18"/>
      <c r="G145" s="18"/>
      <c r="H145" s="18">
        <v>28619.95</v>
      </c>
      <c r="I145" s="18"/>
      <c r="J145" s="23" t="s">
        <v>288</v>
      </c>
      <c r="K145" s="23" t="s">
        <v>288</v>
      </c>
      <c r="L145" s="23" t="s">
        <v>288</v>
      </c>
      <c r="M145" s="8"/>
      <c r="N145" s="166"/>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6"/>
    </row>
    <row r="147" spans="1:14" s="3" customFormat="1" ht="12.2" customHeight="1" thickTop="1" x14ac:dyDescent="0.15">
      <c r="A147" s="35" t="s">
        <v>435</v>
      </c>
      <c r="B147" s="36" t="s">
        <v>324</v>
      </c>
      <c r="C147" s="37">
        <v>3</v>
      </c>
      <c r="D147" s="36" t="s">
        <v>430</v>
      </c>
      <c r="E147" s="37"/>
      <c r="F147" s="38">
        <f>SUM(F145:F146)</f>
        <v>0</v>
      </c>
      <c r="G147" s="38">
        <f>SUM(G145:G146)</f>
        <v>0</v>
      </c>
      <c r="H147" s="38">
        <f>SUM(H145:H146)</f>
        <v>28619.95</v>
      </c>
      <c r="I147" s="38">
        <f>SUM(I145:I146)</f>
        <v>0</v>
      </c>
      <c r="J147" s="42" t="s">
        <v>288</v>
      </c>
      <c r="K147" s="42" t="s">
        <v>288</v>
      </c>
      <c r="L147" s="42" t="s">
        <v>288</v>
      </c>
      <c r="M147" s="8"/>
      <c r="N147" s="166"/>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6"/>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6"/>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6"/>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6"/>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6"/>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6"/>
    </row>
    <row r="154" spans="1:14" s="3" customFormat="1" ht="12.2" customHeight="1" x14ac:dyDescent="0.15">
      <c r="A154" s="1" t="s">
        <v>646</v>
      </c>
      <c r="B154" s="2" t="s">
        <v>324</v>
      </c>
      <c r="C154" s="6">
        <v>7</v>
      </c>
      <c r="D154" s="2" t="s">
        <v>430</v>
      </c>
      <c r="E154" s="6">
        <v>4520</v>
      </c>
      <c r="F154" s="23" t="s">
        <v>288</v>
      </c>
      <c r="G154" s="23" t="s">
        <v>288</v>
      </c>
      <c r="H154" s="18">
        <v>3860.63</v>
      </c>
      <c r="I154" s="23" t="s">
        <v>288</v>
      </c>
      <c r="J154" s="23" t="s">
        <v>288</v>
      </c>
      <c r="K154" s="23" t="s">
        <v>288</v>
      </c>
      <c r="L154" s="23" t="s">
        <v>288</v>
      </c>
      <c r="M154" s="8"/>
      <c r="N154" s="166"/>
    </row>
    <row r="155" spans="1:14" s="3" customFormat="1" ht="12.2" customHeight="1" x14ac:dyDescent="0.15">
      <c r="A155" s="1" t="s">
        <v>647</v>
      </c>
      <c r="B155" s="2" t="s">
        <v>324</v>
      </c>
      <c r="C155" s="6">
        <v>8</v>
      </c>
      <c r="D155" s="2" t="s">
        <v>430</v>
      </c>
      <c r="E155" s="6">
        <v>4530</v>
      </c>
      <c r="F155" s="23" t="s">
        <v>288</v>
      </c>
      <c r="G155" s="23" t="s">
        <v>288</v>
      </c>
      <c r="H155" s="18">
        <f>6737.09+2330.12</f>
        <v>9067.2099999999991</v>
      </c>
      <c r="I155" s="23" t="s">
        <v>288</v>
      </c>
      <c r="J155" s="23" t="s">
        <v>288</v>
      </c>
      <c r="K155" s="23" t="s">
        <v>288</v>
      </c>
      <c r="L155" s="23" t="s">
        <v>288</v>
      </c>
      <c r="M155" s="8"/>
      <c r="N155" s="166"/>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6"/>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6"/>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6"/>
    </row>
    <row r="159" spans="1:14" s="3" customFormat="1" ht="12.2" customHeight="1" x14ac:dyDescent="0.15">
      <c r="A159" s="1" t="s">
        <v>486</v>
      </c>
      <c r="B159" s="2" t="s">
        <v>324</v>
      </c>
      <c r="C159" s="6">
        <v>12</v>
      </c>
      <c r="D159" s="2" t="s">
        <v>430</v>
      </c>
      <c r="E159" s="6">
        <v>4570</v>
      </c>
      <c r="F159" s="18"/>
      <c r="G159" s="23" t="s">
        <v>288</v>
      </c>
      <c r="H159" s="18">
        <v>77493.289999999994</v>
      </c>
      <c r="I159" s="23" t="s">
        <v>288</v>
      </c>
      <c r="J159" s="23" t="s">
        <v>288</v>
      </c>
      <c r="K159" s="23" t="s">
        <v>288</v>
      </c>
      <c r="L159" s="23" t="s">
        <v>288</v>
      </c>
      <c r="M159" s="8"/>
      <c r="N159" s="166"/>
    </row>
    <row r="160" spans="1:14" s="3" customFormat="1" ht="12.2" customHeight="1" x14ac:dyDescent="0.15">
      <c r="A160" s="1" t="s">
        <v>491</v>
      </c>
      <c r="B160" s="2" t="s">
        <v>324</v>
      </c>
      <c r="C160" s="6">
        <v>13</v>
      </c>
      <c r="D160" s="2" t="s">
        <v>430</v>
      </c>
      <c r="E160" s="6">
        <v>4580</v>
      </c>
      <c r="F160" s="18">
        <v>132371.81</v>
      </c>
      <c r="G160" s="23" t="s">
        <v>288</v>
      </c>
      <c r="H160" s="18"/>
      <c r="I160" s="23" t="s">
        <v>288</v>
      </c>
      <c r="J160" s="23" t="s">
        <v>288</v>
      </c>
      <c r="K160" s="23" t="s">
        <v>288</v>
      </c>
      <c r="L160" s="23" t="s">
        <v>288</v>
      </c>
      <c r="M160" s="8"/>
      <c r="N160" s="166"/>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6"/>
    </row>
    <row r="162" spans="1:14" s="3" customFormat="1" ht="12.2" customHeight="1" thickBot="1" x14ac:dyDescent="0.2">
      <c r="A162" s="257" t="s">
        <v>1619</v>
      </c>
      <c r="B162" s="254">
        <v>5</v>
      </c>
      <c r="C162" s="254">
        <v>15</v>
      </c>
      <c r="D162" s="255"/>
      <c r="E162" s="254">
        <v>4595</v>
      </c>
      <c r="F162" s="23" t="s">
        <v>288</v>
      </c>
      <c r="G162" s="23" t="s">
        <v>288</v>
      </c>
      <c r="H162" s="256"/>
      <c r="I162" s="23" t="s">
        <v>288</v>
      </c>
      <c r="J162" s="23"/>
      <c r="K162" s="23"/>
      <c r="L162" s="23"/>
      <c r="M162" s="8"/>
      <c r="N162" s="166"/>
    </row>
    <row r="163" spans="1:14" s="3" customFormat="1" ht="12.2" customHeight="1" thickTop="1" x14ac:dyDescent="0.15">
      <c r="A163" s="35" t="s">
        <v>436</v>
      </c>
      <c r="B163" s="36" t="s">
        <v>324</v>
      </c>
      <c r="C163" s="37">
        <v>16</v>
      </c>
      <c r="D163" s="36" t="s">
        <v>430</v>
      </c>
      <c r="E163" s="37"/>
      <c r="F163" s="38">
        <f>SUM(F150:F162)</f>
        <v>132371.81</v>
      </c>
      <c r="G163" s="38">
        <f>SUM(G150:G162)</f>
        <v>0</v>
      </c>
      <c r="H163" s="38">
        <f>SUM(H150:H162)</f>
        <v>90421.12999999999</v>
      </c>
      <c r="I163" s="38">
        <f>SUM(I150:I162)</f>
        <v>0</v>
      </c>
      <c r="J163" s="42" t="s">
        <v>288</v>
      </c>
      <c r="K163" s="42" t="s">
        <v>288</v>
      </c>
      <c r="L163" s="42" t="s">
        <v>288</v>
      </c>
      <c r="M163" s="8"/>
      <c r="N163" s="166"/>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6"/>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6"/>
    </row>
    <row r="166" spans="1:14" s="3" customFormat="1" ht="12.2" customHeight="1" x14ac:dyDescent="0.15">
      <c r="A166" s="1" t="s">
        <v>493</v>
      </c>
      <c r="B166" s="2" t="s">
        <v>324</v>
      </c>
      <c r="C166" s="6">
        <v>18</v>
      </c>
      <c r="D166" s="2" t="s">
        <v>430</v>
      </c>
      <c r="E166" s="6">
        <v>4810</v>
      </c>
      <c r="F166" s="18">
        <v>3526</v>
      </c>
      <c r="G166" s="23" t="s">
        <v>288</v>
      </c>
      <c r="H166" s="23" t="s">
        <v>288</v>
      </c>
      <c r="I166" s="23" t="s">
        <v>288</v>
      </c>
      <c r="J166" s="23" t="s">
        <v>288</v>
      </c>
      <c r="K166" s="23" t="s">
        <v>288</v>
      </c>
      <c r="L166" s="23" t="s">
        <v>288</v>
      </c>
      <c r="M166" s="8"/>
      <c r="N166" s="166"/>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6"/>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6"/>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6"/>
    </row>
    <row r="170" spans="1:14" s="3" customFormat="1" ht="12.2" customHeight="1" thickTop="1" x14ac:dyDescent="0.15">
      <c r="A170" s="35" t="s">
        <v>458</v>
      </c>
      <c r="B170" s="36" t="s">
        <v>324</v>
      </c>
      <c r="C170" s="37">
        <v>21</v>
      </c>
      <c r="D170" s="36" t="s">
        <v>430</v>
      </c>
      <c r="E170" s="41">
        <v>4000</v>
      </c>
      <c r="F170" s="38">
        <f>F147+F163+SUM(F164:F169)</f>
        <v>135897.81</v>
      </c>
      <c r="G170" s="38">
        <f>G147+G163+SUM(G164:G169)</f>
        <v>0</v>
      </c>
      <c r="H170" s="38">
        <f>H147+H163+SUM(H164:H169)</f>
        <v>119041.07999999999</v>
      </c>
      <c r="I170" s="38">
        <f>I147+I163+SUM(I164:I169)</f>
        <v>0</v>
      </c>
      <c r="J170" s="42" t="s">
        <v>288</v>
      </c>
      <c r="K170" s="42" t="s">
        <v>288</v>
      </c>
      <c r="L170" s="42" t="s">
        <v>288</v>
      </c>
      <c r="M170" s="8"/>
      <c r="N170" s="166"/>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6"/>
    </row>
    <row r="172" spans="1:14" s="3" customFormat="1" ht="12.2" customHeight="1" x14ac:dyDescent="0.2">
      <c r="A172" s="28" t="s">
        <v>680</v>
      </c>
      <c r="F172" s="22"/>
      <c r="G172" s="22"/>
      <c r="H172" s="16" t="s">
        <v>282</v>
      </c>
      <c r="I172" s="22"/>
      <c r="J172" s="22"/>
      <c r="K172" s="19"/>
      <c r="L172" s="19"/>
      <c r="M172" s="8"/>
      <c r="N172" s="166"/>
    </row>
    <row r="173" spans="1:14" s="3" customFormat="1" ht="12.2" customHeight="1" x14ac:dyDescent="0.2">
      <c r="A173" s="26" t="s">
        <v>329</v>
      </c>
      <c r="B173" s="7"/>
      <c r="C173" s="7"/>
      <c r="D173" s="7"/>
      <c r="E173" s="7"/>
      <c r="F173" s="16" t="s">
        <v>280</v>
      </c>
      <c r="G173" s="16" t="s">
        <v>281</v>
      </c>
      <c r="H173" s="164" t="s">
        <v>768</v>
      </c>
      <c r="I173" s="16" t="s">
        <v>283</v>
      </c>
      <c r="J173" s="16" t="s">
        <v>284</v>
      </c>
      <c r="K173" s="19"/>
      <c r="L173" s="19"/>
      <c r="M173" s="8"/>
      <c r="N173" s="166"/>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6"/>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6"/>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6"/>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6"/>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6"/>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6"/>
    </row>
    <row r="180" spans="1:14" s="3" customFormat="1" ht="12.2" customHeight="1" x14ac:dyDescent="0.15">
      <c r="A180" s="1" t="s">
        <v>524</v>
      </c>
      <c r="B180" s="2" t="s">
        <v>330</v>
      </c>
      <c r="C180" s="6">
        <v>6</v>
      </c>
      <c r="D180" s="2" t="s">
        <v>430</v>
      </c>
      <c r="E180" s="6">
        <v>5210</v>
      </c>
      <c r="F180" s="23" t="s">
        <v>288</v>
      </c>
      <c r="G180" s="18">
        <v>33783.25</v>
      </c>
      <c r="H180" s="18"/>
      <c r="I180" s="18"/>
      <c r="J180" s="18">
        <f>173094</f>
        <v>173094</v>
      </c>
      <c r="K180" s="23" t="s">
        <v>288</v>
      </c>
      <c r="L180" s="23" t="s">
        <v>288</v>
      </c>
      <c r="M180" s="8"/>
      <c r="N180" s="166"/>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6"/>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6"/>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6"/>
    </row>
    <row r="184" spans="1:14" s="3" customFormat="1" ht="12.2" customHeight="1" thickTop="1" x14ac:dyDescent="0.15">
      <c r="A184" s="35" t="s">
        <v>416</v>
      </c>
      <c r="B184" s="36" t="s">
        <v>330</v>
      </c>
      <c r="C184" s="41">
        <v>10</v>
      </c>
      <c r="D184" s="36" t="s">
        <v>430</v>
      </c>
      <c r="E184" s="41">
        <v>5200</v>
      </c>
      <c r="F184" s="38">
        <f>SUM(F180:F183)</f>
        <v>0</v>
      </c>
      <c r="G184" s="38">
        <f>SUM(G180:G183)</f>
        <v>33783.25</v>
      </c>
      <c r="H184" s="38">
        <f>SUM(H180:H183)</f>
        <v>0</v>
      </c>
      <c r="I184" s="38">
        <f>SUM(I180:I183)</f>
        <v>0</v>
      </c>
      <c r="J184" s="38">
        <f>SUM(J180:J183)</f>
        <v>173094</v>
      </c>
      <c r="K184" s="42" t="s">
        <v>288</v>
      </c>
      <c r="L184" s="42" t="s">
        <v>288</v>
      </c>
      <c r="M184" s="8"/>
      <c r="N184" s="166"/>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6"/>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6"/>
    </row>
    <row r="187" spans="1:14" ht="12.2" customHeight="1" x14ac:dyDescent="0.2">
      <c r="A187" s="1" t="s">
        <v>529</v>
      </c>
      <c r="B187" s="2" t="s">
        <v>330</v>
      </c>
      <c r="C187" s="6">
        <v>12</v>
      </c>
      <c r="D187" s="2" t="s">
        <v>430</v>
      </c>
      <c r="E187" s="6">
        <v>5252</v>
      </c>
      <c r="F187" s="18">
        <v>0</v>
      </c>
      <c r="G187" s="18"/>
      <c r="H187" s="18"/>
      <c r="I187" s="18"/>
      <c r="J187" s="23" t="s">
        <v>288</v>
      </c>
      <c r="K187" s="23" t="s">
        <v>288</v>
      </c>
      <c r="L187" s="23" t="s">
        <v>288</v>
      </c>
      <c r="N187" s="132"/>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2"/>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6"/>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6"/>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6"/>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6"/>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33783.25</v>
      </c>
      <c r="H193" s="38">
        <f>+H184+SUM(H189:H192)</f>
        <v>0</v>
      </c>
      <c r="I193" s="38">
        <f>I178+I184+SUM(I189:I192)</f>
        <v>0</v>
      </c>
      <c r="J193" s="38">
        <f>J184</f>
        <v>173094</v>
      </c>
      <c r="K193" s="42" t="s">
        <v>288</v>
      </c>
      <c r="L193" s="42" t="s">
        <v>288</v>
      </c>
      <c r="M193" s="8"/>
      <c r="N193" s="166"/>
    </row>
    <row r="194" spans="1:14" s="3" customFormat="1" ht="12.2" customHeight="1" thickTop="1" x14ac:dyDescent="0.2">
      <c r="A194" s="43" t="s">
        <v>457</v>
      </c>
      <c r="B194" s="36" t="s">
        <v>330</v>
      </c>
      <c r="C194" s="37">
        <v>19</v>
      </c>
      <c r="D194" s="114" t="s">
        <v>430</v>
      </c>
      <c r="E194" s="41"/>
      <c r="F194" s="38">
        <f>F112+F140+F170+F193</f>
        <v>14465813.51</v>
      </c>
      <c r="G194" s="38">
        <f>G112+G140+G170+G193</f>
        <v>136751.5</v>
      </c>
      <c r="H194" s="38">
        <f>H112+H140+H170+H193</f>
        <v>152273.07999999999</v>
      </c>
      <c r="I194" s="38">
        <f>I112+I140+I170+I193</f>
        <v>0</v>
      </c>
      <c r="J194" s="38">
        <f>J112+J140+J193</f>
        <v>272420.92</v>
      </c>
      <c r="K194" s="42" t="s">
        <v>288</v>
      </c>
      <c r="L194" s="42" t="s">
        <v>288</v>
      </c>
      <c r="M194" s="8"/>
      <c r="N194" s="166"/>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6"/>
    </row>
    <row r="196" spans="1:14" s="3" customFormat="1" ht="12.2" customHeight="1" x14ac:dyDescent="0.15">
      <c r="A196" s="28" t="s">
        <v>451</v>
      </c>
      <c r="F196" s="79" t="s">
        <v>54</v>
      </c>
      <c r="G196" s="79" t="s">
        <v>55</v>
      </c>
      <c r="H196" s="79" t="s">
        <v>56</v>
      </c>
      <c r="I196" s="79" t="s">
        <v>57</v>
      </c>
      <c r="J196" s="79" t="s">
        <v>58</v>
      </c>
      <c r="K196" s="79" t="s">
        <v>59</v>
      </c>
      <c r="L196" s="79" t="s">
        <v>5</v>
      </c>
      <c r="M196" s="8"/>
      <c r="N196" s="166"/>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6"/>
    </row>
    <row r="198" spans="1:14" s="3" customFormat="1" ht="12.2" customHeight="1" x14ac:dyDescent="0.15">
      <c r="A198" s="1" t="s">
        <v>438</v>
      </c>
      <c r="B198" s="2" t="s">
        <v>341</v>
      </c>
      <c r="C198" s="2" t="s">
        <v>290</v>
      </c>
      <c r="D198" s="2" t="s">
        <v>431</v>
      </c>
      <c r="E198" s="6">
        <v>1100</v>
      </c>
      <c r="F198" s="18">
        <f>3292416.81+155185.04</f>
        <v>3447601.85</v>
      </c>
      <c r="G198" s="18">
        <f>1469213.43+80752.1</f>
        <v>1549965.53</v>
      </c>
      <c r="H198" s="18">
        <f>2357.75+40675.08+1578292+7228+12570.88</f>
        <v>1641123.71</v>
      </c>
      <c r="I198" s="18">
        <f>56157.01+11386.22</f>
        <v>67543.23</v>
      </c>
      <c r="J198" s="18">
        <f>19155.65+65279.61</f>
        <v>84435.260000000009</v>
      </c>
      <c r="K198" s="18"/>
      <c r="L198" s="13">
        <f>SUM(F198:K198)</f>
        <v>6790669.5800000001</v>
      </c>
      <c r="M198" s="8"/>
      <c r="N198" s="166"/>
    </row>
    <row r="199" spans="1:14" s="3" customFormat="1" ht="12.2" customHeight="1" x14ac:dyDescent="0.15">
      <c r="A199" s="1" t="s">
        <v>439</v>
      </c>
      <c r="B199" s="2" t="s">
        <v>341</v>
      </c>
      <c r="C199" s="2" t="s">
        <v>291</v>
      </c>
      <c r="D199" s="2" t="s">
        <v>431</v>
      </c>
      <c r="E199" s="6">
        <v>1200</v>
      </c>
      <c r="F199" s="18">
        <f>1610981.33+21459.28+57727.39+199191.6</f>
        <v>1889359.6</v>
      </c>
      <c r="G199" s="18">
        <f>860588.95+3556.11+11440.55+106943.82</f>
        <v>982529.42999999993</v>
      </c>
      <c r="H199" s="18">
        <f>7646.43+944168.56+34863.4+2248+188-81315.41-533342.66-5695</f>
        <v>368761.32000000007</v>
      </c>
      <c r="I199" s="18">
        <f>5381.08+606.74+802.32</f>
        <v>6790.1399999999994</v>
      </c>
      <c r="J199" s="18">
        <f>68.94+2028.66</f>
        <v>2097.6</v>
      </c>
      <c r="K199" s="18">
        <f>194.25</f>
        <v>194.25</v>
      </c>
      <c r="L199" s="13">
        <f>SUM(F199:K199)</f>
        <v>3249732.3400000008</v>
      </c>
      <c r="M199" s="8"/>
      <c r="N199" s="166"/>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6"/>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6"/>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6"/>
    </row>
    <row r="203" spans="1:14" s="3" customFormat="1" ht="12.2" customHeight="1" x14ac:dyDescent="0.15">
      <c r="A203" s="1" t="s">
        <v>442</v>
      </c>
      <c r="B203" s="2" t="s">
        <v>341</v>
      </c>
      <c r="C203" s="2" t="s">
        <v>294</v>
      </c>
      <c r="D203" s="2" t="s">
        <v>431</v>
      </c>
      <c r="E203" s="6">
        <v>2100</v>
      </c>
      <c r="F203" s="18">
        <f>125649.84+83059.72</f>
        <v>208709.56</v>
      </c>
      <c r="G203" s="18">
        <f>45047.11+65413.03</f>
        <v>110460.14</v>
      </c>
      <c r="H203" s="18">
        <v>1598.4</v>
      </c>
      <c r="I203" s="18">
        <f>909.09+151.17</f>
        <v>1060.26</v>
      </c>
      <c r="J203" s="18"/>
      <c r="K203" s="18">
        <v>45</v>
      </c>
      <c r="L203" s="13">
        <f t="shared" ref="L203:L209" si="0">SUM(F203:K203)</f>
        <v>321873.36000000004</v>
      </c>
      <c r="M203" s="8"/>
      <c r="N203" s="166"/>
    </row>
    <row r="204" spans="1:14" s="3" customFormat="1" ht="12.2" customHeight="1" x14ac:dyDescent="0.15">
      <c r="A204" s="1" t="s">
        <v>443</v>
      </c>
      <c r="B204" s="2" t="s">
        <v>341</v>
      </c>
      <c r="C204" s="2" t="s">
        <v>295</v>
      </c>
      <c r="D204" s="2" t="s">
        <v>431</v>
      </c>
      <c r="E204" s="6">
        <v>2200</v>
      </c>
      <c r="F204" s="18">
        <f>12000+108315.09</f>
        <v>120315.09</v>
      </c>
      <c r="G204" s="18">
        <f>62395.28+63034.73+1713</f>
        <v>127143.01000000001</v>
      </c>
      <c r="H204" s="18">
        <f>12209.38+4272.53</f>
        <v>16481.91</v>
      </c>
      <c r="I204" s="18">
        <v>9991.18</v>
      </c>
      <c r="J204" s="18">
        <v>6295.26</v>
      </c>
      <c r="K204" s="18"/>
      <c r="L204" s="13">
        <f t="shared" si="0"/>
        <v>280226.45</v>
      </c>
      <c r="M204" s="8"/>
      <c r="N204" s="166"/>
    </row>
    <row r="205" spans="1:14" s="3" customFormat="1" ht="12.2" customHeight="1" x14ac:dyDescent="0.15">
      <c r="A205" s="1" t="s">
        <v>444</v>
      </c>
      <c r="B205" s="2" t="s">
        <v>341</v>
      </c>
      <c r="C205" s="2" t="s">
        <v>296</v>
      </c>
      <c r="D205" s="2" t="s">
        <v>431</v>
      </c>
      <c r="E205" s="6">
        <v>2300</v>
      </c>
      <c r="F205" s="18">
        <f>8296</f>
        <v>8296</v>
      </c>
      <c r="G205" s="18">
        <v>643.41999999999996</v>
      </c>
      <c r="H205" s="18">
        <f>28028.52+3977.27+397463</f>
        <v>429468.79</v>
      </c>
      <c r="I205" s="18"/>
      <c r="J205" s="18"/>
      <c r="K205" s="18">
        <v>7486.54</v>
      </c>
      <c r="L205" s="13">
        <f t="shared" si="0"/>
        <v>445894.74999999994</v>
      </c>
      <c r="M205" s="8"/>
      <c r="N205" s="166"/>
    </row>
    <row r="206" spans="1:14" s="3" customFormat="1" ht="12.2" customHeight="1" x14ac:dyDescent="0.15">
      <c r="A206" s="1" t="s">
        <v>445</v>
      </c>
      <c r="B206" s="2" t="s">
        <v>341</v>
      </c>
      <c r="C206" s="2" t="s">
        <v>297</v>
      </c>
      <c r="D206" s="2" t="s">
        <v>431</v>
      </c>
      <c r="E206" s="6">
        <v>2400</v>
      </c>
      <c r="F206" s="18">
        <v>305680.17</v>
      </c>
      <c r="G206" s="18">
        <v>208371.36</v>
      </c>
      <c r="H206" s="18">
        <f>2653+3209.43+10313.85</f>
        <v>16176.28</v>
      </c>
      <c r="I206" s="18">
        <v>17638.02</v>
      </c>
      <c r="J206" s="18">
        <v>256.37</v>
      </c>
      <c r="K206" s="18">
        <v>225</v>
      </c>
      <c r="L206" s="13">
        <f t="shared" si="0"/>
        <v>548347.19999999995</v>
      </c>
      <c r="M206" s="8"/>
      <c r="N206" s="166"/>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6"/>
    </row>
    <row r="208" spans="1:14" s="3" customFormat="1" ht="12.2" customHeight="1" x14ac:dyDescent="0.15">
      <c r="A208" s="1" t="s">
        <v>447</v>
      </c>
      <c r="B208" s="2" t="s">
        <v>341</v>
      </c>
      <c r="C208" s="2" t="s">
        <v>299</v>
      </c>
      <c r="D208" s="2" t="s">
        <v>431</v>
      </c>
      <c r="E208" s="6">
        <v>2600</v>
      </c>
      <c r="F208" s="18">
        <f>216666.92</f>
        <v>216666.92</v>
      </c>
      <c r="G208" s="18">
        <v>113157.5</v>
      </c>
      <c r="H208" s="18">
        <f>41287.45+23571.95+76905.91+69481+1128.66</f>
        <v>212374.97</v>
      </c>
      <c r="I208" s="18">
        <f>243.93+93787.2+12096.03</f>
        <v>106127.15999999999</v>
      </c>
      <c r="J208" s="18">
        <v>3314.57</v>
      </c>
      <c r="K208" s="18"/>
      <c r="L208" s="13">
        <f t="shared" si="0"/>
        <v>651641.12</v>
      </c>
      <c r="M208" s="8"/>
      <c r="N208" s="166"/>
    </row>
    <row r="209" spans="1:14" s="3" customFormat="1" ht="12.2" customHeight="1" x14ac:dyDescent="0.15">
      <c r="A209" s="1" t="s">
        <v>448</v>
      </c>
      <c r="B209" s="2" t="s">
        <v>341</v>
      </c>
      <c r="C209" s="2" t="s">
        <v>300</v>
      </c>
      <c r="D209" s="2" t="s">
        <v>431</v>
      </c>
      <c r="E209" s="6">
        <v>2700</v>
      </c>
      <c r="F209" s="18"/>
      <c r="G209" s="18"/>
      <c r="H209" s="18">
        <f>433403.62+59414.39+20152.16-95348.8-156025.3</f>
        <v>261596.07</v>
      </c>
      <c r="I209" s="18">
        <f>30996.61-6819.25-11158.78</f>
        <v>13018.58</v>
      </c>
      <c r="J209" s="18"/>
      <c r="K209" s="18"/>
      <c r="L209" s="13">
        <f t="shared" si="0"/>
        <v>274614.65000000002</v>
      </c>
      <c r="M209" s="8"/>
      <c r="N209" s="166"/>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6"/>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6"/>
    </row>
    <row r="212" spans="1:14" s="3" customFormat="1" ht="12.2" customHeight="1" thickTop="1" x14ac:dyDescent="0.15">
      <c r="A212" s="35" t="s">
        <v>419</v>
      </c>
      <c r="B212" s="36" t="s">
        <v>341</v>
      </c>
      <c r="C212" s="36" t="s">
        <v>345</v>
      </c>
      <c r="D212" s="36" t="s">
        <v>431</v>
      </c>
      <c r="E212" s="36"/>
      <c r="F212" s="38">
        <f t="shared" ref="F212:L212" si="1">SUM(F198:F211)</f>
        <v>6196629.1899999995</v>
      </c>
      <c r="G212" s="38">
        <f t="shared" si="1"/>
        <v>3092270.39</v>
      </c>
      <c r="H212" s="38">
        <f t="shared" si="1"/>
        <v>2947581.4499999997</v>
      </c>
      <c r="I212" s="38">
        <f t="shared" si="1"/>
        <v>222168.56999999998</v>
      </c>
      <c r="J212" s="38">
        <f t="shared" si="1"/>
        <v>96399.060000000012</v>
      </c>
      <c r="K212" s="38">
        <f t="shared" si="1"/>
        <v>7950.79</v>
      </c>
      <c r="L212" s="38">
        <f t="shared" si="1"/>
        <v>12562999.449999999</v>
      </c>
      <c r="M212" s="8"/>
      <c r="N212" s="166"/>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6"/>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6"/>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6"/>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6"/>
    </row>
    <row r="217" spans="1:14" s="3" customFormat="1" ht="12.2" customHeight="1" x14ac:dyDescent="0.15">
      <c r="A217" s="1" t="s">
        <v>439</v>
      </c>
      <c r="B217" s="2" t="s">
        <v>346</v>
      </c>
      <c r="C217" s="2" t="s">
        <v>291</v>
      </c>
      <c r="D217" s="2" t="s">
        <v>431</v>
      </c>
      <c r="E217" s="6">
        <v>1200</v>
      </c>
      <c r="F217" s="18"/>
      <c r="G217" s="18"/>
      <c r="H217" s="18">
        <v>81315.41</v>
      </c>
      <c r="I217" s="18"/>
      <c r="J217" s="18"/>
      <c r="K217" s="18"/>
      <c r="L217" s="13">
        <f>SUM(F217:K217)</f>
        <v>81315.41</v>
      </c>
      <c r="M217" s="8"/>
      <c r="N217" s="166"/>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6"/>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6"/>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6"/>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6"/>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6"/>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6"/>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6"/>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6"/>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6"/>
    </row>
    <row r="227" spans="1:14" s="3" customFormat="1" ht="12.2" customHeight="1" x14ac:dyDescent="0.15">
      <c r="A227" s="1" t="s">
        <v>448</v>
      </c>
      <c r="B227" s="2" t="s">
        <v>346</v>
      </c>
      <c r="C227" s="2" t="s">
        <v>300</v>
      </c>
      <c r="D227" s="2" t="s">
        <v>431</v>
      </c>
      <c r="E227" s="6">
        <v>2700</v>
      </c>
      <c r="F227" s="18"/>
      <c r="G227" s="18"/>
      <c r="H227" s="18">
        <v>95348.800000000003</v>
      </c>
      <c r="I227" s="18">
        <v>6819.25</v>
      </c>
      <c r="J227" s="18"/>
      <c r="K227" s="18"/>
      <c r="L227" s="13">
        <f t="shared" si="2"/>
        <v>102168.05</v>
      </c>
      <c r="M227" s="8"/>
      <c r="N227" s="166"/>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6"/>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6"/>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176664.21000000002</v>
      </c>
      <c r="I230" s="38">
        <f>SUM(I216:I229)</f>
        <v>6819.25</v>
      </c>
      <c r="J230" s="38">
        <f>SUM(J216:J229)</f>
        <v>0</v>
      </c>
      <c r="K230" s="38">
        <f t="shared" si="3"/>
        <v>0</v>
      </c>
      <c r="L230" s="38">
        <f t="shared" si="3"/>
        <v>183483.46000000002</v>
      </c>
      <c r="M230" s="8"/>
      <c r="N230" s="166"/>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6"/>
    </row>
    <row r="232" spans="1:14" s="3" customFormat="1" ht="12.2" customHeight="1" x14ac:dyDescent="0.15">
      <c r="A232" s="28" t="s">
        <v>453</v>
      </c>
      <c r="F232" s="79" t="s">
        <v>54</v>
      </c>
      <c r="G232" s="79" t="s">
        <v>55</v>
      </c>
      <c r="H232" s="79" t="s">
        <v>56</v>
      </c>
      <c r="I232" s="79" t="s">
        <v>57</v>
      </c>
      <c r="J232" s="79" t="s">
        <v>58</v>
      </c>
      <c r="K232" s="79" t="s">
        <v>59</v>
      </c>
      <c r="L232" s="79" t="s">
        <v>5</v>
      </c>
      <c r="M232" s="8"/>
      <c r="N232" s="166"/>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6"/>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6"/>
    </row>
    <row r="235" spans="1:14" s="3" customFormat="1" ht="12.2" customHeight="1" x14ac:dyDescent="0.15">
      <c r="A235" s="1" t="s">
        <v>439</v>
      </c>
      <c r="B235" s="2" t="s">
        <v>350</v>
      </c>
      <c r="C235" s="2" t="s">
        <v>291</v>
      </c>
      <c r="D235" s="2" t="s">
        <v>431</v>
      </c>
      <c r="E235" s="6">
        <v>1200</v>
      </c>
      <c r="F235" s="18"/>
      <c r="G235" s="18"/>
      <c r="H235" s="18">
        <v>533342.66</v>
      </c>
      <c r="I235" s="18"/>
      <c r="J235" s="18"/>
      <c r="K235" s="18"/>
      <c r="L235" s="13">
        <f>SUM(F235:K235)</f>
        <v>533342.66</v>
      </c>
      <c r="M235" s="8"/>
      <c r="N235" s="166"/>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6"/>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6"/>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6"/>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6"/>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6"/>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6"/>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6"/>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6"/>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6"/>
    </row>
    <row r="245" spans="1:14" s="3" customFormat="1" ht="12.2" customHeight="1" x14ac:dyDescent="0.15">
      <c r="A245" s="1" t="s">
        <v>448</v>
      </c>
      <c r="B245" s="2" t="s">
        <v>350</v>
      </c>
      <c r="C245" s="2" t="s">
        <v>300</v>
      </c>
      <c r="D245" s="2" t="s">
        <v>431</v>
      </c>
      <c r="E245" s="6">
        <v>2700</v>
      </c>
      <c r="F245" s="18"/>
      <c r="G245" s="18"/>
      <c r="H245" s="18">
        <v>156025.29999999999</v>
      </c>
      <c r="I245" s="18">
        <v>11158.78</v>
      </c>
      <c r="J245" s="18"/>
      <c r="K245" s="18"/>
      <c r="L245" s="13">
        <f t="shared" si="4"/>
        <v>167184.07999999999</v>
      </c>
      <c r="M245" s="8"/>
      <c r="N245" s="166"/>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6"/>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6"/>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689367.96</v>
      </c>
      <c r="I248" s="38">
        <f t="shared" si="5"/>
        <v>11158.78</v>
      </c>
      <c r="J248" s="38">
        <f t="shared" si="5"/>
        <v>0</v>
      </c>
      <c r="K248" s="38">
        <f t="shared" si="5"/>
        <v>0</v>
      </c>
      <c r="L248" s="38">
        <f t="shared" si="5"/>
        <v>700526.74</v>
      </c>
      <c r="M248" s="8"/>
      <c r="N248" s="166"/>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6"/>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6"/>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6"/>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6"/>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6"/>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6"/>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6"/>
    </row>
    <row r="256" spans="1:14" s="3" customFormat="1" ht="12.2" customHeight="1" thickBot="1" x14ac:dyDescent="0.2">
      <c r="A256" s="1" t="s">
        <v>584</v>
      </c>
      <c r="B256" s="2" t="s">
        <v>352</v>
      </c>
      <c r="C256" s="6">
        <v>6</v>
      </c>
      <c r="D256" s="2" t="s">
        <v>431</v>
      </c>
      <c r="E256" s="6">
        <v>4000</v>
      </c>
      <c r="F256" s="18"/>
      <c r="G256" s="18"/>
      <c r="H256" s="18">
        <f>27524.01+32239.23</f>
        <v>59763.24</v>
      </c>
      <c r="I256" s="18"/>
      <c r="J256" s="18"/>
      <c r="K256" s="18"/>
      <c r="L256" s="13">
        <f t="shared" si="6"/>
        <v>59763.24</v>
      </c>
      <c r="M256" s="8"/>
      <c r="N256" s="166"/>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59763.24</v>
      </c>
      <c r="I257" s="38">
        <f t="shared" si="7"/>
        <v>0</v>
      </c>
      <c r="J257" s="38">
        <f t="shared" si="7"/>
        <v>0</v>
      </c>
      <c r="K257" s="38">
        <f t="shared" si="7"/>
        <v>0</v>
      </c>
      <c r="L257" s="38">
        <f>SUM(F257:K257)</f>
        <v>59763.24</v>
      </c>
      <c r="M257" s="8"/>
      <c r="N257" s="166"/>
    </row>
    <row r="258" spans="1:14" s="3" customFormat="1" ht="12.2" customHeight="1" thickTop="1" x14ac:dyDescent="0.15">
      <c r="A258" s="35" t="s">
        <v>462</v>
      </c>
      <c r="B258" s="37">
        <v>10</v>
      </c>
      <c r="C258" s="37">
        <v>8</v>
      </c>
      <c r="D258" s="36" t="s">
        <v>431</v>
      </c>
      <c r="E258" s="37"/>
      <c r="F258" s="38">
        <f t="shared" ref="F258:L258" si="8">F212+F230+F248+F257</f>
        <v>6196629.1899999995</v>
      </c>
      <c r="G258" s="38">
        <f t="shared" si="8"/>
        <v>3092270.39</v>
      </c>
      <c r="H258" s="38">
        <f t="shared" si="8"/>
        <v>3873376.86</v>
      </c>
      <c r="I258" s="38">
        <f t="shared" si="8"/>
        <v>240146.59999999998</v>
      </c>
      <c r="J258" s="38">
        <f t="shared" si="8"/>
        <v>96399.060000000012</v>
      </c>
      <c r="K258" s="38">
        <f t="shared" si="8"/>
        <v>7950.79</v>
      </c>
      <c r="L258" s="38">
        <f t="shared" si="8"/>
        <v>13506772.890000001</v>
      </c>
      <c r="M258" s="8"/>
      <c r="N258" s="166"/>
    </row>
    <row r="259" spans="1:14" s="3" customFormat="1" ht="12.2" customHeight="1" x14ac:dyDescent="0.15">
      <c r="A259" s="33" t="s">
        <v>354</v>
      </c>
      <c r="F259" s="13"/>
      <c r="G259" s="13"/>
      <c r="H259" s="13"/>
      <c r="I259" s="13"/>
      <c r="J259" s="13"/>
      <c r="K259" s="14" t="s">
        <v>286</v>
      </c>
      <c r="L259" s="14" t="s">
        <v>355</v>
      </c>
      <c r="M259" s="8"/>
      <c r="N259" s="166"/>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6"/>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205000</v>
      </c>
      <c r="L261" s="13">
        <f>SUM(F261:K261)</f>
        <v>205000</v>
      </c>
      <c r="N261" s="132"/>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187083.76</v>
      </c>
      <c r="L262" s="13">
        <f>SUM(F262:K262)</f>
        <v>187083.76</v>
      </c>
      <c r="N262" s="132"/>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2"/>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33783.25</v>
      </c>
      <c r="L264" s="13">
        <f>SUM(F264:K264)</f>
        <v>33783.25</v>
      </c>
      <c r="N264" s="132"/>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2"/>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2"/>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173094</v>
      </c>
      <c r="L267" s="13">
        <f t="shared" si="9"/>
        <v>173094</v>
      </c>
      <c r="N267" s="132"/>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2"/>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2"/>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2"/>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598961.01</v>
      </c>
      <c r="L271" s="38">
        <f t="shared" si="9"/>
        <v>598961.01</v>
      </c>
      <c r="M271" s="8"/>
      <c r="N271" s="166"/>
    </row>
    <row r="272" spans="1:14" s="33" customFormat="1" ht="12.2" customHeight="1" thickTop="1" x14ac:dyDescent="0.2">
      <c r="A272" s="40" t="s">
        <v>464</v>
      </c>
      <c r="B272" s="37">
        <v>10</v>
      </c>
      <c r="C272" s="37">
        <v>18</v>
      </c>
      <c r="D272" s="36" t="s">
        <v>431</v>
      </c>
      <c r="E272" s="37"/>
      <c r="F272" s="39">
        <f t="shared" ref="F272:L272" si="11">F258+F271</f>
        <v>6196629.1899999995</v>
      </c>
      <c r="G272" s="39">
        <f t="shared" si="11"/>
        <v>3092270.39</v>
      </c>
      <c r="H272" s="39">
        <f t="shared" si="11"/>
        <v>3873376.86</v>
      </c>
      <c r="I272" s="39">
        <f t="shared" si="11"/>
        <v>240146.59999999998</v>
      </c>
      <c r="J272" s="39">
        <f t="shared" si="11"/>
        <v>96399.060000000012</v>
      </c>
      <c r="K272" s="39">
        <f t="shared" si="11"/>
        <v>606911.80000000005</v>
      </c>
      <c r="L272" s="39">
        <f t="shared" si="11"/>
        <v>14105733.9</v>
      </c>
      <c r="M272" s="34"/>
      <c r="N272" s="166"/>
    </row>
    <row r="273" spans="1:14" s="3" customFormat="1" ht="12.2" customHeight="1" x14ac:dyDescent="0.2">
      <c r="A273" s="32"/>
      <c r="B273" s="6"/>
      <c r="C273" s="6"/>
      <c r="D273" s="6"/>
      <c r="E273" s="6"/>
      <c r="F273" s="19"/>
      <c r="G273" s="19"/>
      <c r="H273" s="19"/>
      <c r="I273" s="19"/>
      <c r="J273" s="19"/>
      <c r="K273" s="19"/>
      <c r="L273" s="19"/>
      <c r="M273" s="8"/>
      <c r="N273" s="166"/>
    </row>
    <row r="274" spans="1:14" s="3" customFormat="1" ht="12.2" customHeight="1" x14ac:dyDescent="0.15">
      <c r="A274" s="28" t="s">
        <v>466</v>
      </c>
      <c r="F274" s="15" t="s">
        <v>689</v>
      </c>
      <c r="G274" s="15" t="s">
        <v>690</v>
      </c>
      <c r="H274" s="15" t="s">
        <v>691</v>
      </c>
      <c r="I274" s="15" t="s">
        <v>692</v>
      </c>
      <c r="J274" s="15" t="s">
        <v>693</v>
      </c>
      <c r="K274" s="15" t="s">
        <v>694</v>
      </c>
      <c r="M274" s="8"/>
      <c r="N274" s="166"/>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6"/>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6"/>
    </row>
    <row r="277" spans="1:14" s="3" customFormat="1" ht="12.2" customHeight="1" x14ac:dyDescent="0.15">
      <c r="A277" s="1" t="s">
        <v>438</v>
      </c>
      <c r="B277" s="2" t="s">
        <v>357</v>
      </c>
      <c r="C277" s="2" t="s">
        <v>290</v>
      </c>
      <c r="D277" s="2" t="s">
        <v>431</v>
      </c>
      <c r="E277" s="6">
        <v>1100</v>
      </c>
      <c r="F277" s="18">
        <v>3123.8</v>
      </c>
      <c r="G277" s="18">
        <v>3093.63</v>
      </c>
      <c r="H277" s="18">
        <v>6335.5</v>
      </c>
      <c r="I277" s="18">
        <v>97.2</v>
      </c>
      <c r="J277" s="18"/>
      <c r="K277" s="18"/>
      <c r="L277" s="13">
        <f>SUM(F277:K277)</f>
        <v>12650.130000000001</v>
      </c>
      <c r="M277" s="8"/>
      <c r="N277" s="166"/>
    </row>
    <row r="278" spans="1:14" s="3" customFormat="1" ht="12.2" customHeight="1" x14ac:dyDescent="0.15">
      <c r="A278" s="1" t="s">
        <v>439</v>
      </c>
      <c r="B278" s="2" t="s">
        <v>357</v>
      </c>
      <c r="C278" s="2" t="s">
        <v>291</v>
      </c>
      <c r="D278" s="2" t="s">
        <v>431</v>
      </c>
      <c r="E278" s="6">
        <v>1200</v>
      </c>
      <c r="F278" s="18">
        <v>105210.54</v>
      </c>
      <c r="G278" s="18">
        <v>199.17</v>
      </c>
      <c r="H278" s="18">
        <v>130.43</v>
      </c>
      <c r="I278" s="18">
        <v>850.81</v>
      </c>
      <c r="J278" s="18"/>
      <c r="K278" s="18"/>
      <c r="L278" s="13">
        <f>SUM(F278:K278)</f>
        <v>106390.94999999998</v>
      </c>
      <c r="M278" s="8"/>
      <c r="N278" s="166"/>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6"/>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6"/>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6"/>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6"/>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6"/>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6"/>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6"/>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6"/>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6"/>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6"/>
    </row>
    <row r="289" spans="1:14" s="3" customFormat="1" ht="12.2" customHeight="1" x14ac:dyDescent="0.15">
      <c r="A289" s="1" t="s">
        <v>449</v>
      </c>
      <c r="B289" s="2" t="s">
        <v>357</v>
      </c>
      <c r="C289" s="2" t="s">
        <v>343</v>
      </c>
      <c r="D289" s="2" t="s">
        <v>431</v>
      </c>
      <c r="E289" s="6">
        <v>2800</v>
      </c>
      <c r="F289" s="18"/>
      <c r="G289" s="18"/>
      <c r="H289" s="18">
        <v>26080</v>
      </c>
      <c r="I289" s="18"/>
      <c r="J289" s="18"/>
      <c r="K289" s="18"/>
      <c r="L289" s="13">
        <f>SUM(F289:K289)</f>
        <v>26080</v>
      </c>
      <c r="M289" s="8"/>
      <c r="N289" s="166"/>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6"/>
    </row>
    <row r="291" spans="1:14" s="3" customFormat="1" ht="12.2" customHeight="1" thickTop="1" x14ac:dyDescent="0.2">
      <c r="A291" s="35" t="s">
        <v>419</v>
      </c>
      <c r="B291" s="36" t="s">
        <v>357</v>
      </c>
      <c r="C291" s="36" t="s">
        <v>345</v>
      </c>
      <c r="D291" s="36" t="s">
        <v>431</v>
      </c>
      <c r="E291" s="36"/>
      <c r="F291" s="39">
        <f t="shared" ref="F291:L291" si="13">SUM(F277:F290)</f>
        <v>108334.34</v>
      </c>
      <c r="G291" s="39">
        <f t="shared" si="13"/>
        <v>3292.8</v>
      </c>
      <c r="H291" s="39">
        <f t="shared" si="13"/>
        <v>32545.93</v>
      </c>
      <c r="I291" s="39">
        <f t="shared" si="13"/>
        <v>948.01</v>
      </c>
      <c r="J291" s="39">
        <f t="shared" si="13"/>
        <v>0</v>
      </c>
      <c r="K291" s="39">
        <f t="shared" si="13"/>
        <v>0</v>
      </c>
      <c r="L291" s="38">
        <f t="shared" si="13"/>
        <v>145121.07999999999</v>
      </c>
      <c r="M291" s="8"/>
      <c r="N291" s="166"/>
    </row>
    <row r="292" spans="1:14" s="3" customFormat="1" ht="12.2" customHeight="1" x14ac:dyDescent="0.2">
      <c r="A292" s="28"/>
      <c r="B292" s="2"/>
      <c r="C292" s="2"/>
      <c r="D292" s="2"/>
      <c r="E292" s="2"/>
      <c r="F292" s="19"/>
      <c r="G292" s="19"/>
      <c r="H292" s="19"/>
      <c r="I292" s="19"/>
      <c r="J292" s="19"/>
      <c r="K292" s="19"/>
      <c r="L292" s="13"/>
      <c r="M292" s="8"/>
      <c r="N292" s="166"/>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6"/>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6"/>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6"/>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6"/>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6"/>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6"/>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6"/>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6"/>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6"/>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6"/>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6"/>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6"/>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6"/>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6"/>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6"/>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6"/>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2"/>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6"/>
    </row>
    <row r="311" spans="1:14" s="3" customFormat="1" ht="12.2" customHeight="1" x14ac:dyDescent="0.2">
      <c r="A311" s="28"/>
      <c r="B311" s="2"/>
      <c r="C311" s="6"/>
      <c r="D311" s="6"/>
      <c r="E311" s="6"/>
      <c r="F311" s="19"/>
      <c r="G311" s="19"/>
      <c r="H311" s="19"/>
      <c r="I311" s="19"/>
      <c r="J311" s="19"/>
      <c r="K311" s="19"/>
      <c r="L311" s="13"/>
      <c r="M311" s="8"/>
      <c r="N311" s="166"/>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6"/>
    </row>
    <row r="313" spans="1:14" s="3" customFormat="1" ht="12.2" customHeight="1" x14ac:dyDescent="0.15">
      <c r="A313" s="28" t="s">
        <v>453</v>
      </c>
      <c r="F313" s="79" t="s">
        <v>54</v>
      </c>
      <c r="G313" s="79" t="s">
        <v>55</v>
      </c>
      <c r="H313" s="79" t="s">
        <v>56</v>
      </c>
      <c r="I313" s="79" t="s">
        <v>57</v>
      </c>
      <c r="J313" s="79" t="s">
        <v>58</v>
      </c>
      <c r="K313" s="79" t="s">
        <v>59</v>
      </c>
      <c r="L313" s="79" t="s">
        <v>5</v>
      </c>
      <c r="M313" s="8"/>
      <c r="N313" s="166"/>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6"/>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6"/>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6"/>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6"/>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6"/>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6"/>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6"/>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6"/>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6"/>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6"/>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6"/>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6"/>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6"/>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6"/>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6"/>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6"/>
    </row>
    <row r="330" spans="1:14" s="3" customFormat="1" ht="12.2" customHeight="1" x14ac:dyDescent="0.2">
      <c r="A330" s="28"/>
      <c r="B330" s="2"/>
      <c r="C330" s="6"/>
      <c r="D330" s="6"/>
      <c r="E330" s="6"/>
      <c r="F330" s="19"/>
      <c r="G330" s="19"/>
      <c r="H330" s="19"/>
      <c r="I330" s="19"/>
      <c r="J330" s="19"/>
      <c r="K330" s="19"/>
      <c r="L330" s="13"/>
      <c r="M330" s="8"/>
      <c r="N330" s="166"/>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6"/>
    </row>
    <row r="332" spans="1:14" s="3" customFormat="1" ht="12.2" customHeight="1" x14ac:dyDescent="0.15">
      <c r="A332" s="28" t="s">
        <v>361</v>
      </c>
      <c r="F332" s="79" t="s">
        <v>54</v>
      </c>
      <c r="G332" s="79" t="s">
        <v>55</v>
      </c>
      <c r="H332" s="79" t="s">
        <v>56</v>
      </c>
      <c r="I332" s="79" t="s">
        <v>57</v>
      </c>
      <c r="J332" s="79" t="s">
        <v>58</v>
      </c>
      <c r="K332" s="79" t="s">
        <v>59</v>
      </c>
      <c r="L332" s="79" t="s">
        <v>5</v>
      </c>
      <c r="M332" s="8"/>
      <c r="N332" s="166"/>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6"/>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6"/>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6"/>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6"/>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6"/>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6"/>
    </row>
    <row r="339" spans="1:43" s="3" customFormat="1" ht="12.2" customHeight="1" thickTop="1" x14ac:dyDescent="0.15">
      <c r="A339" s="35" t="s">
        <v>468</v>
      </c>
      <c r="B339" s="37">
        <v>14</v>
      </c>
      <c r="C339" s="37">
        <v>7</v>
      </c>
      <c r="D339" s="36" t="s">
        <v>431</v>
      </c>
      <c r="E339" s="37"/>
      <c r="F339" s="38">
        <f t="shared" ref="F339:L339" si="20">F291+F310+F329+F338</f>
        <v>108334.34</v>
      </c>
      <c r="G339" s="38">
        <f t="shared" si="20"/>
        <v>3292.8</v>
      </c>
      <c r="H339" s="38">
        <f t="shared" si="20"/>
        <v>32545.93</v>
      </c>
      <c r="I339" s="38">
        <f t="shared" si="20"/>
        <v>948.01</v>
      </c>
      <c r="J339" s="38">
        <f t="shared" si="20"/>
        <v>0</v>
      </c>
      <c r="K339" s="38">
        <f t="shared" si="20"/>
        <v>0</v>
      </c>
      <c r="L339" s="38">
        <f t="shared" si="20"/>
        <v>145121.07999999999</v>
      </c>
      <c r="M339" s="8"/>
      <c r="N339" s="166"/>
    </row>
    <row r="340" spans="1:43" s="3" customFormat="1" ht="12.2" customHeight="1" x14ac:dyDescent="0.15">
      <c r="A340" s="28" t="s">
        <v>354</v>
      </c>
      <c r="F340" s="18"/>
      <c r="G340" s="18"/>
      <c r="H340" s="18"/>
      <c r="I340" s="18"/>
      <c r="J340" s="18"/>
      <c r="K340" s="18"/>
      <c r="L340" s="13"/>
      <c r="M340" s="8"/>
      <c r="N340" s="166"/>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6"/>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6"/>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2"/>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6"/>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6"/>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6"/>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6"/>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6"/>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6"/>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6"/>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6"/>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2"/>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108334.34</v>
      </c>
      <c r="G353" s="38">
        <f>G339</f>
        <v>3292.8</v>
      </c>
      <c r="H353" s="38">
        <f>H339</f>
        <v>32545.93</v>
      </c>
      <c r="I353" s="38">
        <f>I339</f>
        <v>948.01</v>
      </c>
      <c r="J353" s="38">
        <f>J339</f>
        <v>0</v>
      </c>
      <c r="K353" s="38">
        <f>K339+K352</f>
        <v>0</v>
      </c>
      <c r="L353" s="38">
        <f>L339+L352</f>
        <v>145121.07999999999</v>
      </c>
      <c r="M353" s="8"/>
      <c r="N353" s="166"/>
    </row>
    <row r="354" spans="1:22" s="3" customFormat="1" ht="12.2" customHeight="1" x14ac:dyDescent="0.15">
      <c r="A354" s="28"/>
      <c r="B354" s="6"/>
      <c r="C354" s="22"/>
      <c r="D354" s="22"/>
      <c r="E354" s="22"/>
      <c r="F354" s="13"/>
      <c r="G354" s="13"/>
      <c r="H354" s="13"/>
      <c r="I354" s="13"/>
      <c r="J354" s="13"/>
      <c r="K354" s="13"/>
      <c r="L354" s="13"/>
      <c r="M354" s="8"/>
      <c r="N354" s="166"/>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6"/>
    </row>
    <row r="356" spans="1:22" s="3" customFormat="1" ht="12.2" customHeight="1" x14ac:dyDescent="0.15">
      <c r="A356" s="28" t="s">
        <v>281</v>
      </c>
      <c r="F356" s="79" t="s">
        <v>54</v>
      </c>
      <c r="G356" s="79" t="s">
        <v>55</v>
      </c>
      <c r="H356" s="79" t="s">
        <v>56</v>
      </c>
      <c r="I356" s="79" t="s">
        <v>57</v>
      </c>
      <c r="J356" s="79" t="s">
        <v>58</v>
      </c>
      <c r="K356" s="79" t="s">
        <v>59</v>
      </c>
      <c r="L356" s="79" t="s">
        <v>5</v>
      </c>
      <c r="M356" s="8"/>
      <c r="N356" s="166"/>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6"/>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2"/>
      <c r="R358" s="3"/>
      <c r="S358" s="3"/>
      <c r="T358" s="3"/>
      <c r="U358" s="3"/>
      <c r="V358" s="3"/>
    </row>
    <row r="359" spans="1:22" s="3" customFormat="1" ht="12.2" customHeight="1" x14ac:dyDescent="0.15">
      <c r="A359" s="3" t="s">
        <v>541</v>
      </c>
      <c r="B359" s="2" t="s">
        <v>366</v>
      </c>
      <c r="C359" s="6">
        <v>1</v>
      </c>
      <c r="D359" s="2" t="s">
        <v>431</v>
      </c>
      <c r="E359" s="6"/>
      <c r="F359" s="18"/>
      <c r="G359" s="18"/>
      <c r="H359" s="18">
        <f>4817.12+114628+11550+0.07</f>
        <v>130995.19</v>
      </c>
      <c r="I359" s="18">
        <v>989.26</v>
      </c>
      <c r="J359" s="18">
        <v>4767.05</v>
      </c>
      <c r="K359" s="18"/>
      <c r="L359" s="13">
        <f>SUM(F359:K359)</f>
        <v>136751.5</v>
      </c>
      <c r="M359" s="8"/>
      <c r="N359" s="166"/>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6"/>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6"/>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6"/>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130995.19</v>
      </c>
      <c r="I363" s="38">
        <f t="shared" si="22"/>
        <v>989.26</v>
      </c>
      <c r="J363" s="38">
        <f t="shared" si="22"/>
        <v>4767.05</v>
      </c>
      <c r="K363" s="38">
        <f t="shared" si="22"/>
        <v>0</v>
      </c>
      <c r="L363" s="38">
        <f t="shared" si="22"/>
        <v>136751.5</v>
      </c>
      <c r="M363" s="8"/>
      <c r="N363" s="166"/>
    </row>
    <row r="364" spans="1:22" s="3" customFormat="1" ht="12.2" customHeight="1" x14ac:dyDescent="0.15">
      <c r="A364" s="33"/>
      <c r="B364" s="2"/>
      <c r="C364" s="6"/>
      <c r="D364" s="6"/>
      <c r="E364" s="6"/>
      <c r="F364" s="13"/>
      <c r="G364" s="13"/>
      <c r="H364" s="13"/>
      <c r="I364" s="13"/>
      <c r="J364" s="13"/>
      <c r="K364" s="13"/>
      <c r="L364" s="13"/>
      <c r="M364" s="8"/>
      <c r="N364" s="166"/>
    </row>
    <row r="365" spans="1:22" s="3" customFormat="1" ht="12.2" customHeight="1" x14ac:dyDescent="0.15">
      <c r="A365" s="33" t="s">
        <v>369</v>
      </c>
      <c r="B365" s="2"/>
      <c r="C365" s="6"/>
      <c r="D365" s="6"/>
      <c r="E365" s="6"/>
      <c r="F365" s="13"/>
      <c r="G365" s="13"/>
      <c r="H365" s="13"/>
      <c r="I365" s="13"/>
      <c r="J365" s="13"/>
      <c r="K365" s="13"/>
      <c r="L365" s="13"/>
      <c r="M365" s="8"/>
      <c r="N365" s="166"/>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6"/>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6"/>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6"/>
    </row>
    <row r="369" spans="1:14" s="3" customFormat="1" ht="12.2" customHeight="1" thickBot="1" x14ac:dyDescent="0.2">
      <c r="A369" s="51" t="s">
        <v>372</v>
      </c>
      <c r="B369" s="52" t="s">
        <v>366</v>
      </c>
      <c r="C369" s="52" t="s">
        <v>296</v>
      </c>
      <c r="D369" s="2" t="s">
        <v>432</v>
      </c>
      <c r="E369" s="52"/>
      <c r="F369" s="53">
        <v>989.26</v>
      </c>
      <c r="G369" s="53"/>
      <c r="H369" s="53"/>
      <c r="I369" s="13">
        <f>SUM(F369:H369)</f>
        <v>989.26</v>
      </c>
      <c r="J369" s="23" t="s">
        <v>288</v>
      </c>
      <c r="K369" s="23" t="s">
        <v>288</v>
      </c>
      <c r="L369" s="23" t="s">
        <v>288</v>
      </c>
      <c r="M369" s="8"/>
      <c r="N369" s="166"/>
    </row>
    <row r="370" spans="1:14" s="3" customFormat="1" ht="12.2" customHeight="1" thickTop="1" x14ac:dyDescent="0.15">
      <c r="A370" s="33" t="s">
        <v>340</v>
      </c>
      <c r="B370" s="2" t="s">
        <v>366</v>
      </c>
      <c r="C370" s="2" t="s">
        <v>297</v>
      </c>
      <c r="D370" s="36" t="s">
        <v>432</v>
      </c>
      <c r="E370" s="2"/>
      <c r="F370" s="38">
        <f>SUM(F368:F369)</f>
        <v>989.26</v>
      </c>
      <c r="G370" s="38">
        <f>SUM(G368:G369)</f>
        <v>0</v>
      </c>
      <c r="H370" s="38">
        <f>SUM(H368:H369)</f>
        <v>0</v>
      </c>
      <c r="I370" s="38">
        <f>SUM(I368:I369)</f>
        <v>989.26</v>
      </c>
      <c r="J370" s="23" t="s">
        <v>288</v>
      </c>
      <c r="K370" s="23" t="s">
        <v>288</v>
      </c>
      <c r="L370" s="23" t="s">
        <v>288</v>
      </c>
      <c r="M370" s="8"/>
      <c r="N370" s="166"/>
    </row>
    <row r="371" spans="1:14" s="3" customFormat="1" ht="12.2" customHeight="1" x14ac:dyDescent="0.15">
      <c r="A371" s="33"/>
      <c r="B371" s="2"/>
      <c r="C371" s="2"/>
      <c r="D371" s="2"/>
      <c r="E371" s="2"/>
      <c r="F371" s="18"/>
      <c r="G371" s="18"/>
      <c r="H371" s="18"/>
      <c r="I371" s="13"/>
      <c r="J371" s="13"/>
      <c r="K371" s="13"/>
      <c r="L371" s="13"/>
      <c r="M371" s="8"/>
      <c r="N371" s="166"/>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6"/>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6"/>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6"/>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6"/>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6"/>
    </row>
    <row r="384" spans="1:14" s="3" customFormat="1" ht="12.2" customHeight="1" x14ac:dyDescent="0.15">
      <c r="A384" s="28"/>
      <c r="B384" s="2"/>
      <c r="C384" s="2"/>
      <c r="D384" s="2"/>
      <c r="E384" s="2"/>
      <c r="F384" s="55"/>
      <c r="G384" s="55"/>
      <c r="H384" s="55"/>
      <c r="I384" s="13"/>
      <c r="J384" s="13"/>
      <c r="K384" s="13"/>
      <c r="L384" s="13"/>
      <c r="M384" s="8"/>
      <c r="N384" s="166"/>
    </row>
    <row r="385" spans="1:14" s="3" customFormat="1" ht="12.2" customHeight="1" x14ac:dyDescent="0.15">
      <c r="A385" s="25" t="s">
        <v>482</v>
      </c>
      <c r="B385" s="60"/>
      <c r="C385" s="60"/>
      <c r="D385" s="60"/>
      <c r="E385" s="60"/>
      <c r="F385" s="55"/>
      <c r="G385" s="55"/>
      <c r="H385" s="55"/>
      <c r="I385" s="13"/>
      <c r="J385" s="13"/>
      <c r="K385" s="13"/>
      <c r="L385" s="13"/>
      <c r="M385" s="8"/>
      <c r="N385" s="166"/>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6"/>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6"/>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6"/>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6"/>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6"/>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6"/>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6"/>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6"/>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6"/>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6"/>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6"/>
    </row>
    <row r="397" spans="1:14" s="3" customFormat="1" ht="12.2" customHeight="1" x14ac:dyDescent="0.15">
      <c r="A397" s="62" t="s">
        <v>557</v>
      </c>
      <c r="B397" s="2" t="s">
        <v>381</v>
      </c>
      <c r="C397" s="6">
        <v>9</v>
      </c>
      <c r="D397" s="2" t="s">
        <v>432</v>
      </c>
      <c r="E397" s="6"/>
      <c r="F397" s="18"/>
      <c r="G397" s="18"/>
      <c r="H397" s="18">
        <v>2411.84</v>
      </c>
      <c r="I397" s="18"/>
      <c r="J397" s="23" t="s">
        <v>288</v>
      </c>
      <c r="K397" s="23" t="s">
        <v>288</v>
      </c>
      <c r="L397" s="13">
        <f t="shared" si="26"/>
        <v>2411.84</v>
      </c>
      <c r="M397" s="8"/>
      <c r="N397" s="166"/>
    </row>
    <row r="398" spans="1:14" s="3" customFormat="1" ht="12.2" customHeight="1" x14ac:dyDescent="0.15">
      <c r="A398" s="62" t="s">
        <v>515</v>
      </c>
      <c r="B398" s="2" t="s">
        <v>381</v>
      </c>
      <c r="C398" s="6">
        <v>10</v>
      </c>
      <c r="D398" s="2" t="s">
        <v>432</v>
      </c>
      <c r="E398" s="6"/>
      <c r="F398" s="18"/>
      <c r="G398" s="18"/>
      <c r="H398" s="18">
        <v>3380.05</v>
      </c>
      <c r="I398" s="18"/>
      <c r="J398" s="23" t="s">
        <v>288</v>
      </c>
      <c r="K398" s="23" t="s">
        <v>288</v>
      </c>
      <c r="L398" s="13">
        <f t="shared" si="26"/>
        <v>3380.05</v>
      </c>
      <c r="M398" s="8"/>
      <c r="N398" s="166"/>
    </row>
    <row r="399" spans="1:14" s="3" customFormat="1" ht="12.2" customHeight="1" x14ac:dyDescent="0.15">
      <c r="A399" s="62" t="s">
        <v>558</v>
      </c>
      <c r="B399" s="2" t="s">
        <v>381</v>
      </c>
      <c r="C399" s="6">
        <v>11</v>
      </c>
      <c r="D399" s="2" t="s">
        <v>432</v>
      </c>
      <c r="E399" s="6"/>
      <c r="F399" s="18"/>
      <c r="G399" s="18">
        <v>173094</v>
      </c>
      <c r="H399" s="18">
        <v>2152.0300000000002</v>
      </c>
      <c r="I399" s="18"/>
      <c r="J399" s="23" t="s">
        <v>288</v>
      </c>
      <c r="K399" s="23" t="s">
        <v>288</v>
      </c>
      <c r="L399" s="13">
        <f t="shared" si="26"/>
        <v>175246.03</v>
      </c>
      <c r="M399" s="8"/>
      <c r="N399" s="166"/>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6"/>
    </row>
    <row r="401" spans="1:21" s="3" customFormat="1" ht="12.2" customHeight="1" thickBot="1" x14ac:dyDescent="0.2">
      <c r="A401" s="62" t="s">
        <v>510</v>
      </c>
      <c r="B401" s="2" t="s">
        <v>381</v>
      </c>
      <c r="C401" s="6">
        <v>13</v>
      </c>
      <c r="D401" s="2" t="s">
        <v>432</v>
      </c>
      <c r="E401" s="6"/>
      <c r="F401" s="18"/>
      <c r="G401" s="18"/>
      <c r="H401" s="18">
        <v>91383</v>
      </c>
      <c r="I401" s="18"/>
      <c r="J401" s="23" t="s">
        <v>288</v>
      </c>
      <c r="K401" s="23" t="s">
        <v>288</v>
      </c>
      <c r="L401" s="13">
        <f t="shared" si="26"/>
        <v>91383</v>
      </c>
      <c r="M401" s="8"/>
      <c r="N401" s="166"/>
    </row>
    <row r="402" spans="1:21" s="3" customFormat="1" ht="12.2" customHeight="1" thickTop="1" x14ac:dyDescent="0.15">
      <c r="A402" s="116" t="s">
        <v>470</v>
      </c>
      <c r="B402" s="2" t="s">
        <v>381</v>
      </c>
      <c r="C402" s="6">
        <v>14</v>
      </c>
      <c r="D402" s="2" t="s">
        <v>432</v>
      </c>
      <c r="E402" s="37">
        <v>5252</v>
      </c>
      <c r="F402" s="38">
        <f>SUM(F396:F401)</f>
        <v>0</v>
      </c>
      <c r="G402" s="38">
        <f>SUM(G396:G401)</f>
        <v>173094</v>
      </c>
      <c r="H402" s="38">
        <f>SUM(H396:H401)</f>
        <v>99326.92</v>
      </c>
      <c r="I402" s="38">
        <f>SUM(I396:I401)</f>
        <v>0</v>
      </c>
      <c r="J402" s="42" t="s">
        <v>288</v>
      </c>
      <c r="K402" s="42" t="s">
        <v>288</v>
      </c>
      <c r="L402" s="38">
        <f>SUM(L396:L401)</f>
        <v>272420.92000000004</v>
      </c>
      <c r="M402" s="8"/>
      <c r="N402" s="166"/>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6"/>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6"/>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6"/>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6"/>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6"/>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6"/>
    </row>
    <row r="409" spans="1:21" s="3" customFormat="1" ht="12.2" customHeight="1" thickTop="1" x14ac:dyDescent="0.15">
      <c r="A409" s="61" t="s">
        <v>421</v>
      </c>
      <c r="B409" s="2" t="s">
        <v>381</v>
      </c>
      <c r="C409" s="6">
        <v>20</v>
      </c>
      <c r="D409" s="6"/>
      <c r="E409" s="37"/>
      <c r="F409" s="38">
        <f>F394+F402+F408</f>
        <v>0</v>
      </c>
      <c r="G409" s="38">
        <f>G394+G402+G408</f>
        <v>173094</v>
      </c>
      <c r="H409" s="38">
        <f>H394+H402+H408</f>
        <v>99326.92</v>
      </c>
      <c r="I409" s="38">
        <f>I394+I402+I408</f>
        <v>0</v>
      </c>
      <c r="J409" s="23" t="s">
        <v>288</v>
      </c>
      <c r="K409" s="23" t="s">
        <v>288</v>
      </c>
      <c r="L409" s="38">
        <f>L394+L402+L408</f>
        <v>272420.92000000004</v>
      </c>
      <c r="M409" s="8"/>
      <c r="N409" s="166"/>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6"/>
    </row>
    <row r="411" spans="1:21" s="3" customFormat="1" ht="12.2" customHeight="1" x14ac:dyDescent="0.15">
      <c r="A411" s="25" t="s">
        <v>482</v>
      </c>
      <c r="B411" s="60"/>
      <c r="C411" s="60"/>
      <c r="D411" s="60"/>
      <c r="E411" s="60"/>
      <c r="F411" s="55"/>
      <c r="G411" s="16" t="s">
        <v>384</v>
      </c>
      <c r="H411" s="16" t="s">
        <v>385</v>
      </c>
      <c r="I411" s="13"/>
      <c r="J411" s="13"/>
      <c r="K411" s="13"/>
      <c r="L411" s="13"/>
      <c r="M411" s="8"/>
      <c r="N411" s="166"/>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6"/>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6"/>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2"/>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6"/>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6"/>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6"/>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6"/>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6"/>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6"/>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6"/>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6"/>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6"/>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6"/>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6"/>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6"/>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6"/>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6"/>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6"/>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6"/>
    </row>
    <row r="431" spans="1:21" ht="12.2" customHeight="1" x14ac:dyDescent="0.2">
      <c r="A431" s="82"/>
      <c r="B431" s="6">
        <v>17</v>
      </c>
      <c r="C431" s="6">
        <v>16</v>
      </c>
      <c r="D431" s="2" t="s">
        <v>432</v>
      </c>
      <c r="E431" s="6"/>
      <c r="F431" s="18"/>
      <c r="G431" s="18"/>
      <c r="H431" s="18"/>
      <c r="I431" s="18"/>
      <c r="J431" s="18"/>
      <c r="K431" s="18"/>
      <c r="L431" s="13">
        <f>SUM(F431:K431)</f>
        <v>0</v>
      </c>
      <c r="N431" s="132"/>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6"/>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6"/>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6"/>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6"/>
    </row>
    <row r="436" spans="1:14" s="3" customFormat="1" ht="12.2" customHeight="1" x14ac:dyDescent="0.15">
      <c r="A436" s="61"/>
      <c r="B436" s="6"/>
      <c r="C436" s="6"/>
      <c r="D436" s="6"/>
      <c r="E436" s="6"/>
      <c r="F436" s="13"/>
      <c r="G436" s="13"/>
      <c r="H436" s="13"/>
      <c r="I436" s="13"/>
      <c r="J436" s="13"/>
      <c r="K436" s="13"/>
      <c r="L436" s="13"/>
      <c r="M436" s="8"/>
      <c r="N436" s="166"/>
    </row>
    <row r="437" spans="1:14" s="3" customFormat="1" ht="12.2" customHeight="1" x14ac:dyDescent="0.15">
      <c r="A437" s="33" t="s">
        <v>0</v>
      </c>
      <c r="K437" s="13"/>
      <c r="L437" s="13"/>
      <c r="M437" s="8"/>
      <c r="N437" s="166"/>
    </row>
    <row r="438" spans="1:14" s="3" customFormat="1" ht="12.2" customHeight="1" x14ac:dyDescent="0.15">
      <c r="A438" s="33" t="s">
        <v>1</v>
      </c>
      <c r="F438" s="22" t="s">
        <v>2</v>
      </c>
      <c r="G438" s="22" t="s">
        <v>3</v>
      </c>
      <c r="H438" s="22" t="s">
        <v>4</v>
      </c>
      <c r="I438" s="22" t="s">
        <v>5</v>
      </c>
      <c r="M438" s="8"/>
      <c r="N438" s="166"/>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6"/>
    </row>
    <row r="440" spans="1:14" s="3" customFormat="1" ht="12.2" customHeight="1" x14ac:dyDescent="0.15">
      <c r="A440" s="3" t="s">
        <v>561</v>
      </c>
      <c r="B440" s="22">
        <v>18</v>
      </c>
      <c r="C440" s="6">
        <v>1</v>
      </c>
      <c r="D440" s="2" t="s">
        <v>432</v>
      </c>
      <c r="E440" s="6">
        <v>100</v>
      </c>
      <c r="F440" s="18">
        <v>659898.92000000004</v>
      </c>
      <c r="G440" s="18">
        <v>1602954</v>
      </c>
      <c r="H440" s="18"/>
      <c r="I440" s="13">
        <f t="shared" ref="I440:I446" si="33">SUM(F440:H440)</f>
        <v>2262852.92</v>
      </c>
      <c r="J440" s="23" t="s">
        <v>288</v>
      </c>
      <c r="K440" s="23" t="s">
        <v>288</v>
      </c>
      <c r="L440" s="23" t="s">
        <v>288</v>
      </c>
      <c r="M440" s="8"/>
      <c r="N440" s="166"/>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6"/>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6"/>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6"/>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6"/>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6"/>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6"/>
    </row>
    <row r="447" spans="1:14" s="3" customFormat="1" ht="12.2" customHeight="1" thickBot="1" x14ac:dyDescent="0.2">
      <c r="A447" s="28" t="s">
        <v>404</v>
      </c>
      <c r="B447" s="22">
        <v>18</v>
      </c>
      <c r="C447" s="6">
        <v>8</v>
      </c>
      <c r="D447" s="2" t="s">
        <v>432</v>
      </c>
      <c r="E447" s="6"/>
      <c r="F447" s="13">
        <f>SUM(F440:F446)</f>
        <v>659898.92000000004</v>
      </c>
      <c r="G447" s="13">
        <f>SUM(G440:G446)</f>
        <v>1602954</v>
      </c>
      <c r="H447" s="13">
        <f>SUM(H440:H446)</f>
        <v>0</v>
      </c>
      <c r="I447" s="13">
        <f>SUM(I440:I446)</f>
        <v>2262852.92</v>
      </c>
      <c r="J447" s="23" t="s">
        <v>288</v>
      </c>
      <c r="K447" s="23" t="s">
        <v>288</v>
      </c>
      <c r="L447" s="23" t="s">
        <v>288</v>
      </c>
      <c r="M447" s="8"/>
      <c r="N447" s="166"/>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6"/>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6"/>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6"/>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6"/>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6"/>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6"/>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6"/>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6"/>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6"/>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6"/>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2"/>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2"/>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659898.92000000004</v>
      </c>
      <c r="G460" s="18">
        <v>1602954</v>
      </c>
      <c r="H460" s="18"/>
      <c r="I460" s="13">
        <f t="shared" si="34"/>
        <v>2262852.92</v>
      </c>
      <c r="J460" s="23" t="s">
        <v>288</v>
      </c>
      <c r="K460" s="23" t="s">
        <v>288</v>
      </c>
      <c r="L460" s="23" t="s">
        <v>288</v>
      </c>
      <c r="N460" s="132"/>
    </row>
    <row r="461" spans="1:86" ht="12.2" customHeight="1" thickTop="1" thickBot="1" x14ac:dyDescent="0.25">
      <c r="A461" s="46" t="s">
        <v>407</v>
      </c>
      <c r="B461" s="63">
        <v>18</v>
      </c>
      <c r="C461" s="47">
        <v>20</v>
      </c>
      <c r="D461" s="44" t="s">
        <v>432</v>
      </c>
      <c r="E461" s="47"/>
      <c r="F461" s="65">
        <f>SUM(F455:F460)</f>
        <v>659898.92000000004</v>
      </c>
      <c r="G461" s="65">
        <f>SUM(G455:G460)</f>
        <v>1602954</v>
      </c>
      <c r="H461" s="65">
        <f>SUM(H455:H460)</f>
        <v>0</v>
      </c>
      <c r="I461" s="65">
        <f>SUM(I455:I460)</f>
        <v>2262852.92</v>
      </c>
      <c r="J461" s="23" t="s">
        <v>288</v>
      </c>
      <c r="K461" s="23" t="s">
        <v>288</v>
      </c>
      <c r="L461" s="23" t="s">
        <v>288</v>
      </c>
      <c r="N461" s="132"/>
    </row>
    <row r="462" spans="1:86" ht="12.2" customHeight="1" thickTop="1" x14ac:dyDescent="0.2">
      <c r="A462" s="40" t="s">
        <v>424</v>
      </c>
      <c r="B462" s="41">
        <v>18</v>
      </c>
      <c r="C462" s="64">
        <v>21</v>
      </c>
      <c r="D462" s="114" t="s">
        <v>432</v>
      </c>
      <c r="E462" s="64"/>
      <c r="F462" s="39">
        <f>F453+F461</f>
        <v>659898.92000000004</v>
      </c>
      <c r="G462" s="39">
        <f>G453+G461</f>
        <v>1602954</v>
      </c>
      <c r="H462" s="39">
        <f>H453+H461</f>
        <v>0</v>
      </c>
      <c r="I462" s="39">
        <f>I453+I461</f>
        <v>2262852.92</v>
      </c>
      <c r="J462" s="23" t="s">
        <v>288</v>
      </c>
      <c r="K462" s="23" t="s">
        <v>288</v>
      </c>
      <c r="L462" s="23" t="s">
        <v>288</v>
      </c>
      <c r="N462" s="132"/>
    </row>
    <row r="463" spans="1:86" ht="12.2" customHeight="1" x14ac:dyDescent="0.2">
      <c r="A463" s="32"/>
      <c r="B463" s="22"/>
      <c r="C463" s="31"/>
      <c r="D463" s="31"/>
      <c r="E463" s="31"/>
      <c r="N463" s="132"/>
    </row>
    <row r="464" spans="1:86" ht="12.2" customHeight="1" x14ac:dyDescent="0.2">
      <c r="A464" s="32" t="s">
        <v>9</v>
      </c>
      <c r="B464" s="22"/>
      <c r="C464" s="31"/>
      <c r="D464" s="31"/>
      <c r="E464" s="31"/>
      <c r="F464" s="22" t="s">
        <v>273</v>
      </c>
      <c r="G464" s="22" t="s">
        <v>274</v>
      </c>
      <c r="H464" s="22" t="s">
        <v>275</v>
      </c>
      <c r="I464" s="22" t="s">
        <v>276</v>
      </c>
      <c r="J464" s="22" t="s">
        <v>277</v>
      </c>
      <c r="N464" s="132"/>
    </row>
    <row r="465" spans="1:14" ht="12.2" customHeight="1" x14ac:dyDescent="0.2">
      <c r="A465" s="32"/>
      <c r="B465" s="22"/>
      <c r="C465" s="31"/>
      <c r="D465" s="31"/>
      <c r="E465" s="31"/>
      <c r="F465" s="66" t="s">
        <v>10</v>
      </c>
      <c r="G465" s="66" t="s">
        <v>11</v>
      </c>
      <c r="H465" s="66" t="s">
        <v>12</v>
      </c>
      <c r="I465" s="66" t="s">
        <v>13</v>
      </c>
      <c r="J465" s="66" t="s">
        <v>14</v>
      </c>
      <c r="N465" s="132"/>
    </row>
    <row r="466" spans="1:14" ht="12.2" customHeight="1" x14ac:dyDescent="0.2">
      <c r="A466" s="139" t="s">
        <v>1583</v>
      </c>
      <c r="B466" s="22">
        <v>19</v>
      </c>
      <c r="C466" s="31">
        <v>1</v>
      </c>
      <c r="D466" s="2" t="s">
        <v>432</v>
      </c>
      <c r="E466" s="31"/>
      <c r="F466" s="18">
        <v>275921.42</v>
      </c>
      <c r="G466" s="18">
        <v>0</v>
      </c>
      <c r="H466" s="18">
        <v>74558.179999999993</v>
      </c>
      <c r="I466" s="18"/>
      <c r="J466" s="18">
        <v>1990432</v>
      </c>
      <c r="K466" s="23" t="s">
        <v>288</v>
      </c>
      <c r="L466" s="23" t="s">
        <v>288</v>
      </c>
      <c r="N466" s="132"/>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2"/>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2"/>
    </row>
    <row r="469" spans="1:14" ht="12.2" customHeight="1" x14ac:dyDescent="0.2">
      <c r="A469" s="71" t="s">
        <v>610</v>
      </c>
      <c r="B469" s="22">
        <v>19</v>
      </c>
      <c r="C469" s="31">
        <v>2</v>
      </c>
      <c r="D469" s="2" t="s">
        <v>432</v>
      </c>
      <c r="E469" s="31"/>
      <c r="F469" s="18">
        <f>14659432.49-178944-14674.98</f>
        <v>14465813.51</v>
      </c>
      <c r="G469" s="18">
        <v>136751.5</v>
      </c>
      <c r="H469" s="18">
        <f>33232+119041.08</f>
        <v>152273.08000000002</v>
      </c>
      <c r="I469" s="18"/>
      <c r="J469" s="18">
        <f>114001.9+173094-14674.98</f>
        <v>272420.92000000004</v>
      </c>
      <c r="K469" s="23" t="s">
        <v>288</v>
      </c>
      <c r="L469" s="23" t="s">
        <v>288</v>
      </c>
      <c r="N469" s="132"/>
    </row>
    <row r="470" spans="1:14" ht="12.2" customHeight="1" x14ac:dyDescent="0.2">
      <c r="A470" s="71" t="s">
        <v>611</v>
      </c>
      <c r="B470" s="22">
        <v>19</v>
      </c>
      <c r="C470" s="31">
        <v>3</v>
      </c>
      <c r="D470" s="2" t="s">
        <v>432</v>
      </c>
      <c r="E470" s="31"/>
      <c r="F470" s="18">
        <f>24874.58+0.42</f>
        <v>24875</v>
      </c>
      <c r="G470" s="18"/>
      <c r="H470" s="18"/>
      <c r="I470" s="18"/>
      <c r="J470" s="18"/>
      <c r="K470" s="23" t="s">
        <v>288</v>
      </c>
      <c r="L470" s="23" t="s">
        <v>288</v>
      </c>
      <c r="N470" s="132"/>
    </row>
    <row r="471" spans="1:14" ht="12.2" customHeight="1" x14ac:dyDescent="0.2">
      <c r="A471" s="32" t="s">
        <v>425</v>
      </c>
      <c r="B471" s="22">
        <v>19</v>
      </c>
      <c r="C471" s="31">
        <v>4</v>
      </c>
      <c r="D471" s="2" t="s">
        <v>432</v>
      </c>
      <c r="E471" s="31"/>
      <c r="F471" s="19">
        <f>SUM(F469:F470)</f>
        <v>14490688.51</v>
      </c>
      <c r="G471" s="19">
        <f>SUM(G469:G470)</f>
        <v>136751.5</v>
      </c>
      <c r="H471" s="19">
        <f>SUM(H469:H470)</f>
        <v>152273.08000000002</v>
      </c>
      <c r="I471" s="19">
        <f>SUM(I469:I470)</f>
        <v>0</v>
      </c>
      <c r="J471" s="19">
        <f>SUM(J469:J470)</f>
        <v>272420.92000000004</v>
      </c>
      <c r="K471" s="23" t="s">
        <v>288</v>
      </c>
      <c r="L471" s="23" t="s">
        <v>288</v>
      </c>
      <c r="N471" s="132"/>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2"/>
    </row>
    <row r="473" spans="1:14" ht="12.2" customHeight="1" x14ac:dyDescent="0.2">
      <c r="A473" s="71" t="s">
        <v>612</v>
      </c>
      <c r="B473" s="22">
        <v>19</v>
      </c>
      <c r="C473" s="31">
        <v>5</v>
      </c>
      <c r="D473" s="2" t="s">
        <v>432</v>
      </c>
      <c r="E473" s="31"/>
      <c r="F473" s="18">
        <f>14120408.88-14674.98</f>
        <v>14105733.9</v>
      </c>
      <c r="G473" s="18">
        <v>136751.5</v>
      </c>
      <c r="H473" s="18">
        <f>26080+119041.08</f>
        <v>145121.08000000002</v>
      </c>
      <c r="I473" s="18"/>
      <c r="J473" s="18"/>
      <c r="K473" s="23" t="s">
        <v>288</v>
      </c>
      <c r="L473" s="23" t="s">
        <v>288</v>
      </c>
      <c r="N473" s="132"/>
    </row>
    <row r="474" spans="1:14" ht="12.2" customHeight="1" x14ac:dyDescent="0.2">
      <c r="A474" s="71" t="s">
        <v>613</v>
      </c>
      <c r="B474" s="22">
        <v>19</v>
      </c>
      <c r="C474" s="31">
        <v>6</v>
      </c>
      <c r="D474" s="2" t="s">
        <v>432</v>
      </c>
      <c r="E474" s="31"/>
      <c r="F474" s="18"/>
      <c r="G474" s="18"/>
      <c r="H474" s="18">
        <f>5675.18-0.3</f>
        <v>5674.88</v>
      </c>
      <c r="I474" s="18"/>
      <c r="J474" s="18"/>
      <c r="K474" s="23" t="s">
        <v>288</v>
      </c>
      <c r="L474" s="23" t="s">
        <v>288</v>
      </c>
      <c r="N474" s="132"/>
    </row>
    <row r="475" spans="1:14" ht="12.2" customHeight="1" x14ac:dyDescent="0.2">
      <c r="A475" s="32" t="s">
        <v>426</v>
      </c>
      <c r="B475" s="22">
        <v>19</v>
      </c>
      <c r="C475" s="31">
        <v>7</v>
      </c>
      <c r="D475" s="2" t="s">
        <v>432</v>
      </c>
      <c r="E475" s="31"/>
      <c r="F475" s="19">
        <f>SUM(F473:F474)</f>
        <v>14105733.9</v>
      </c>
      <c r="G475" s="19">
        <f>SUM(G473:G474)</f>
        <v>136751.5</v>
      </c>
      <c r="H475" s="19">
        <f>SUM(H473:H474)</f>
        <v>150795.96000000002</v>
      </c>
      <c r="I475" s="19">
        <f>SUM(I473:I474)</f>
        <v>0</v>
      </c>
      <c r="J475" s="19">
        <f>SUM(J473:J474)</f>
        <v>0</v>
      </c>
      <c r="K475" s="23" t="s">
        <v>288</v>
      </c>
      <c r="L475" s="23" t="s">
        <v>288</v>
      </c>
      <c r="N475" s="132"/>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2"/>
    </row>
    <row r="477" spans="1:14" ht="12.2" customHeight="1" x14ac:dyDescent="0.2">
      <c r="A477" s="140" t="s">
        <v>1584</v>
      </c>
      <c r="B477" s="22">
        <v>19</v>
      </c>
      <c r="C477" s="22">
        <v>8</v>
      </c>
      <c r="D477" s="2" t="s">
        <v>432</v>
      </c>
      <c r="E477" s="22"/>
      <c r="F477" s="19">
        <f>(F466+F471)- F475</f>
        <v>660876.02999999933</v>
      </c>
      <c r="G477" s="19">
        <f>(G466+G471)- G475</f>
        <v>0</v>
      </c>
      <c r="H477" s="19">
        <f>(H466+H471)- H475</f>
        <v>76035.299999999988</v>
      </c>
      <c r="I477" s="19">
        <f>(I466+I471)- I475</f>
        <v>0</v>
      </c>
      <c r="J477" s="19">
        <f>(J466+J471)- J475</f>
        <v>2262852.92</v>
      </c>
      <c r="K477" s="23" t="s">
        <v>288</v>
      </c>
      <c r="L477" s="23" t="s">
        <v>288</v>
      </c>
      <c r="N477" s="132"/>
    </row>
    <row r="478" spans="1:14" ht="12.2" customHeight="1" x14ac:dyDescent="0.2">
      <c r="A478" s="73"/>
      <c r="B478" s="73"/>
      <c r="C478" s="73"/>
      <c r="D478" s="73"/>
      <c r="E478" s="73"/>
      <c r="F478" s="73"/>
      <c r="G478" s="73"/>
      <c r="H478" s="73"/>
      <c r="I478" s="73"/>
      <c r="J478" s="73"/>
      <c r="K478" s="73"/>
      <c r="L478" s="73"/>
      <c r="N478" s="132"/>
    </row>
    <row r="479" spans="1:14" ht="12.2" customHeight="1" x14ac:dyDescent="0.2">
      <c r="A479" s="73" t="s">
        <v>657</v>
      </c>
      <c r="B479" s="73"/>
      <c r="C479" s="73"/>
      <c r="D479" s="73"/>
      <c r="E479" s="73"/>
      <c r="F479" s="73"/>
      <c r="G479" s="73"/>
      <c r="H479" s="73"/>
      <c r="I479" s="73"/>
      <c r="J479" s="73"/>
      <c r="K479" s="73"/>
      <c r="L479" s="73"/>
      <c r="N479" s="132"/>
    </row>
    <row r="480" spans="1:14" ht="12.2" customHeight="1" x14ac:dyDescent="0.2">
      <c r="A480" s="73" t="s">
        <v>695</v>
      </c>
      <c r="B480" s="73"/>
      <c r="C480" s="73"/>
      <c r="D480" s="73"/>
      <c r="E480" s="73"/>
      <c r="F480" s="73"/>
      <c r="G480" s="73"/>
      <c r="H480" s="73"/>
      <c r="I480" s="73" t="s">
        <v>17</v>
      </c>
      <c r="J480" s="73"/>
      <c r="K480" s="73"/>
      <c r="L480" s="73"/>
      <c r="N480" s="132"/>
    </row>
    <row r="481" spans="1:14" ht="12.2" customHeight="1" x14ac:dyDescent="0.2">
      <c r="A481" s="18" t="s">
        <v>1645</v>
      </c>
      <c r="B481" s="73"/>
      <c r="C481" s="73"/>
      <c r="D481" s="73"/>
      <c r="E481" s="73"/>
      <c r="F481" s="73"/>
      <c r="G481" s="73"/>
      <c r="H481" s="73"/>
      <c r="I481" s="73" t="s">
        <v>401</v>
      </c>
      <c r="J481" s="73"/>
      <c r="K481" s="73"/>
      <c r="L481" s="73"/>
      <c r="N481" s="132"/>
    </row>
    <row r="482" spans="1:14" ht="12.2" customHeight="1" x14ac:dyDescent="0.2">
      <c r="A482" s="20"/>
      <c r="B482" s="73"/>
      <c r="C482" s="73"/>
      <c r="D482" s="73"/>
      <c r="E482" s="73"/>
      <c r="F482" s="73"/>
      <c r="G482" s="73"/>
      <c r="H482" s="73"/>
      <c r="I482" s="73" t="s">
        <v>650</v>
      </c>
      <c r="J482" s="73"/>
      <c r="K482" s="73"/>
      <c r="L482" s="73"/>
      <c r="N482" s="132"/>
    </row>
    <row r="483" spans="1:14" ht="12.2" customHeight="1" x14ac:dyDescent="0.2">
      <c r="A483" s="73" t="s">
        <v>696</v>
      </c>
      <c r="B483" s="73"/>
      <c r="C483" s="73"/>
      <c r="D483" s="73"/>
      <c r="E483" s="73"/>
      <c r="F483" s="73"/>
      <c r="G483" s="73"/>
      <c r="H483" s="73"/>
      <c r="I483" s="73" t="s">
        <v>473</v>
      </c>
      <c r="J483" s="73"/>
      <c r="K483" s="73"/>
      <c r="L483" s="73"/>
      <c r="N483" s="132"/>
    </row>
    <row r="484" spans="1:14" ht="12.2" customHeight="1" x14ac:dyDescent="0.2">
      <c r="A484" s="55" t="s">
        <v>1646</v>
      </c>
      <c r="B484" s="73"/>
      <c r="C484" s="73"/>
      <c r="D484" s="73"/>
      <c r="E484" s="73"/>
      <c r="F484" s="73"/>
      <c r="G484" s="73"/>
      <c r="H484" s="73"/>
      <c r="I484" s="73" t="s">
        <v>18</v>
      </c>
      <c r="J484" s="73"/>
      <c r="K484" s="73"/>
      <c r="L484" s="73"/>
      <c r="N484" s="132"/>
    </row>
    <row r="485" spans="1:14" ht="12.2" customHeight="1" x14ac:dyDescent="0.2">
      <c r="A485" s="55"/>
      <c r="B485" s="73"/>
      <c r="C485" s="73"/>
      <c r="D485" s="73"/>
      <c r="E485" s="73"/>
      <c r="F485" s="73"/>
      <c r="G485" s="73"/>
      <c r="H485" s="73"/>
      <c r="I485" s="73" t="s">
        <v>474</v>
      </c>
      <c r="J485" s="73"/>
      <c r="K485" s="73"/>
      <c r="L485" s="73"/>
      <c r="N485" s="132"/>
    </row>
    <row r="486" spans="1:14" ht="12.2" customHeight="1" x14ac:dyDescent="0.2">
      <c r="A486" s="55"/>
      <c r="B486" s="73"/>
      <c r="C486" s="73"/>
      <c r="D486" s="73"/>
      <c r="E486" s="73"/>
      <c r="F486" s="73"/>
      <c r="G486" s="73"/>
      <c r="H486" s="73"/>
      <c r="I486" s="73" t="s">
        <v>475</v>
      </c>
      <c r="J486" s="73"/>
      <c r="K486" s="73"/>
      <c r="L486" s="73"/>
      <c r="N486" s="132"/>
    </row>
    <row r="487" spans="1:14" ht="12.2" customHeight="1" x14ac:dyDescent="0.2">
      <c r="A487" s="21"/>
      <c r="B487" s="73"/>
      <c r="C487" s="73"/>
      <c r="D487" s="73"/>
      <c r="E487" s="73"/>
      <c r="F487" s="73"/>
      <c r="G487" s="73"/>
      <c r="H487" s="73"/>
      <c r="I487" s="73"/>
      <c r="J487" s="73"/>
      <c r="K487" s="73"/>
      <c r="L487" s="73"/>
      <c r="N487" s="132"/>
    </row>
    <row r="488" spans="1:14" ht="12.2" customHeight="1" x14ac:dyDescent="0.2">
      <c r="A488" s="74" t="s">
        <v>19</v>
      </c>
      <c r="B488" s="22"/>
      <c r="C488" s="22"/>
      <c r="D488" s="22"/>
      <c r="E488" s="22"/>
      <c r="N488" s="132"/>
    </row>
    <row r="489" spans="1:14" ht="12.2" customHeight="1" x14ac:dyDescent="0.2">
      <c r="A489" s="104" t="s">
        <v>1585</v>
      </c>
      <c r="B489" s="22"/>
      <c r="C489" s="22"/>
      <c r="D489" s="22"/>
      <c r="E489" s="22"/>
      <c r="F489" s="15" t="s">
        <v>264</v>
      </c>
      <c r="G489" s="15" t="s">
        <v>265</v>
      </c>
      <c r="H489" s="15" t="s">
        <v>266</v>
      </c>
      <c r="I489" s="15" t="s">
        <v>267</v>
      </c>
      <c r="J489" s="15" t="s">
        <v>268</v>
      </c>
      <c r="K489" s="15" t="s">
        <v>269</v>
      </c>
      <c r="N489" s="132"/>
    </row>
    <row r="490" spans="1:14" ht="12.2" customHeight="1" x14ac:dyDescent="0.2">
      <c r="A490" s="74" t="s">
        <v>21</v>
      </c>
      <c r="B490" s="22"/>
      <c r="C490" s="22"/>
      <c r="D490" s="22"/>
      <c r="E490" s="22"/>
      <c r="F490" s="84" t="s">
        <v>22</v>
      </c>
      <c r="G490" s="84" t="s">
        <v>23</v>
      </c>
      <c r="H490" s="84" t="s">
        <v>24</v>
      </c>
      <c r="I490" s="84" t="s">
        <v>25</v>
      </c>
      <c r="J490" s="84" t="s">
        <v>26</v>
      </c>
      <c r="K490" s="84" t="s">
        <v>340</v>
      </c>
      <c r="N490" s="132"/>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2"/>
    </row>
    <row r="492" spans="1:14" ht="12.2" customHeight="1" x14ac:dyDescent="0.2">
      <c r="A492" s="21" t="s">
        <v>615</v>
      </c>
      <c r="B492" s="22">
        <v>20</v>
      </c>
      <c r="C492" s="22">
        <v>2</v>
      </c>
      <c r="D492" s="2" t="s">
        <v>432</v>
      </c>
      <c r="E492" s="22"/>
      <c r="F492" s="112" t="s">
        <v>1643</v>
      </c>
      <c r="G492" s="112"/>
      <c r="H492" s="111"/>
      <c r="I492" s="111"/>
      <c r="J492" s="111"/>
      <c r="K492" s="23" t="s">
        <v>288</v>
      </c>
      <c r="L492" s="23" t="s">
        <v>288</v>
      </c>
      <c r="N492" s="132"/>
    </row>
    <row r="493" spans="1:14" ht="12.2" customHeight="1" x14ac:dyDescent="0.2">
      <c r="A493" s="21" t="s">
        <v>616</v>
      </c>
      <c r="B493" s="22">
        <v>20</v>
      </c>
      <c r="C493" s="22">
        <v>3</v>
      </c>
      <c r="D493" s="2" t="s">
        <v>432</v>
      </c>
      <c r="E493" s="22"/>
      <c r="F493" s="112" t="s">
        <v>1644</v>
      </c>
      <c r="G493" s="112"/>
      <c r="H493" s="111"/>
      <c r="I493" s="111"/>
      <c r="J493" s="111"/>
      <c r="K493" s="23" t="s">
        <v>288</v>
      </c>
      <c r="L493" s="23" t="s">
        <v>288</v>
      </c>
      <c r="N493" s="132"/>
    </row>
    <row r="494" spans="1:14" ht="12.2" customHeight="1" x14ac:dyDescent="0.2">
      <c r="A494" s="21" t="s">
        <v>617</v>
      </c>
      <c r="B494" s="22">
        <v>20</v>
      </c>
      <c r="C494" s="22">
        <v>4</v>
      </c>
      <c r="D494" s="2" t="s">
        <v>432</v>
      </c>
      <c r="E494" s="22"/>
      <c r="F494" s="18">
        <v>5391000</v>
      </c>
      <c r="G494" s="18"/>
      <c r="H494" s="18"/>
      <c r="I494" s="18"/>
      <c r="J494" s="18"/>
      <c r="K494" s="23" t="s">
        <v>288</v>
      </c>
      <c r="L494" s="23" t="s">
        <v>288</v>
      </c>
      <c r="N494" s="132"/>
    </row>
    <row r="495" spans="1:14" ht="12.2" customHeight="1" x14ac:dyDescent="0.2">
      <c r="A495" s="21" t="s">
        <v>618</v>
      </c>
      <c r="B495" s="22">
        <v>20</v>
      </c>
      <c r="C495" s="22">
        <v>5</v>
      </c>
      <c r="D495" s="2" t="s">
        <v>432</v>
      </c>
      <c r="E495" s="22"/>
      <c r="F495" s="18">
        <v>3.04</v>
      </c>
      <c r="G495" s="18"/>
      <c r="H495" s="18"/>
      <c r="I495" s="18"/>
      <c r="J495" s="18"/>
      <c r="K495" s="23" t="s">
        <v>288</v>
      </c>
      <c r="L495" s="23" t="s">
        <v>288</v>
      </c>
      <c r="N495" s="132"/>
    </row>
    <row r="496" spans="1:14" ht="12.2" customHeight="1" x14ac:dyDescent="0.2">
      <c r="A496" s="21" t="s">
        <v>619</v>
      </c>
      <c r="B496" s="22">
        <v>20</v>
      </c>
      <c r="C496" s="22">
        <v>6</v>
      </c>
      <c r="D496" s="2" t="s">
        <v>432</v>
      </c>
      <c r="E496" s="22"/>
      <c r="F496" s="18">
        <v>4690000</v>
      </c>
      <c r="G496" s="18"/>
      <c r="H496" s="18"/>
      <c r="I496" s="18"/>
      <c r="J496" s="18"/>
      <c r="K496" s="19">
        <f>SUM(F496:J496)</f>
        <v>4690000</v>
      </c>
      <c r="L496" s="23" t="s">
        <v>288</v>
      </c>
      <c r="N496" s="132"/>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2"/>
    </row>
    <row r="498" spans="1:14" ht="12.2" customHeight="1" x14ac:dyDescent="0.2">
      <c r="A498" s="21" t="s">
        <v>621</v>
      </c>
      <c r="B498" s="22">
        <v>20</v>
      </c>
      <c r="C498" s="22">
        <v>8</v>
      </c>
      <c r="D498" s="2" t="s">
        <v>432</v>
      </c>
      <c r="E498" s="22"/>
      <c r="F498" s="18">
        <v>205000</v>
      </c>
      <c r="G498" s="18"/>
      <c r="H498" s="18"/>
      <c r="I498" s="18"/>
      <c r="J498" s="18"/>
      <c r="K498" s="19">
        <f t="shared" si="35"/>
        <v>205000</v>
      </c>
      <c r="L498" s="23" t="s">
        <v>288</v>
      </c>
      <c r="N498" s="132"/>
    </row>
    <row r="499" spans="1:14" ht="12.2" customHeight="1" x14ac:dyDescent="0.2">
      <c r="A499" s="145" t="s">
        <v>622</v>
      </c>
      <c r="B499" s="146">
        <v>20</v>
      </c>
      <c r="C499" s="146">
        <v>9</v>
      </c>
      <c r="D499" s="147" t="s">
        <v>432</v>
      </c>
      <c r="E499" s="146"/>
      <c r="F499" s="148">
        <f>F496-F498</f>
        <v>4485000</v>
      </c>
      <c r="G499" s="148"/>
      <c r="H499" s="148"/>
      <c r="I499" s="148"/>
      <c r="J499" s="148"/>
      <c r="K499" s="149">
        <f t="shared" si="35"/>
        <v>4485000</v>
      </c>
      <c r="L499" s="150" t="s">
        <v>288</v>
      </c>
      <c r="N499" s="132"/>
    </row>
    <row r="500" spans="1:14" ht="12.2" customHeight="1" thickBot="1" x14ac:dyDescent="0.25">
      <c r="A500" s="21" t="s">
        <v>623</v>
      </c>
      <c r="B500" s="22">
        <v>20</v>
      </c>
      <c r="C500" s="22">
        <v>10</v>
      </c>
      <c r="D500" s="2" t="s">
        <v>432</v>
      </c>
      <c r="E500" s="22"/>
      <c r="F500" s="18">
        <f>1579790-187083.76</f>
        <v>1392706.24</v>
      </c>
      <c r="G500" s="18"/>
      <c r="H500" s="18"/>
      <c r="I500" s="18"/>
      <c r="J500" s="18"/>
      <c r="K500" s="19">
        <f t="shared" si="35"/>
        <v>1392706.24</v>
      </c>
      <c r="L500" s="23" t="s">
        <v>288</v>
      </c>
      <c r="N500" s="132"/>
    </row>
    <row r="501" spans="1:14" ht="12.2" customHeight="1" thickTop="1" x14ac:dyDescent="0.2">
      <c r="A501" s="97" t="s">
        <v>624</v>
      </c>
      <c r="B501" s="41">
        <v>20</v>
      </c>
      <c r="C501" s="41">
        <v>11</v>
      </c>
      <c r="D501" s="36" t="s">
        <v>432</v>
      </c>
      <c r="E501" s="41"/>
      <c r="F501" s="39">
        <f>SUM(F499:F500)</f>
        <v>5877706.2400000002</v>
      </c>
      <c r="G501" s="39">
        <f>SUM(G499:G500)</f>
        <v>0</v>
      </c>
      <c r="H501" s="39">
        <f>SUM(H499:H500)</f>
        <v>0</v>
      </c>
      <c r="I501" s="39">
        <f>SUM(I499:I500)</f>
        <v>0</v>
      </c>
      <c r="J501" s="39">
        <f>SUM(J499:J500)</f>
        <v>0</v>
      </c>
      <c r="K501" s="39">
        <f t="shared" si="35"/>
        <v>5877706.2400000002</v>
      </c>
      <c r="L501" s="42" t="s">
        <v>288</v>
      </c>
      <c r="N501" s="132"/>
    </row>
    <row r="502" spans="1:14" ht="12.2" customHeight="1" x14ac:dyDescent="0.2">
      <c r="A502" s="145" t="s">
        <v>651</v>
      </c>
      <c r="B502" s="146">
        <v>20</v>
      </c>
      <c r="C502" s="146">
        <v>12</v>
      </c>
      <c r="D502" s="147" t="s">
        <v>432</v>
      </c>
      <c r="E502" s="146"/>
      <c r="F502" s="148">
        <v>215000</v>
      </c>
      <c r="G502" s="148"/>
      <c r="H502" s="148"/>
      <c r="I502" s="148"/>
      <c r="J502" s="148"/>
      <c r="K502" s="149">
        <f t="shared" si="35"/>
        <v>215000</v>
      </c>
      <c r="L502" s="150" t="s">
        <v>288</v>
      </c>
      <c r="N502" s="132"/>
    </row>
    <row r="503" spans="1:14" ht="12.2" customHeight="1" thickBot="1" x14ac:dyDescent="0.25">
      <c r="A503" s="21" t="s">
        <v>625</v>
      </c>
      <c r="B503" s="22">
        <v>20</v>
      </c>
      <c r="C503" s="22">
        <v>13</v>
      </c>
      <c r="D503" s="2" t="s">
        <v>432</v>
      </c>
      <c r="E503" s="22"/>
      <c r="F503" s="18">
        <f>88314.38*2</f>
        <v>176628.76</v>
      </c>
      <c r="G503" s="18"/>
      <c r="H503" s="18"/>
      <c r="I503" s="18"/>
      <c r="J503" s="18"/>
      <c r="K503" s="19">
        <f t="shared" si="35"/>
        <v>176628.76</v>
      </c>
      <c r="L503" s="23" t="s">
        <v>288</v>
      </c>
      <c r="N503" s="132"/>
    </row>
    <row r="504" spans="1:14" ht="12.2" customHeight="1" thickTop="1" x14ac:dyDescent="0.2">
      <c r="A504" s="97" t="s">
        <v>626</v>
      </c>
      <c r="B504" s="41">
        <v>20</v>
      </c>
      <c r="C504" s="41">
        <v>14</v>
      </c>
      <c r="D504" s="36" t="s">
        <v>432</v>
      </c>
      <c r="E504" s="41"/>
      <c r="F504" s="39">
        <f>SUM(F502:F503)</f>
        <v>391628.76</v>
      </c>
      <c r="G504" s="39">
        <f>SUM(G502:G503)</f>
        <v>0</v>
      </c>
      <c r="H504" s="39">
        <f>SUM(H502:H503)</f>
        <v>0</v>
      </c>
      <c r="I504" s="39">
        <f>SUM(I502:I503)</f>
        <v>0</v>
      </c>
      <c r="J504" s="39">
        <f>SUM(J502:J503)</f>
        <v>0</v>
      </c>
      <c r="K504" s="39">
        <f t="shared" si="35"/>
        <v>391628.76</v>
      </c>
      <c r="L504" s="42" t="s">
        <v>288</v>
      </c>
      <c r="N504" s="132"/>
    </row>
    <row r="505" spans="1:14" ht="12.2" customHeight="1" x14ac:dyDescent="0.2">
      <c r="A505" s="74"/>
      <c r="B505" s="22"/>
      <c r="C505" s="22"/>
      <c r="D505" s="22"/>
      <c r="E505" s="22"/>
      <c r="F505" s="79"/>
      <c r="G505" s="79"/>
      <c r="H505" s="77"/>
      <c r="I505" s="77"/>
      <c r="J505" s="77"/>
      <c r="K505" s="77"/>
      <c r="L505" s="77"/>
      <c r="N505" s="132"/>
    </row>
    <row r="506" spans="1:14" ht="12.2" customHeight="1" x14ac:dyDescent="0.2">
      <c r="C506" s="22"/>
      <c r="D506" s="22"/>
      <c r="E506" s="22"/>
      <c r="F506" s="79"/>
      <c r="G506" s="79"/>
      <c r="H506" s="77"/>
      <c r="I506" s="77"/>
      <c r="J506" s="77"/>
      <c r="K506" s="77"/>
      <c r="L506" s="77"/>
      <c r="N506" s="132"/>
    </row>
    <row r="507" spans="1:14" ht="12.2" customHeight="1" x14ac:dyDescent="0.2">
      <c r="B507" s="22"/>
      <c r="F507" t="s">
        <v>41</v>
      </c>
      <c r="G507" s="79" t="s">
        <v>42</v>
      </c>
      <c r="H507" s="79" t="s">
        <v>43</v>
      </c>
      <c r="I507" s="77" t="s">
        <v>44</v>
      </c>
      <c r="J507" s="23" t="s">
        <v>288</v>
      </c>
      <c r="K507" s="23" t="s">
        <v>288</v>
      </c>
      <c r="L507" s="23" t="s">
        <v>288</v>
      </c>
      <c r="N507" s="132"/>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2"/>
    </row>
    <row r="509" spans="1:14" ht="12.2" customHeight="1" x14ac:dyDescent="0.2">
      <c r="A509" s="74" t="s">
        <v>45</v>
      </c>
      <c r="B509" s="21"/>
      <c r="C509" s="21"/>
      <c r="D509" s="21"/>
      <c r="E509" s="21"/>
      <c r="F509" s="21"/>
      <c r="G509" s="21"/>
      <c r="H509" s="21"/>
      <c r="I509" s="21"/>
      <c r="N509" s="132"/>
    </row>
    <row r="510" spans="1:14" ht="12.2" customHeight="1" x14ac:dyDescent="0.2">
      <c r="A510" s="104" t="s">
        <v>1586</v>
      </c>
      <c r="B510" s="21"/>
      <c r="C510" s="21"/>
      <c r="D510" s="21"/>
      <c r="E510" s="21"/>
      <c r="F510" s="88" t="s">
        <v>46</v>
      </c>
      <c r="G510" s="88"/>
      <c r="H510" s="89" t="s">
        <v>47</v>
      </c>
      <c r="I510" s="89"/>
      <c r="N510" s="132"/>
    </row>
    <row r="511" spans="1:14" ht="12.2" customHeight="1" x14ac:dyDescent="0.2">
      <c r="A511" s="74"/>
      <c r="B511" s="21"/>
      <c r="C511" s="21"/>
      <c r="D511" s="21"/>
      <c r="E511" s="21"/>
      <c r="F511" s="83" t="s">
        <v>48</v>
      </c>
      <c r="G511" s="83" t="s">
        <v>49</v>
      </c>
      <c r="H511" s="76" t="s">
        <v>48</v>
      </c>
      <c r="I511" s="76" t="s">
        <v>49</v>
      </c>
      <c r="N511" s="132"/>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2"/>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2"/>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2"/>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2"/>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2"/>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2"/>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2"/>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2"/>
    </row>
    <row r="520" spans="1:14" ht="12.2" customHeight="1" x14ac:dyDescent="0.2">
      <c r="A520" s="129" t="s">
        <v>697</v>
      </c>
      <c r="B520" s="22"/>
      <c r="C520" s="22"/>
      <c r="D520" s="22"/>
      <c r="E520" s="22"/>
      <c r="F520" s="79" t="s">
        <v>54</v>
      </c>
      <c r="G520" s="79" t="s">
        <v>55</v>
      </c>
      <c r="H520" s="77" t="s">
        <v>56</v>
      </c>
      <c r="I520" s="77" t="s">
        <v>57</v>
      </c>
      <c r="J520" s="77" t="s">
        <v>58</v>
      </c>
      <c r="K520" s="77" t="s">
        <v>59</v>
      </c>
      <c r="L520" s="77" t="s">
        <v>5</v>
      </c>
      <c r="N520" s="132"/>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2"/>
    </row>
    <row r="522" spans="1:14" ht="12.2" customHeight="1" x14ac:dyDescent="0.2">
      <c r="A522" s="21" t="s">
        <v>633</v>
      </c>
      <c r="B522" s="22">
        <v>21</v>
      </c>
      <c r="C522" s="22">
        <v>1</v>
      </c>
      <c r="D522" s="2" t="s">
        <v>432</v>
      </c>
      <c r="E522" s="22"/>
      <c r="F522" s="18">
        <v>1994570.14</v>
      </c>
      <c r="G522" s="18">
        <v>982728.6</v>
      </c>
      <c r="H522" s="18">
        <v>358036.87</v>
      </c>
      <c r="I522" s="18">
        <v>7640.95</v>
      </c>
      <c r="J522" s="18">
        <v>2097.6</v>
      </c>
      <c r="K522" s="18">
        <v>194.25</v>
      </c>
      <c r="L522" s="69">
        <f>SUM(F522:K522)</f>
        <v>3345268.41</v>
      </c>
      <c r="N522" s="132"/>
    </row>
    <row r="523" spans="1:14" ht="12.2" customHeight="1" x14ac:dyDescent="0.2">
      <c r="A523" s="21" t="s">
        <v>634</v>
      </c>
      <c r="B523" s="22">
        <v>21</v>
      </c>
      <c r="C523" s="22">
        <v>2</v>
      </c>
      <c r="D523" s="2" t="s">
        <v>432</v>
      </c>
      <c r="E523" s="22"/>
      <c r="F523" s="18"/>
      <c r="G523" s="18"/>
      <c r="H523" s="18">
        <v>81315.41</v>
      </c>
      <c r="I523" s="18"/>
      <c r="J523" s="18"/>
      <c r="K523" s="18"/>
      <c r="L523" s="69">
        <f>SUM(F523:K523)</f>
        <v>81315.41</v>
      </c>
      <c r="N523" s="132"/>
    </row>
    <row r="524" spans="1:14" ht="12.2" customHeight="1" thickBot="1" x14ac:dyDescent="0.25">
      <c r="A524" s="21" t="s">
        <v>635</v>
      </c>
      <c r="B524" s="22">
        <v>21</v>
      </c>
      <c r="C524" s="22">
        <v>3</v>
      </c>
      <c r="D524" s="2" t="s">
        <v>432</v>
      </c>
      <c r="E524" s="22"/>
      <c r="F524" s="18"/>
      <c r="G524" s="18"/>
      <c r="H524" s="18">
        <v>533342.66</v>
      </c>
      <c r="I524" s="18"/>
      <c r="J524" s="18"/>
      <c r="K524" s="18"/>
      <c r="L524" s="69">
        <f>SUM(F524:K524)</f>
        <v>533342.66</v>
      </c>
      <c r="N524" s="132"/>
    </row>
    <row r="525" spans="1:14" ht="12.2" customHeight="1" thickTop="1" x14ac:dyDescent="0.2">
      <c r="A525" s="97" t="s">
        <v>63</v>
      </c>
      <c r="B525" s="41">
        <v>21</v>
      </c>
      <c r="C525" s="41">
        <v>4</v>
      </c>
      <c r="D525" s="115" t="s">
        <v>432</v>
      </c>
      <c r="E525" s="41"/>
      <c r="F525" s="81">
        <f>SUM(F522:F524)</f>
        <v>1994570.14</v>
      </c>
      <c r="G525" s="81">
        <f t="shared" ref="G525:L525" si="36">SUM(G522:G524)</f>
        <v>982728.6</v>
      </c>
      <c r="H525" s="81">
        <f t="shared" si="36"/>
        <v>972694.94000000006</v>
      </c>
      <c r="I525" s="81">
        <f t="shared" si="36"/>
        <v>7640.95</v>
      </c>
      <c r="J525" s="81">
        <f t="shared" si="36"/>
        <v>2097.6</v>
      </c>
      <c r="K525" s="81">
        <f t="shared" si="36"/>
        <v>194.25</v>
      </c>
      <c r="L525" s="70">
        <f t="shared" si="36"/>
        <v>3959926.4800000004</v>
      </c>
      <c r="N525" s="132"/>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6"/>
    </row>
    <row r="527" spans="1:14" s="3" customFormat="1" ht="12.2" customHeight="1" x14ac:dyDescent="0.15">
      <c r="A527" s="21" t="s">
        <v>633</v>
      </c>
      <c r="B527" s="22">
        <v>21</v>
      </c>
      <c r="C527" s="22">
        <v>5</v>
      </c>
      <c r="D527" s="2" t="s">
        <v>432</v>
      </c>
      <c r="E527" s="22"/>
      <c r="F527" s="18"/>
      <c r="G527" s="18"/>
      <c r="H527" s="18">
        <v>10854.88</v>
      </c>
      <c r="I527" s="18"/>
      <c r="J527" s="18"/>
      <c r="K527" s="18"/>
      <c r="L527" s="69">
        <f>SUM(F527:K527)</f>
        <v>10854.88</v>
      </c>
      <c r="M527" s="8"/>
      <c r="N527" s="166"/>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6"/>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6"/>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10854.88</v>
      </c>
      <c r="I530" s="70">
        <f t="shared" si="37"/>
        <v>0</v>
      </c>
      <c r="J530" s="70">
        <f t="shared" si="37"/>
        <v>0</v>
      </c>
      <c r="K530" s="70">
        <f t="shared" si="37"/>
        <v>0</v>
      </c>
      <c r="L530" s="70">
        <f t="shared" si="37"/>
        <v>10854.88</v>
      </c>
      <c r="M530" s="8"/>
      <c r="N530" s="166"/>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6"/>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6"/>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6"/>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6"/>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6"/>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6"/>
    </row>
    <row r="537" spans="1:14" s="3" customFormat="1" ht="12.2" customHeight="1" x14ac:dyDescent="0.15">
      <c r="A537" s="21" t="s">
        <v>633</v>
      </c>
      <c r="B537" s="22">
        <v>21</v>
      </c>
      <c r="C537" s="22">
        <v>13</v>
      </c>
      <c r="D537" s="2" t="s">
        <v>432</v>
      </c>
      <c r="E537" s="22"/>
      <c r="F537" s="18"/>
      <c r="G537" s="18"/>
      <c r="H537" s="18">
        <v>10977.52</v>
      </c>
      <c r="I537" s="18"/>
      <c r="J537" s="18"/>
      <c r="K537" s="18"/>
      <c r="L537" s="69">
        <f>SUM(F537:K537)</f>
        <v>10977.52</v>
      </c>
      <c r="M537" s="8"/>
      <c r="N537" s="166"/>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6"/>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6"/>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10977.52</v>
      </c>
      <c r="I540" s="70">
        <f t="shared" si="39"/>
        <v>0</v>
      </c>
      <c r="J540" s="70">
        <f t="shared" si="39"/>
        <v>0</v>
      </c>
      <c r="K540" s="70">
        <f t="shared" si="39"/>
        <v>0</v>
      </c>
      <c r="L540" s="70">
        <f t="shared" si="39"/>
        <v>10977.52</v>
      </c>
      <c r="M540" s="8"/>
      <c r="N540" s="166"/>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6"/>
    </row>
    <row r="542" spans="1:14" s="3" customFormat="1" ht="12.2" customHeight="1" x14ac:dyDescent="0.15">
      <c r="A542" s="21" t="s">
        <v>633</v>
      </c>
      <c r="B542" s="22">
        <v>21</v>
      </c>
      <c r="C542" s="22">
        <v>17</v>
      </c>
      <c r="D542" s="2" t="s">
        <v>432</v>
      </c>
      <c r="E542" s="22"/>
      <c r="F542" s="18"/>
      <c r="G542" s="18"/>
      <c r="H542" s="18">
        <v>59414.39</v>
      </c>
      <c r="I542" s="18"/>
      <c r="J542" s="18"/>
      <c r="K542" s="18"/>
      <c r="L542" s="69">
        <f>SUM(F542:K542)</f>
        <v>59414.39</v>
      </c>
      <c r="M542" s="8"/>
      <c r="N542" s="166"/>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6"/>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6"/>
    </row>
    <row r="545" spans="1:14" s="3" customFormat="1" ht="12.2" customHeight="1" thickTop="1" thickBot="1" x14ac:dyDescent="0.2">
      <c r="A545" s="93" t="s">
        <v>71</v>
      </c>
      <c r="B545" s="63">
        <v>21</v>
      </c>
      <c r="C545" s="63">
        <v>20</v>
      </c>
      <c r="D545" s="141" t="s">
        <v>432</v>
      </c>
      <c r="E545" s="63"/>
      <c r="F545" s="142">
        <f>SUM(F542:F544)</f>
        <v>0</v>
      </c>
      <c r="G545" s="142">
        <f t="shared" ref="G545:L545" si="40">SUM(G542:G544)</f>
        <v>0</v>
      </c>
      <c r="H545" s="142">
        <f t="shared" si="40"/>
        <v>59414.39</v>
      </c>
      <c r="I545" s="142">
        <f t="shared" si="40"/>
        <v>0</v>
      </c>
      <c r="J545" s="142">
        <f t="shared" si="40"/>
        <v>0</v>
      </c>
      <c r="K545" s="142">
        <f t="shared" si="40"/>
        <v>0</v>
      </c>
      <c r="L545" s="142">
        <f t="shared" si="40"/>
        <v>59414.39</v>
      </c>
      <c r="M545" s="8"/>
      <c r="N545" s="166"/>
    </row>
    <row r="546" spans="1:14" s="3" customFormat="1" ht="12.2" customHeight="1" thickTop="1" x14ac:dyDescent="0.15">
      <c r="A546" s="75" t="s">
        <v>72</v>
      </c>
      <c r="B546" s="41">
        <v>21</v>
      </c>
      <c r="C546" s="41">
        <v>21</v>
      </c>
      <c r="D546" s="115" t="s">
        <v>432</v>
      </c>
      <c r="E546" s="41"/>
      <c r="F546" s="70">
        <f>F525+F530+F535+F540+F545</f>
        <v>1994570.14</v>
      </c>
      <c r="G546" s="70">
        <f t="shared" ref="G546:L546" si="41">G525+G530+G535+G540+G545</f>
        <v>982728.6</v>
      </c>
      <c r="H546" s="70">
        <f t="shared" si="41"/>
        <v>1053941.73</v>
      </c>
      <c r="I546" s="70">
        <f t="shared" si="41"/>
        <v>7640.95</v>
      </c>
      <c r="J546" s="70">
        <f t="shared" si="41"/>
        <v>2097.6</v>
      </c>
      <c r="K546" s="70">
        <f t="shared" si="41"/>
        <v>194.25</v>
      </c>
      <c r="L546" s="70">
        <f t="shared" si="41"/>
        <v>4041173.2700000005</v>
      </c>
      <c r="M546" s="8"/>
      <c r="N546" s="166"/>
    </row>
    <row r="547" spans="1:14" s="3" customFormat="1" ht="12.2" customHeight="1" x14ac:dyDescent="0.15">
      <c r="A547" s="21"/>
      <c r="B547" s="22"/>
      <c r="C547" s="22"/>
      <c r="D547" s="22"/>
      <c r="E547" s="22"/>
      <c r="F547" s="69"/>
      <c r="G547" s="69"/>
      <c r="H547" s="69"/>
      <c r="I547" s="69"/>
      <c r="J547" s="69"/>
      <c r="K547" s="69"/>
      <c r="L547" s="69"/>
      <c r="M547" s="8"/>
      <c r="N547" s="166"/>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6"/>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6"/>
    </row>
    <row r="550" spans="1:14" s="3" customFormat="1" ht="12.2" customHeight="1" x14ac:dyDescent="0.15">
      <c r="A550" s="21" t="s">
        <v>633</v>
      </c>
      <c r="B550" s="22">
        <v>21</v>
      </c>
      <c r="C550" s="22">
        <v>22</v>
      </c>
      <c r="D550" s="2" t="s">
        <v>432</v>
      </c>
      <c r="E550" s="22"/>
      <c r="F550" s="69">
        <f>L522</f>
        <v>3345268.41</v>
      </c>
      <c r="G550" s="69">
        <f>L527</f>
        <v>10854.88</v>
      </c>
      <c r="H550" s="69">
        <f>L532</f>
        <v>0</v>
      </c>
      <c r="I550" s="69">
        <f>L537</f>
        <v>10977.52</v>
      </c>
      <c r="J550" s="69">
        <f>L542</f>
        <v>59414.39</v>
      </c>
      <c r="K550" s="69">
        <f>SUM(F550:J550)</f>
        <v>3426515.2</v>
      </c>
      <c r="L550" s="23" t="s">
        <v>288</v>
      </c>
      <c r="M550" s="8"/>
      <c r="N550" s="166"/>
    </row>
    <row r="551" spans="1:14" s="3" customFormat="1" ht="12.2" customHeight="1" x14ac:dyDescent="0.15">
      <c r="A551" s="21" t="s">
        <v>634</v>
      </c>
      <c r="B551" s="22">
        <v>21</v>
      </c>
      <c r="C551" s="22">
        <v>23</v>
      </c>
      <c r="D551" s="2" t="s">
        <v>432</v>
      </c>
      <c r="E551" s="22"/>
      <c r="F551" s="69">
        <f>L523</f>
        <v>81315.41</v>
      </c>
      <c r="G551" s="69">
        <f>L528</f>
        <v>0</v>
      </c>
      <c r="H551" s="69">
        <f>L533</f>
        <v>0</v>
      </c>
      <c r="I551" s="69">
        <f>L538</f>
        <v>0</v>
      </c>
      <c r="J551" s="69">
        <f>L543</f>
        <v>0</v>
      </c>
      <c r="K551" s="69">
        <f>SUM(F551:J551)</f>
        <v>81315.41</v>
      </c>
      <c r="L551" s="23" t="s">
        <v>288</v>
      </c>
      <c r="M551" s="8"/>
      <c r="N551" s="166"/>
    </row>
    <row r="552" spans="1:14" s="3" customFormat="1" ht="12.2" customHeight="1" thickBot="1" x14ac:dyDescent="0.2">
      <c r="A552" s="21" t="s">
        <v>635</v>
      </c>
      <c r="B552" s="22">
        <v>21</v>
      </c>
      <c r="C552" s="22">
        <v>24</v>
      </c>
      <c r="D552" s="2" t="s">
        <v>432</v>
      </c>
      <c r="E552" s="22"/>
      <c r="F552" s="69">
        <f>L524</f>
        <v>533342.66</v>
      </c>
      <c r="G552" s="69">
        <f>L529</f>
        <v>0</v>
      </c>
      <c r="H552" s="69">
        <f>L534</f>
        <v>0</v>
      </c>
      <c r="I552" s="69">
        <f>L539</f>
        <v>0</v>
      </c>
      <c r="J552" s="69">
        <f>L544</f>
        <v>0</v>
      </c>
      <c r="K552" s="69">
        <f>SUM(F552:J552)</f>
        <v>533342.66</v>
      </c>
      <c r="L552" s="23" t="s">
        <v>288</v>
      </c>
      <c r="M552" s="8"/>
      <c r="N552" s="166"/>
    </row>
    <row r="553" spans="1:14" s="3" customFormat="1" ht="12.2" customHeight="1" thickTop="1" x14ac:dyDescent="0.15">
      <c r="A553" s="126" t="s">
        <v>340</v>
      </c>
      <c r="B553" s="41">
        <v>21</v>
      </c>
      <c r="C553" s="41">
        <v>25</v>
      </c>
      <c r="D553" s="36" t="s">
        <v>432</v>
      </c>
      <c r="E553" s="41"/>
      <c r="F553" s="70">
        <f t="shared" ref="F553:K553" si="42">SUM(F550:F552)</f>
        <v>3959926.4800000004</v>
      </c>
      <c r="G553" s="70">
        <f t="shared" si="42"/>
        <v>10854.88</v>
      </c>
      <c r="H553" s="70">
        <f t="shared" si="42"/>
        <v>0</v>
      </c>
      <c r="I553" s="70">
        <f t="shared" si="42"/>
        <v>10977.52</v>
      </c>
      <c r="J553" s="70">
        <f t="shared" si="42"/>
        <v>59414.39</v>
      </c>
      <c r="K553" s="70">
        <f t="shared" si="42"/>
        <v>4041173.2700000005</v>
      </c>
      <c r="L553" s="23"/>
      <c r="M553" s="8"/>
      <c r="N553" s="166"/>
    </row>
    <row r="554" spans="1:14" s="3" customFormat="1" ht="12.2" customHeight="1" x14ac:dyDescent="0.15">
      <c r="A554" s="74" t="s">
        <v>580</v>
      </c>
      <c r="B554" s="22"/>
      <c r="C554" s="22"/>
      <c r="D554" s="22"/>
      <c r="E554" s="22"/>
      <c r="F554" s="69"/>
      <c r="G554" s="69"/>
      <c r="H554" s="69"/>
      <c r="I554" s="69"/>
      <c r="J554" s="69"/>
      <c r="K554" s="69"/>
      <c r="L554" s="69"/>
      <c r="M554" s="8"/>
      <c r="N554" s="166"/>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6"/>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6"/>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6"/>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6"/>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6"/>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6"/>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6"/>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6"/>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6"/>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6"/>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6"/>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6"/>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6"/>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6"/>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6"/>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6"/>
    </row>
    <row r="571" spans="1:14" s="3" customFormat="1" ht="12.2" customHeight="1" thickTop="1" thickBot="1" x14ac:dyDescent="0.2">
      <c r="A571" s="93" t="s">
        <v>67</v>
      </c>
      <c r="B571" s="63">
        <v>22</v>
      </c>
      <c r="C571" s="63">
        <v>12</v>
      </c>
      <c r="D571" s="141" t="s">
        <v>432</v>
      </c>
      <c r="E571" s="63"/>
      <c r="F571" s="142">
        <f>SUM(F568:F570)</f>
        <v>0</v>
      </c>
      <c r="G571" s="142">
        <f t="shared" ref="G571:L571" si="45">SUM(G568:G570)</f>
        <v>0</v>
      </c>
      <c r="H571" s="142">
        <f t="shared" si="45"/>
        <v>0</v>
      </c>
      <c r="I571" s="142">
        <f t="shared" si="45"/>
        <v>0</v>
      </c>
      <c r="J571" s="142">
        <f t="shared" si="45"/>
        <v>0</v>
      </c>
      <c r="K571" s="142">
        <f t="shared" si="45"/>
        <v>0</v>
      </c>
      <c r="L571" s="142">
        <f t="shared" si="45"/>
        <v>0</v>
      </c>
      <c r="M571" s="8"/>
      <c r="N571" s="166"/>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6"/>
    </row>
    <row r="573" spans="1:14" s="3" customFormat="1" ht="12.2" customHeight="1" x14ac:dyDescent="0.15">
      <c r="A573" s="74"/>
      <c r="B573" s="22"/>
      <c r="C573" s="22"/>
      <c r="D573" s="22"/>
      <c r="E573" s="22"/>
      <c r="F573" s="69"/>
      <c r="G573" s="69"/>
      <c r="H573" s="69"/>
      <c r="I573" s="69"/>
      <c r="J573" s="69"/>
      <c r="K573" s="69"/>
      <c r="L573" s="69"/>
      <c r="M573" s="8"/>
      <c r="N573" s="166"/>
    </row>
    <row r="574" spans="1:14" s="3" customFormat="1" ht="12.2" customHeight="1" x14ac:dyDescent="0.15">
      <c r="A574" s="74" t="s">
        <v>771</v>
      </c>
      <c r="B574" s="22"/>
      <c r="C574" s="22"/>
      <c r="D574" s="22"/>
      <c r="E574" s="22"/>
      <c r="F574" s="69"/>
      <c r="G574" s="69"/>
      <c r="H574" s="69"/>
      <c r="I574" s="69"/>
      <c r="J574" s="69"/>
      <c r="K574" s="69"/>
      <c r="L574" s="69"/>
      <c r="M574" s="8"/>
      <c r="N574" s="166"/>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6"/>
    </row>
    <row r="576" spans="1:14" s="3" customFormat="1" ht="12.2" customHeight="1" x14ac:dyDescent="0.15">
      <c r="A576" s="21" t="s">
        <v>669</v>
      </c>
      <c r="B576" s="22">
        <v>22</v>
      </c>
      <c r="C576" s="22">
        <v>14</v>
      </c>
      <c r="D576" s="2" t="s">
        <v>432</v>
      </c>
      <c r="E576" s="22">
        <v>561</v>
      </c>
      <c r="F576" s="18">
        <v>1578292</v>
      </c>
      <c r="G576" s="18"/>
      <c r="H576" s="18"/>
      <c r="I576" s="69">
        <f>SUM(F576:H576)</f>
        <v>1578292</v>
      </c>
      <c r="J576" s="23" t="s">
        <v>288</v>
      </c>
      <c r="K576" s="23" t="s">
        <v>288</v>
      </c>
      <c r="L576" s="23" t="s">
        <v>288</v>
      </c>
      <c r="M576" s="8"/>
      <c r="N576" s="166"/>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6"/>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6"/>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6"/>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6"/>
    </row>
    <row r="581" spans="1:14" s="3" customFormat="1" ht="12.2" customHeight="1" x14ac:dyDescent="0.15">
      <c r="A581" s="21" t="s">
        <v>672</v>
      </c>
      <c r="B581" s="22">
        <v>22</v>
      </c>
      <c r="C581" s="22">
        <v>19</v>
      </c>
      <c r="D581" s="2" t="s">
        <v>432</v>
      </c>
      <c r="E581" s="22">
        <v>562</v>
      </c>
      <c r="F581" s="18"/>
      <c r="G581" s="18">
        <v>81315.41</v>
      </c>
      <c r="H581" s="18">
        <v>93041.42</v>
      </c>
      <c r="I581" s="69">
        <f t="shared" si="47"/>
        <v>174356.83000000002</v>
      </c>
      <c r="J581" s="23" t="s">
        <v>288</v>
      </c>
      <c r="K581" s="23" t="s">
        <v>288</v>
      </c>
      <c r="L581" s="23" t="s">
        <v>288</v>
      </c>
      <c r="M581" s="8"/>
      <c r="N581" s="166"/>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6"/>
    </row>
    <row r="583" spans="1:14" s="3" customFormat="1" ht="12.2" customHeight="1" x14ac:dyDescent="0.15">
      <c r="A583" s="103" t="s">
        <v>673</v>
      </c>
      <c r="B583" s="22">
        <v>22</v>
      </c>
      <c r="C583" s="22">
        <v>21</v>
      </c>
      <c r="D583" s="2" t="s">
        <v>432</v>
      </c>
      <c r="E583" s="22">
        <v>564</v>
      </c>
      <c r="F583" s="18">
        <v>358036.87</v>
      </c>
      <c r="G583" s="18"/>
      <c r="H583" s="18">
        <v>440301.24</v>
      </c>
      <c r="I583" s="69">
        <f t="shared" si="47"/>
        <v>798338.11</v>
      </c>
      <c r="J583" s="23" t="s">
        <v>288</v>
      </c>
      <c r="K583" s="23" t="s">
        <v>288</v>
      </c>
      <c r="L583" s="23" t="s">
        <v>288</v>
      </c>
      <c r="M583" s="8"/>
      <c r="N583" s="166"/>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6"/>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6"/>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6"/>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6"/>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6"/>
    </row>
    <row r="589" spans="1:14" s="3" customFormat="1" ht="12.2" customHeight="1" x14ac:dyDescent="0.15">
      <c r="A589" s="127" t="s">
        <v>743</v>
      </c>
      <c r="B589" s="22"/>
      <c r="C589" s="22"/>
      <c r="D589" s="22"/>
      <c r="E589" s="22"/>
      <c r="F589" s="79"/>
      <c r="G589" s="79"/>
      <c r="H589" s="79"/>
      <c r="I589" s="79"/>
      <c r="J589" s="79"/>
      <c r="K589" s="79"/>
      <c r="L589" s="79"/>
      <c r="M589" s="8"/>
      <c r="N589" s="166"/>
    </row>
    <row r="590" spans="1:14" s="3" customFormat="1" ht="12.2" customHeight="1" x14ac:dyDescent="0.15">
      <c r="A590" s="104" t="s">
        <v>654</v>
      </c>
      <c r="B590" s="22"/>
      <c r="C590" s="22"/>
      <c r="D590" s="22"/>
      <c r="E590" s="22"/>
      <c r="F590" s="79"/>
      <c r="G590" s="79"/>
      <c r="H590" s="79"/>
      <c r="I590" s="79"/>
      <c r="J590" s="79"/>
      <c r="K590" s="79"/>
      <c r="L590" s="79"/>
      <c r="M590" s="8"/>
      <c r="N590" s="166"/>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6"/>
    </row>
    <row r="592" spans="1:14" s="3" customFormat="1" ht="12.2" customHeight="1" x14ac:dyDescent="0.15">
      <c r="A592" s="3" t="s">
        <v>637</v>
      </c>
      <c r="B592" s="22">
        <v>23</v>
      </c>
      <c r="C592" s="22">
        <v>1</v>
      </c>
      <c r="D592" s="2" t="s">
        <v>432</v>
      </c>
      <c r="E592" s="22"/>
      <c r="F592" s="78">
        <v>2721</v>
      </c>
      <c r="G592" s="79" t="s">
        <v>97</v>
      </c>
      <c r="H592" s="18">
        <v>195048.1</v>
      </c>
      <c r="I592" s="18">
        <v>102168.05</v>
      </c>
      <c r="J592" s="18">
        <v>167184.07999999999</v>
      </c>
      <c r="K592" s="80">
        <f t="shared" ref="K592:K598" si="48">SUM(H592:J592)</f>
        <v>464400.23</v>
      </c>
      <c r="L592" s="23" t="s">
        <v>288</v>
      </c>
      <c r="M592" s="8"/>
      <c r="N592" s="166"/>
    </row>
    <row r="593" spans="1:14" s="3" customFormat="1" ht="12.2" customHeight="1" x14ac:dyDescent="0.15">
      <c r="A593" s="3" t="s">
        <v>638</v>
      </c>
      <c r="B593" s="22">
        <v>23</v>
      </c>
      <c r="C593" s="22">
        <v>2</v>
      </c>
      <c r="D593" s="2" t="s">
        <v>432</v>
      </c>
      <c r="E593" s="22"/>
      <c r="F593" s="78">
        <v>2722</v>
      </c>
      <c r="G593" s="79" t="s">
        <v>97</v>
      </c>
      <c r="H593" s="18">
        <v>59414.39</v>
      </c>
      <c r="I593" s="18"/>
      <c r="J593" s="18"/>
      <c r="K593" s="80">
        <f t="shared" si="48"/>
        <v>59414.39</v>
      </c>
      <c r="L593" s="23" t="s">
        <v>288</v>
      </c>
      <c r="M593" s="8"/>
      <c r="N593" s="166"/>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6"/>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6"/>
    </row>
    <row r="596" spans="1:14" s="3" customFormat="1" ht="12.2" customHeight="1" x14ac:dyDescent="0.15">
      <c r="A596" s="103" t="s">
        <v>652</v>
      </c>
      <c r="B596" s="22">
        <v>23</v>
      </c>
      <c r="C596" s="22">
        <v>5</v>
      </c>
      <c r="D596" s="2" t="s">
        <v>432</v>
      </c>
      <c r="E596" s="22"/>
      <c r="F596" s="78">
        <v>2725</v>
      </c>
      <c r="G596" s="79" t="s">
        <v>97</v>
      </c>
      <c r="H596" s="18">
        <v>20152.16</v>
      </c>
      <c r="I596" s="18"/>
      <c r="J596" s="18"/>
      <c r="K596" s="80">
        <f t="shared" si="48"/>
        <v>20152.16</v>
      </c>
      <c r="L596" s="23" t="s">
        <v>288</v>
      </c>
      <c r="M596" s="8"/>
      <c r="N596" s="166"/>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6"/>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6"/>
    </row>
    <row r="599" spans="1:14" s="3" customFormat="1" ht="12.2" customHeight="1" thickTop="1" x14ac:dyDescent="0.15">
      <c r="A599" s="75" t="s">
        <v>340</v>
      </c>
      <c r="B599" s="41">
        <v>23</v>
      </c>
      <c r="C599" s="41">
        <v>8</v>
      </c>
      <c r="D599" s="36" t="s">
        <v>432</v>
      </c>
      <c r="E599" s="41"/>
      <c r="F599" s="105">
        <v>2700</v>
      </c>
      <c r="G599" s="106" t="s">
        <v>97</v>
      </c>
      <c r="H599" s="81">
        <f>SUM(H592:H598)</f>
        <v>274614.64999999997</v>
      </c>
      <c r="I599" s="81">
        <f>SUM(I592:I598)</f>
        <v>102168.05</v>
      </c>
      <c r="J599" s="81">
        <f>SUM(J592:J598)</f>
        <v>167184.07999999999</v>
      </c>
      <c r="K599" s="81">
        <f>SUM(K592:K598)</f>
        <v>543966.78</v>
      </c>
      <c r="L599" s="23" t="s">
        <v>288</v>
      </c>
      <c r="M599" s="8"/>
      <c r="N599" s="166"/>
    </row>
    <row r="600" spans="1:14" s="3" customFormat="1" ht="12.2" customHeight="1" x14ac:dyDescent="0.15">
      <c r="A600" s="21"/>
      <c r="B600" s="22"/>
      <c r="C600" s="22"/>
      <c r="D600" s="22"/>
      <c r="E600" s="22"/>
      <c r="F600" s="79"/>
      <c r="G600" s="79"/>
      <c r="H600" s="79"/>
      <c r="I600" s="79"/>
      <c r="J600" s="79"/>
      <c r="K600" s="79"/>
      <c r="L600" s="79"/>
      <c r="M600" s="8"/>
      <c r="N600" s="166"/>
    </row>
    <row r="601" spans="1:14" s="3" customFormat="1" ht="12.2" customHeight="1" x14ac:dyDescent="0.15">
      <c r="A601" s="74" t="s">
        <v>98</v>
      </c>
      <c r="B601" s="22"/>
      <c r="C601" s="22"/>
      <c r="D601" s="22"/>
      <c r="E601" s="22"/>
      <c r="F601" s="79"/>
      <c r="G601" s="79"/>
      <c r="H601" s="79"/>
      <c r="I601" s="79"/>
      <c r="J601" s="79"/>
      <c r="K601" s="79"/>
      <c r="L601" s="79"/>
      <c r="M601" s="8"/>
      <c r="N601" s="166"/>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6"/>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6"/>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6"/>
    </row>
    <row r="605" spans="1:14" s="3" customFormat="1" ht="12.2" customHeight="1" thickBot="1" x14ac:dyDescent="0.2">
      <c r="A605" s="21" t="s">
        <v>644</v>
      </c>
      <c r="B605" s="22">
        <v>23</v>
      </c>
      <c r="C605" s="22">
        <v>11</v>
      </c>
      <c r="D605" s="2" t="s">
        <v>432</v>
      </c>
      <c r="E605" s="22"/>
      <c r="F605" s="79" t="s">
        <v>476</v>
      </c>
      <c r="G605" s="78">
        <v>730</v>
      </c>
      <c r="H605" s="18">
        <v>96399.06</v>
      </c>
      <c r="I605" s="18"/>
      <c r="J605" s="18"/>
      <c r="K605" s="80">
        <f>SUM(H605:J605)</f>
        <v>96399.06</v>
      </c>
      <c r="L605" s="23" t="s">
        <v>288</v>
      </c>
      <c r="M605" s="8"/>
      <c r="N605" s="166"/>
    </row>
    <row r="606" spans="1:14" s="3" customFormat="1" ht="12.2" customHeight="1" thickTop="1" x14ac:dyDescent="0.15">
      <c r="A606" s="75" t="s">
        <v>340</v>
      </c>
      <c r="B606" s="41">
        <v>23</v>
      </c>
      <c r="C606" s="41">
        <v>12</v>
      </c>
      <c r="D606" s="36" t="s">
        <v>432</v>
      </c>
      <c r="E606" s="41"/>
      <c r="F606" s="106" t="s">
        <v>476</v>
      </c>
      <c r="G606" s="105">
        <v>700</v>
      </c>
      <c r="H606" s="81">
        <f>SUM(H603:H605)</f>
        <v>96399.06</v>
      </c>
      <c r="I606" s="81">
        <f>SUM(I603:I605)</f>
        <v>0</v>
      </c>
      <c r="J606" s="81">
        <f>SUM(J603:J605)</f>
        <v>0</v>
      </c>
      <c r="K606" s="81">
        <f>SUM(K603:K605)</f>
        <v>96399.06</v>
      </c>
      <c r="L606" s="23" t="s">
        <v>288</v>
      </c>
      <c r="M606" s="8"/>
      <c r="N606" s="166"/>
    </row>
    <row r="607" spans="1:14" s="3" customFormat="1" ht="12.2" customHeight="1" x14ac:dyDescent="0.15">
      <c r="A607" s="21"/>
      <c r="B607" s="22"/>
      <c r="C607" s="22"/>
      <c r="D607" s="22"/>
      <c r="E607" s="22"/>
      <c r="F607" s="79"/>
      <c r="G607" s="79"/>
      <c r="H607" s="79"/>
      <c r="I607" s="79"/>
      <c r="J607" s="79"/>
      <c r="K607" s="79"/>
      <c r="L607" s="69"/>
      <c r="M607" s="8"/>
      <c r="N607" s="166"/>
    </row>
    <row r="608" spans="1:14" s="3" customFormat="1" ht="12.2" customHeight="1" x14ac:dyDescent="0.15">
      <c r="A608" s="74"/>
      <c r="B608" s="22"/>
      <c r="C608" s="22"/>
      <c r="D608" s="22"/>
      <c r="E608" s="22"/>
      <c r="F608" s="79"/>
      <c r="G608" s="79"/>
      <c r="H608" s="79"/>
      <c r="I608" s="79"/>
      <c r="J608" s="79"/>
      <c r="K608" s="79"/>
      <c r="L608" s="69"/>
      <c r="M608" s="8"/>
      <c r="N608" s="166"/>
    </row>
    <row r="609" spans="1:14" s="3" customFormat="1" ht="12.2" customHeight="1" x14ac:dyDescent="0.15">
      <c r="A609" s="74" t="s">
        <v>581</v>
      </c>
      <c r="B609" s="22"/>
      <c r="C609" s="22"/>
      <c r="D609" s="22"/>
      <c r="E609" s="22"/>
      <c r="F609" s="79"/>
      <c r="G609" s="79"/>
      <c r="H609" s="79"/>
      <c r="I609" s="79"/>
      <c r="J609" s="79"/>
      <c r="K609" s="79"/>
      <c r="L609" s="69"/>
      <c r="M609" s="8"/>
      <c r="N609" s="166"/>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6"/>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6"/>
    </row>
    <row r="612" spans="1:14" s="3" customFormat="1" ht="12.2" customHeight="1" x14ac:dyDescent="0.15">
      <c r="A612" s="21" t="s">
        <v>633</v>
      </c>
      <c r="B612" s="22">
        <v>23</v>
      </c>
      <c r="C612" s="22">
        <v>13</v>
      </c>
      <c r="D612" s="2" t="s">
        <v>432</v>
      </c>
      <c r="E612" s="22"/>
      <c r="F612" s="18">
        <v>57727.39</v>
      </c>
      <c r="G612" s="18">
        <v>11440.55</v>
      </c>
      <c r="H612" s="18">
        <v>2436</v>
      </c>
      <c r="I612" s="18"/>
      <c r="J612" s="18"/>
      <c r="K612" s="18"/>
      <c r="L612" s="69">
        <f>SUM(F612:K612)</f>
        <v>71603.94</v>
      </c>
      <c r="M612" s="8"/>
      <c r="N612" s="166"/>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6"/>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6"/>
    </row>
    <row r="615" spans="1:14" s="3" customFormat="1" ht="12.2" customHeight="1" thickTop="1" x14ac:dyDescent="0.15">
      <c r="A615" s="75" t="s">
        <v>340</v>
      </c>
      <c r="B615" s="41">
        <v>23</v>
      </c>
      <c r="C615" s="41">
        <v>16</v>
      </c>
      <c r="D615" s="36" t="s">
        <v>432</v>
      </c>
      <c r="E615" s="41"/>
      <c r="F615" s="81">
        <f t="shared" ref="F615:L615" si="49">SUM(F612:F614)</f>
        <v>57727.39</v>
      </c>
      <c r="G615" s="81">
        <f t="shared" si="49"/>
        <v>11440.55</v>
      </c>
      <c r="H615" s="81">
        <f t="shared" si="49"/>
        <v>2436</v>
      </c>
      <c r="I615" s="81">
        <f t="shared" si="49"/>
        <v>0</v>
      </c>
      <c r="J615" s="81">
        <f t="shared" si="49"/>
        <v>0</v>
      </c>
      <c r="K615" s="81">
        <f t="shared" si="49"/>
        <v>0</v>
      </c>
      <c r="L615" s="70">
        <f t="shared" si="49"/>
        <v>71603.94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854330.39999999991</v>
      </c>
      <c r="H618" s="80">
        <f>SUM(F52)</f>
        <v>854330.4</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51705.4</v>
      </c>
      <c r="H619" s="80">
        <f>SUM(G52)</f>
        <v>51705.4</v>
      </c>
      <c r="I619" s="87" t="s">
        <v>876</v>
      </c>
      <c r="J619" s="80">
        <f>G619-H619</f>
        <v>0</v>
      </c>
      <c r="K619" s="80"/>
      <c r="L619" s="80"/>
      <c r="M619" s="8"/>
    </row>
    <row r="620" spans="1:14" s="3" customFormat="1" ht="12.2" customHeight="1" x14ac:dyDescent="0.15">
      <c r="A620" s="74"/>
      <c r="B620" s="22"/>
      <c r="C620" s="22"/>
      <c r="D620" s="22"/>
      <c r="E620" s="22"/>
      <c r="F620" s="87" t="s">
        <v>685</v>
      </c>
      <c r="G620" s="80">
        <f>SUM(H19)</f>
        <v>39285.56</v>
      </c>
      <c r="H620" s="80">
        <f>SUM(H52)</f>
        <v>39285.56</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2262852.92</v>
      </c>
      <c r="H622" s="80">
        <f>SUM(J52)</f>
        <v>2262852.92</v>
      </c>
      <c r="I622" s="87" t="s">
        <v>879</v>
      </c>
      <c r="J622" s="80">
        <f>G622-H622</f>
        <v>0</v>
      </c>
      <c r="K622" s="80"/>
      <c r="L622" s="80"/>
      <c r="M622" s="8"/>
    </row>
    <row r="623" spans="1:14" s="3" customFormat="1" ht="12.2" customHeight="1" x14ac:dyDescent="0.15">
      <c r="A623" s="74"/>
      <c r="B623" s="22"/>
      <c r="C623" s="22"/>
      <c r="D623" s="22"/>
      <c r="E623" s="22"/>
      <c r="F623" s="87" t="s">
        <v>865</v>
      </c>
      <c r="G623" s="80">
        <f>F51</f>
        <v>660876.03</v>
      </c>
      <c r="H623" s="80">
        <f>F477</f>
        <v>660876.02999999933</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76035.3</v>
      </c>
      <c r="H625" s="80">
        <f>H477</f>
        <v>76035.299999999988</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2262852.92</v>
      </c>
      <c r="H627" s="80">
        <f>J477</f>
        <v>2262852.92</v>
      </c>
      <c r="I627" s="87" t="s">
        <v>105</v>
      </c>
      <c r="J627" s="80">
        <f t="shared" si="50"/>
        <v>0</v>
      </c>
      <c r="K627" s="67"/>
      <c r="L627" s="69"/>
      <c r="M627" s="8"/>
    </row>
    <row r="628" spans="1:13" s="3" customFormat="1" ht="12.2" customHeight="1" x14ac:dyDescent="0.15">
      <c r="A628" s="21"/>
      <c r="B628" s="22"/>
      <c r="C628" s="22"/>
      <c r="D628" s="22"/>
      <c r="E628" s="22"/>
      <c r="F628" s="86" t="s">
        <v>658</v>
      </c>
      <c r="G628" s="80">
        <f>F194</f>
        <v>14465813.51</v>
      </c>
      <c r="H628" s="80">
        <f>SUM(F469)</f>
        <v>14465813.51</v>
      </c>
      <c r="I628" s="87" t="s">
        <v>106</v>
      </c>
      <c r="J628" s="80">
        <f>G628-H628</f>
        <v>0</v>
      </c>
      <c r="K628" s="67"/>
      <c r="L628" s="69"/>
      <c r="M628" s="8"/>
    </row>
    <row r="629" spans="1:13" s="3" customFormat="1" ht="12.2" customHeight="1" x14ac:dyDescent="0.15">
      <c r="A629" s="21"/>
      <c r="B629" s="22"/>
      <c r="C629" s="22"/>
      <c r="D629" s="22"/>
      <c r="E629" s="22"/>
      <c r="F629" s="86" t="s">
        <v>659</v>
      </c>
      <c r="G629" s="80">
        <f>G194</f>
        <v>136751.5</v>
      </c>
      <c r="H629" s="80">
        <f>SUM(G469)</f>
        <v>136751.5</v>
      </c>
      <c r="I629" s="87" t="s">
        <v>107</v>
      </c>
      <c r="J629" s="80">
        <f>G629-H629</f>
        <v>0</v>
      </c>
      <c r="K629" s="67"/>
      <c r="L629" s="69"/>
      <c r="M629" s="8"/>
    </row>
    <row r="630" spans="1:13" s="3" customFormat="1" ht="12.2" customHeight="1" x14ac:dyDescent="0.15">
      <c r="A630" s="21"/>
      <c r="B630" s="22"/>
      <c r="C630" s="22"/>
      <c r="D630" s="22"/>
      <c r="E630" s="22"/>
      <c r="F630" s="86" t="s">
        <v>660</v>
      </c>
      <c r="G630" s="80">
        <f>H194</f>
        <v>152273.07999999999</v>
      </c>
      <c r="H630" s="80">
        <f>SUM(H469)</f>
        <v>152273.08000000002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272420.92</v>
      </c>
      <c r="H632" s="80">
        <f>SUM(J469)</f>
        <v>272420.92000000004</v>
      </c>
      <c r="I632" s="87" t="s">
        <v>110</v>
      </c>
      <c r="J632" s="80">
        <f>G632-H632</f>
        <v>0</v>
      </c>
      <c r="K632" s="67"/>
      <c r="L632" s="69"/>
      <c r="M632" s="8"/>
    </row>
    <row r="633" spans="1:13" s="3" customFormat="1" ht="12.2" customHeight="1" x14ac:dyDescent="0.15">
      <c r="A633" s="21"/>
      <c r="B633" s="22"/>
      <c r="C633" s="22"/>
      <c r="D633" s="22"/>
      <c r="E633" s="22"/>
      <c r="F633" s="86" t="s">
        <v>394</v>
      </c>
      <c r="G633" s="80">
        <f>SUM(L272)</f>
        <v>14105733.9</v>
      </c>
      <c r="H633" s="80">
        <f>SUM(F473)</f>
        <v>14105733.9</v>
      </c>
      <c r="I633" s="87" t="s">
        <v>111</v>
      </c>
      <c r="J633" s="80">
        <f t="shared" si="50"/>
        <v>0</v>
      </c>
      <c r="K633" s="67"/>
      <c r="L633" s="69"/>
      <c r="M633" s="8"/>
    </row>
    <row r="634" spans="1:13" s="3" customFormat="1" ht="12.2" customHeight="1" x14ac:dyDescent="0.15">
      <c r="A634" s="21"/>
      <c r="B634" s="22"/>
      <c r="C634" s="22"/>
      <c r="D634" s="22"/>
      <c r="E634" s="22"/>
      <c r="F634" s="86" t="s">
        <v>395</v>
      </c>
      <c r="G634" s="80">
        <f>SUM(L353)</f>
        <v>145121.07999999999</v>
      </c>
      <c r="H634" s="80">
        <f>SUM(H473)</f>
        <v>145121.08000000002</v>
      </c>
      <c r="I634" s="87" t="s">
        <v>112</v>
      </c>
      <c r="J634" s="80">
        <f>G634-H634</f>
        <v>0</v>
      </c>
      <c r="K634" s="67"/>
      <c r="L634" s="69"/>
      <c r="M634" s="8"/>
    </row>
    <row r="635" spans="1:13" s="124" customFormat="1" ht="12.2" customHeight="1" x14ac:dyDescent="0.15">
      <c r="A635" s="21"/>
      <c r="B635" s="22"/>
      <c r="C635" s="22"/>
      <c r="D635" s="22"/>
      <c r="E635" s="22"/>
      <c r="F635" s="99" t="s">
        <v>247</v>
      </c>
      <c r="G635" s="80">
        <f>I363</f>
        <v>989.26</v>
      </c>
      <c r="H635" s="80">
        <f>I370</f>
        <v>989.26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136751.5</v>
      </c>
      <c r="H636" s="80">
        <f>SUM(G473)</f>
        <v>136751.5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272420.92000000004</v>
      </c>
      <c r="H638" s="108">
        <f>SUM(J469)</f>
        <v>272420.92000000004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659898.92000000004</v>
      </c>
      <c r="H640" s="80">
        <f>SUM(F462)</f>
        <v>659898.92000000004</v>
      </c>
      <c r="I640" s="87" t="s">
        <v>841</v>
      </c>
      <c r="J640" s="80">
        <f t="shared" si="50"/>
        <v>0</v>
      </c>
      <c r="K640" s="67"/>
      <c r="L640" s="69"/>
      <c r="M640" s="8"/>
    </row>
    <row r="641" spans="1:13" s="3" customFormat="1" ht="12.2" customHeight="1" x14ac:dyDescent="0.15">
      <c r="A641" s="21"/>
      <c r="B641" s="22"/>
      <c r="C641" s="22"/>
      <c r="D641" s="22"/>
      <c r="E641" s="22"/>
      <c r="F641" s="86" t="s">
        <v>119</v>
      </c>
      <c r="G641" s="80">
        <f>SUM(G447)</f>
        <v>1602954</v>
      </c>
      <c r="H641" s="80">
        <f>SUM(G462)</f>
        <v>1602954</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2262852.92</v>
      </c>
      <c r="H643" s="80">
        <f>SUM(I462)</f>
        <v>2262852.92</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99326.92</v>
      </c>
      <c r="H645" s="80">
        <f>H409</f>
        <v>99326.92</v>
      </c>
      <c r="I645" s="87" t="s">
        <v>480</v>
      </c>
      <c r="J645" s="80">
        <f t="shared" si="50"/>
        <v>0</v>
      </c>
      <c r="K645" s="67"/>
      <c r="L645" s="69"/>
      <c r="M645" s="8"/>
    </row>
    <row r="646" spans="1:13" s="3" customFormat="1" ht="12.2" customHeight="1" x14ac:dyDescent="0.15">
      <c r="A646" s="21"/>
      <c r="B646" s="22"/>
      <c r="C646" s="22"/>
      <c r="D646" s="22"/>
      <c r="E646" s="22"/>
      <c r="F646" s="86" t="s">
        <v>664</v>
      </c>
      <c r="G646" s="80">
        <f>J184</f>
        <v>173094</v>
      </c>
      <c r="H646" s="80">
        <f>G409</f>
        <v>173094</v>
      </c>
      <c r="I646" s="87" t="s">
        <v>481</v>
      </c>
      <c r="J646" s="80">
        <f t="shared" si="50"/>
        <v>0</v>
      </c>
      <c r="K646" s="67"/>
      <c r="L646" s="69"/>
      <c r="M646" s="8"/>
    </row>
    <row r="647" spans="1:13" s="3" customFormat="1" ht="12.2" customHeight="1" x14ac:dyDescent="0.15">
      <c r="A647" s="21"/>
      <c r="B647" s="22"/>
      <c r="C647" s="22"/>
      <c r="D647" s="22"/>
      <c r="E647" s="22"/>
      <c r="F647" s="86" t="s">
        <v>662</v>
      </c>
      <c r="G647" s="80">
        <f>J194</f>
        <v>272420.92</v>
      </c>
      <c r="H647" s="80">
        <f>L409</f>
        <v>272420.92000000004</v>
      </c>
      <c r="I647" s="87" t="s">
        <v>477</v>
      </c>
      <c r="J647" s="80">
        <f t="shared" si="50"/>
        <v>0</v>
      </c>
      <c r="K647" s="67"/>
      <c r="L647" s="69"/>
      <c r="M647" s="8"/>
    </row>
    <row r="648" spans="1:13" s="3" customFormat="1" ht="12.2" customHeight="1" x14ac:dyDescent="0.15">
      <c r="A648" s="21"/>
      <c r="B648" s="22"/>
      <c r="C648" s="22"/>
      <c r="D648" s="22"/>
      <c r="E648" s="22"/>
      <c r="F648" s="86" t="s">
        <v>51</v>
      </c>
      <c r="G648" s="80">
        <f>K599</f>
        <v>543966.78</v>
      </c>
      <c r="H648" s="80">
        <f>L209+L227+L245</f>
        <v>543966.78</v>
      </c>
      <c r="I648" s="87" t="s">
        <v>396</v>
      </c>
      <c r="J648" s="80">
        <f t="shared" si="50"/>
        <v>0</v>
      </c>
      <c r="K648" s="67"/>
      <c r="L648" s="69"/>
      <c r="M648" s="8"/>
    </row>
    <row r="649" spans="1:13" s="3" customFormat="1" ht="12.2" customHeight="1" x14ac:dyDescent="0.15">
      <c r="A649" s="21"/>
      <c r="B649" s="22"/>
      <c r="C649" s="22"/>
      <c r="D649" s="22"/>
      <c r="E649" s="22"/>
      <c r="F649" s="86" t="s">
        <v>52</v>
      </c>
      <c r="G649" s="80">
        <f>K606</f>
        <v>96399.06</v>
      </c>
      <c r="H649" s="80">
        <f>(J258+J339)-(J256+J337)</f>
        <v>96399.060000000012</v>
      </c>
      <c r="I649" s="87" t="s">
        <v>699</v>
      </c>
      <c r="J649" s="80">
        <f t="shared" si="50"/>
        <v>0</v>
      </c>
      <c r="K649" s="67"/>
      <c r="L649" s="69"/>
      <c r="M649" s="8"/>
    </row>
    <row r="650" spans="1:13" s="3" customFormat="1" ht="12.2" customHeight="1" x14ac:dyDescent="0.15">
      <c r="A650" s="21"/>
      <c r="B650" s="22"/>
      <c r="C650" s="22"/>
      <c r="D650" s="22"/>
      <c r="E650" s="22"/>
      <c r="F650" s="86" t="s">
        <v>387</v>
      </c>
      <c r="G650" s="80">
        <f>L209</f>
        <v>274614.65000000002</v>
      </c>
      <c r="H650" s="80">
        <f>H599</f>
        <v>274614.64999999997</v>
      </c>
      <c r="I650" s="87" t="s">
        <v>388</v>
      </c>
      <c r="J650" s="80">
        <f t="shared" si="50"/>
        <v>0</v>
      </c>
      <c r="K650" s="67"/>
      <c r="L650" s="69"/>
      <c r="M650" s="8"/>
    </row>
    <row r="651" spans="1:13" s="3" customFormat="1" ht="12.2" customHeight="1" x14ac:dyDescent="0.15">
      <c r="A651" s="21"/>
      <c r="B651" s="22"/>
      <c r="C651" s="22"/>
      <c r="D651" s="22"/>
      <c r="E651" s="22"/>
      <c r="F651" s="86" t="s">
        <v>392</v>
      </c>
      <c r="G651" s="80">
        <f>L227</f>
        <v>102168.05</v>
      </c>
      <c r="H651" s="80">
        <f>I599</f>
        <v>102168.05</v>
      </c>
      <c r="I651" s="87" t="s">
        <v>389</v>
      </c>
      <c r="J651" s="80">
        <f t="shared" si="50"/>
        <v>0</v>
      </c>
      <c r="K651" s="67"/>
      <c r="L651" s="69"/>
      <c r="M651" s="8"/>
    </row>
    <row r="652" spans="1:13" s="3" customFormat="1" ht="12.2" customHeight="1" x14ac:dyDescent="0.15">
      <c r="A652" s="21"/>
      <c r="B652" s="22"/>
      <c r="C652" s="22"/>
      <c r="D652" s="22"/>
      <c r="E652" s="22"/>
      <c r="F652" s="86" t="s">
        <v>393</v>
      </c>
      <c r="G652" s="80">
        <f>L245</f>
        <v>167184.07999999999</v>
      </c>
      <c r="H652" s="80">
        <f>J599</f>
        <v>167184.07999999999</v>
      </c>
      <c r="I652" s="87" t="s">
        <v>390</v>
      </c>
      <c r="J652" s="80">
        <f t="shared" si="50"/>
        <v>0</v>
      </c>
      <c r="K652" s="67"/>
      <c r="L652" s="69"/>
      <c r="M652" s="8"/>
    </row>
    <row r="653" spans="1:13" s="3" customFormat="1" ht="12.2" customHeight="1" x14ac:dyDescent="0.15">
      <c r="A653" s="21"/>
      <c r="B653" s="22"/>
      <c r="C653" s="22"/>
      <c r="D653" s="22"/>
      <c r="E653" s="22"/>
      <c r="F653" s="86" t="s">
        <v>665</v>
      </c>
      <c r="G653" s="80">
        <f>G180</f>
        <v>33783.25</v>
      </c>
      <c r="H653" s="80">
        <f>K264+K346</f>
        <v>33783.25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173094</v>
      </c>
      <c r="H656" s="80">
        <f>K267+K348</f>
        <v>173094</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2" t="s">
        <v>902</v>
      </c>
      <c r="F660" s="14" t="s">
        <v>286</v>
      </c>
      <c r="G660" s="13"/>
      <c r="H660" s="13"/>
      <c r="I660" s="13"/>
      <c r="J660" s="13"/>
      <c r="K660" s="13"/>
      <c r="L660" s="13"/>
      <c r="M660" s="9"/>
    </row>
    <row r="661" spans="1:13" s="3" customFormat="1" ht="12.2" customHeight="1" x14ac:dyDescent="0.15">
      <c r="A661" s="1" t="s">
        <v>126</v>
      </c>
      <c r="F661" s="13">
        <f>(L212+L291+L359)</f>
        <v>12844872.029999999</v>
      </c>
      <c r="G661" s="13">
        <f>(L230+L310+L360)</f>
        <v>183483.46000000002</v>
      </c>
      <c r="H661" s="13">
        <f>(L248+L329+L361)</f>
        <v>700526.74</v>
      </c>
      <c r="I661" s="13">
        <f>SUM(F661:H661)</f>
        <v>13728882.23</v>
      </c>
      <c r="J661" s="13"/>
      <c r="K661" s="13"/>
      <c r="L661" s="13"/>
      <c r="M661" s="9"/>
    </row>
    <row r="662" spans="1:13" s="3" customFormat="1" ht="12.2" customHeight="1" x14ac:dyDescent="0.2">
      <c r="A662" s="1" t="s">
        <v>127</v>
      </c>
      <c r="F662" s="13">
        <f>(L359/IF(SUM(L359:L361)=0,1,SUM(L359:L361))*(SUM(G97:G110)))</f>
        <v>102968.25</v>
      </c>
      <c r="G662" s="13">
        <f>(L360/IF(SUM(L359:L361)=0,1,SUM(L359:L361))*(SUM(G97:G110)))</f>
        <v>0</v>
      </c>
      <c r="H662" s="13">
        <f>(L361/IF(SUM(L359:L361)=0,1,SUM(L359:L361))*(SUM(G97:G110)))</f>
        <v>0</v>
      </c>
      <c r="I662" s="13">
        <f>SUM(F662:H662)</f>
        <v>102968.25</v>
      </c>
      <c r="J662"/>
      <c r="K662" s="13"/>
      <c r="L662" s="13"/>
      <c r="M662" s="8"/>
    </row>
    <row r="663" spans="1:13" s="3" customFormat="1" ht="12.2" customHeight="1" x14ac:dyDescent="0.2">
      <c r="A663" s="1" t="s">
        <v>128</v>
      </c>
      <c r="F663" s="13">
        <f>(L209+L288)-(J209+J288)</f>
        <v>274614.65000000002</v>
      </c>
      <c r="G663" s="13">
        <f>(L227+L307)-(J227+J307)</f>
        <v>102168.05</v>
      </c>
      <c r="H663" s="13">
        <f>(L245+L326)-(J245+J326)</f>
        <v>167184.07999999999</v>
      </c>
      <c r="I663" s="13">
        <f>SUM(F663:H663)</f>
        <v>543966.78</v>
      </c>
      <c r="J663"/>
      <c r="K663" s="13"/>
      <c r="L663" s="13"/>
      <c r="M663" s="9"/>
    </row>
    <row r="664" spans="1:13" s="3" customFormat="1" ht="12.2" customHeight="1" x14ac:dyDescent="0.15">
      <c r="A664" s="143" t="s">
        <v>129</v>
      </c>
      <c r="B664" s="124"/>
      <c r="C664" s="124"/>
      <c r="D664" s="124"/>
      <c r="E664" s="124"/>
      <c r="F664" s="144">
        <f>SUM(F576:F588)+SUM(H603:H605)+SUM(L612)</f>
        <v>2104331.87</v>
      </c>
      <c r="G664" s="144">
        <f>SUM(G576:G588)+SUM(I603:I605)+L613</f>
        <v>81315.41</v>
      </c>
      <c r="H664" s="144">
        <f>SUM(H576:H588)+SUM(J603:J605)+L614</f>
        <v>533342.66</v>
      </c>
      <c r="I664" s="13">
        <f>SUM(F664:H664)</f>
        <v>2718989.9400000004</v>
      </c>
      <c r="J664" s="13"/>
      <c r="K664" s="13"/>
      <c r="L664" s="13"/>
      <c r="M664" s="9"/>
    </row>
    <row r="665" spans="1:13" s="3" customFormat="1" ht="12.2" customHeight="1" x14ac:dyDescent="0.15">
      <c r="A665" s="1" t="s">
        <v>130</v>
      </c>
      <c r="F665" s="13">
        <f>F661-SUM(F662:F664)</f>
        <v>10362957.26</v>
      </c>
      <c r="G665" s="13">
        <f>G661-SUM(G662:G664)</f>
        <v>0</v>
      </c>
      <c r="H665" s="13">
        <f>H661-SUM(H662:H664)</f>
        <v>0</v>
      </c>
      <c r="I665" s="13">
        <f>I661-SUM(I662:I664)</f>
        <v>10362957.26</v>
      </c>
      <c r="J665" s="13"/>
      <c r="K665" s="13"/>
      <c r="L665" s="13"/>
      <c r="M665" s="8"/>
    </row>
    <row r="666" spans="1:13" s="3" customFormat="1" ht="12.2" customHeight="1" x14ac:dyDescent="0.2">
      <c r="A666" s="1" t="s">
        <v>131</v>
      </c>
      <c r="F666" s="184">
        <f>74.27+417.14</f>
        <v>491.40999999999997</v>
      </c>
      <c r="G666" s="185"/>
      <c r="H666" s="185"/>
      <c r="I666" s="13">
        <f>SUM(F666:H666)</f>
        <v>491.40999999999997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21088.21</v>
      </c>
      <c r="G668" s="13" t="e">
        <f>ROUND(G665/G666,2)</f>
        <v>#DIV/0!</v>
      </c>
      <c r="H668" s="13" t="e">
        <f>ROUND(H665/H666,2)</f>
        <v>#DIV/0!</v>
      </c>
      <c r="I668" s="13">
        <f>ROUND(I665/I666,2)</f>
        <v>21088.21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21088.21</v>
      </c>
      <c r="G673" s="13" t="e">
        <f>ROUND((G665+G670)/(G666+G671),2)</f>
        <v>#DIV/0!</v>
      </c>
      <c r="H673" s="13" t="e">
        <f>ROUND((H665+H670)/(H666+H671),2)</f>
        <v>#DIV/0!</v>
      </c>
      <c r="I673" s="13">
        <f>ROUND((I665+I670)/(I666+I671),2)</f>
        <v>21088.21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topLeftCell="A18"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4" t="s">
        <v>1590</v>
      </c>
      <c r="B1" s="264"/>
      <c r="C1" s="264"/>
      <c r="D1" s="264"/>
      <c r="E1" s="264"/>
      <c r="F1" s="264"/>
      <c r="G1" s="264"/>
      <c r="H1" s="264"/>
    </row>
    <row r="2" spans="1:9" ht="15" x14ac:dyDescent="0.2">
      <c r="A2" s="264" t="s">
        <v>1586</v>
      </c>
      <c r="B2" s="264"/>
      <c r="C2" s="264"/>
      <c r="D2" s="264"/>
      <c r="E2" s="264"/>
      <c r="F2" s="264"/>
      <c r="G2" s="264"/>
      <c r="H2" s="264"/>
    </row>
    <row r="3" spans="1:9" ht="15.75" x14ac:dyDescent="0.25">
      <c r="A3" s="250" t="s">
        <v>1604</v>
      </c>
      <c r="B3" s="251" t="s">
        <v>1639</v>
      </c>
      <c r="C3" s="249"/>
      <c r="D3" s="249"/>
      <c r="E3" s="249"/>
      <c r="F3" s="249"/>
      <c r="G3" s="249"/>
      <c r="H3" s="249"/>
      <c r="I3" t="s">
        <v>1638</v>
      </c>
    </row>
    <row r="4" spans="1:9" x14ac:dyDescent="0.2">
      <c r="I4" t="s">
        <v>1639</v>
      </c>
    </row>
    <row r="5" spans="1:9" ht="15.75" x14ac:dyDescent="0.25">
      <c r="A5" s="245" t="s">
        <v>911</v>
      </c>
      <c r="B5" s="265" t="str">
        <f>'DOE25'!A2</f>
        <v>Hanover School District</v>
      </c>
      <c r="C5" s="266"/>
      <c r="D5" s="266"/>
      <c r="E5" s="266"/>
      <c r="F5" s="266"/>
    </row>
    <row r="8" spans="1:9" ht="18" x14ac:dyDescent="0.25">
      <c r="A8" s="246" t="s">
        <v>1591</v>
      </c>
      <c r="F8" s="253" t="s">
        <v>1609</v>
      </c>
    </row>
    <row r="9" spans="1:9" ht="15" x14ac:dyDescent="0.2">
      <c r="A9" s="244" t="s">
        <v>1592</v>
      </c>
      <c r="B9" s="247">
        <f>'DOE25'!G97</f>
        <v>102968.25</v>
      </c>
      <c r="F9" s="244" t="s">
        <v>1605</v>
      </c>
    </row>
    <row r="10" spans="1:9" ht="15" x14ac:dyDescent="0.2">
      <c r="A10" s="244" t="s">
        <v>1593</v>
      </c>
      <c r="B10" s="247">
        <f>'DOE25'!G112-'DOE25'!G97</f>
        <v>0</v>
      </c>
      <c r="F10" s="244" t="s">
        <v>1606</v>
      </c>
    </row>
    <row r="11" spans="1:9" ht="15" x14ac:dyDescent="0.2">
      <c r="A11" s="244" t="s">
        <v>1594</v>
      </c>
      <c r="B11" s="247">
        <f>'DOE25'!G140</f>
        <v>0</v>
      </c>
      <c r="F11" s="244" t="s">
        <v>1607</v>
      </c>
    </row>
    <row r="12" spans="1:9" ht="15" x14ac:dyDescent="0.2">
      <c r="A12" s="244" t="s">
        <v>1595</v>
      </c>
      <c r="B12" s="247">
        <f>'DOE25'!G170</f>
        <v>0</v>
      </c>
      <c r="F12" s="244" t="s">
        <v>1608</v>
      </c>
    </row>
    <row r="13" spans="1:9" ht="15" x14ac:dyDescent="0.2">
      <c r="A13" s="244" t="s">
        <v>1596</v>
      </c>
      <c r="B13" s="247">
        <f>'DOE25'!G193-'DOE25'!G180</f>
        <v>0</v>
      </c>
      <c r="F13" s="244" t="s">
        <v>1618</v>
      </c>
    </row>
    <row r="14" spans="1:9" ht="18" x14ac:dyDescent="0.25">
      <c r="A14" s="246" t="s">
        <v>732</v>
      </c>
      <c r="B14" s="248">
        <f>SUM(B9:B13)</f>
        <v>102968.25</v>
      </c>
    </row>
    <row r="16" spans="1:9" ht="18" x14ac:dyDescent="0.25">
      <c r="A16" s="246" t="s">
        <v>786</v>
      </c>
      <c r="F16" s="253" t="s">
        <v>1610</v>
      </c>
    </row>
    <row r="17" spans="1:6" ht="15" x14ac:dyDescent="0.2">
      <c r="A17" s="244" t="s">
        <v>1597</v>
      </c>
      <c r="B17" s="247">
        <f>'DOE25'!L363-'DOE25'!L362</f>
        <v>136751.5</v>
      </c>
      <c r="F17" s="244" t="s">
        <v>1611</v>
      </c>
    </row>
    <row r="18" spans="1:6" ht="15" x14ac:dyDescent="0.2">
      <c r="A18" s="244" t="s">
        <v>1598</v>
      </c>
      <c r="B18" s="261"/>
      <c r="F18" s="253" t="s">
        <v>1637</v>
      </c>
    </row>
    <row r="19" spans="1:6" ht="18" x14ac:dyDescent="0.25">
      <c r="A19" s="246" t="s">
        <v>725</v>
      </c>
      <c r="B19" s="248">
        <f>SUM(B17:B18)</f>
        <v>136751.5</v>
      </c>
    </row>
    <row r="21" spans="1:6" ht="18.75" thickBot="1" x14ac:dyDescent="0.3">
      <c r="A21" s="246" t="s">
        <v>1599</v>
      </c>
    </row>
    <row r="22" spans="1:6" ht="18.75" thickTop="1" x14ac:dyDescent="0.25">
      <c r="A22" s="246" t="s">
        <v>1600</v>
      </c>
      <c r="B22" s="252">
        <f>B14-B19</f>
        <v>-33783.25</v>
      </c>
      <c r="F22" s="244" t="s">
        <v>1612</v>
      </c>
    </row>
    <row r="26" spans="1:6" ht="18" x14ac:dyDescent="0.25">
      <c r="A26" s="246" t="s">
        <v>186</v>
      </c>
    </row>
    <row r="27" spans="1:6" ht="15" x14ac:dyDescent="0.2">
      <c r="A27" s="244" t="s">
        <v>1601</v>
      </c>
      <c r="B27" s="247">
        <f>'DOE25'!G180</f>
        <v>33783.25</v>
      </c>
      <c r="F27" s="244" t="s">
        <v>1613</v>
      </c>
    </row>
    <row r="28" spans="1:6" ht="15" x14ac:dyDescent="0.2">
      <c r="A28" s="244" t="s">
        <v>1603</v>
      </c>
      <c r="B28" s="247">
        <f>'DOE25'!L362</f>
        <v>0</v>
      </c>
      <c r="F28" s="244" t="s">
        <v>1614</v>
      </c>
    </row>
    <row r="31" spans="1:6" ht="15" x14ac:dyDescent="0.2">
      <c r="A31" s="244" t="s">
        <v>1640</v>
      </c>
      <c r="B31" s="247">
        <f>'DOE25'!G466</f>
        <v>0</v>
      </c>
      <c r="F31" s="244" t="s">
        <v>1615</v>
      </c>
    </row>
    <row r="33" spans="1:6" ht="15" x14ac:dyDescent="0.2">
      <c r="A33" s="244" t="s">
        <v>1641</v>
      </c>
      <c r="B33" s="247">
        <f>'DOE25'!G477</f>
        <v>0</v>
      </c>
      <c r="F33" s="244" t="s">
        <v>1616</v>
      </c>
    </row>
    <row r="36" spans="1:6" ht="15" x14ac:dyDescent="0.2">
      <c r="A36" s="244" t="s">
        <v>1602</v>
      </c>
      <c r="B36" s="262">
        <v>0</v>
      </c>
      <c r="F36" s="253"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topLeftCell="A2" workbookViewId="0">
      <selection activeCell="I20" sqref="I20"/>
    </sheetView>
  </sheetViews>
  <sheetFormatPr defaultRowHeight="11.25" x14ac:dyDescent="0.2"/>
  <cols>
    <col min="1" max="1" width="26.6640625" customWidth="1"/>
    <col min="2" max="2" width="33.83203125" customWidth="1"/>
    <col min="3" max="3" width="29.5" customWidth="1"/>
  </cols>
  <sheetData>
    <row r="1" spans="1:3" x14ac:dyDescent="0.2">
      <c r="A1" s="172" t="s">
        <v>781</v>
      </c>
      <c r="B1" s="171" t="str">
        <f>'DOE25'!A2</f>
        <v>Hanover School District</v>
      </c>
      <c r="C1" s="176" t="s">
        <v>824</v>
      </c>
    </row>
    <row r="2" spans="1:3" x14ac:dyDescent="0.2">
      <c r="A2" s="172"/>
      <c r="B2" s="171"/>
    </row>
    <row r="3" spans="1:3" x14ac:dyDescent="0.2">
      <c r="A3" s="270" t="s">
        <v>780</v>
      </c>
      <c r="B3" s="270"/>
      <c r="C3" s="270"/>
    </row>
    <row r="4" spans="1:3" x14ac:dyDescent="0.2">
      <c r="A4" s="175"/>
      <c r="B4" s="24" t="str">
        <f>'DOE25'!H1</f>
        <v>DOE 25  2019-2020</v>
      </c>
      <c r="C4" s="175"/>
    </row>
    <row r="5" spans="1:3" x14ac:dyDescent="0.2">
      <c r="A5" s="172"/>
      <c r="B5" s="171"/>
    </row>
    <row r="6" spans="1:3" x14ac:dyDescent="0.2">
      <c r="A6" s="166"/>
      <c r="B6" s="269" t="s">
        <v>779</v>
      </c>
      <c r="C6" s="269"/>
    </row>
    <row r="7" spans="1:3" x14ac:dyDescent="0.2">
      <c r="A7" s="177" t="s">
        <v>782</v>
      </c>
      <c r="B7" s="267" t="s">
        <v>778</v>
      </c>
      <c r="C7" s="268"/>
    </row>
    <row r="8" spans="1:3" x14ac:dyDescent="0.2">
      <c r="B8" s="167" t="s">
        <v>54</v>
      </c>
      <c r="C8" s="167" t="s">
        <v>772</v>
      </c>
    </row>
    <row r="9" spans="1:3" x14ac:dyDescent="0.2">
      <c r="A9" s="32" t="s">
        <v>773</v>
      </c>
      <c r="B9" s="168">
        <f>'DOE25'!F198+'DOE25'!F216+'DOE25'!F234+'DOE25'!F277+'DOE25'!F296+'DOE25'!F315</f>
        <v>3450725.65</v>
      </c>
      <c r="C9" s="168">
        <f>'DOE25'!G198+'DOE25'!G216+'DOE25'!G234+'DOE25'!G277+'DOE25'!G296+'DOE25'!G315</f>
        <v>1553059.16</v>
      </c>
    </row>
    <row r="10" spans="1:3" x14ac:dyDescent="0.2">
      <c r="A10" t="s">
        <v>775</v>
      </c>
      <c r="B10" s="178">
        <v>3035746</v>
      </c>
      <c r="C10" s="178">
        <v>1264793.2</v>
      </c>
    </row>
    <row r="11" spans="1:3" x14ac:dyDescent="0.2">
      <c r="A11" t="s">
        <v>776</v>
      </c>
      <c r="B11" s="178">
        <f>B9-B10</f>
        <v>414979.64999999991</v>
      </c>
      <c r="C11" s="178">
        <f>C9-C10</f>
        <v>288265.95999999996</v>
      </c>
    </row>
    <row r="12" spans="1:3" x14ac:dyDescent="0.2">
      <c r="A12" t="s">
        <v>777</v>
      </c>
      <c r="B12" s="178"/>
      <c r="C12" s="178"/>
    </row>
    <row r="13" spans="1:3" x14ac:dyDescent="0.2">
      <c r="A13" t="str">
        <f>IF(B9=B13,IF(C9=C13,"Check Total OK","Check Total Error"),"Check Total Error")</f>
        <v>Check Total OK</v>
      </c>
      <c r="B13" s="170">
        <f>SUM(B10:B12)</f>
        <v>3450725.65</v>
      </c>
      <c r="C13" s="170">
        <f>SUM(C10:C12)</f>
        <v>1553059.16</v>
      </c>
    </row>
    <row r="14" spans="1:3" x14ac:dyDescent="0.2">
      <c r="B14" s="169"/>
      <c r="C14" s="169"/>
    </row>
    <row r="15" spans="1:3" x14ac:dyDescent="0.2">
      <c r="B15" s="269" t="s">
        <v>779</v>
      </c>
      <c r="C15" s="269"/>
    </row>
    <row r="16" spans="1:3" x14ac:dyDescent="0.2">
      <c r="A16" s="177" t="s">
        <v>783</v>
      </c>
      <c r="B16" s="267" t="s">
        <v>703</v>
      </c>
      <c r="C16" s="268"/>
    </row>
    <row r="17" spans="1:3" x14ac:dyDescent="0.2">
      <c r="B17" s="167" t="s">
        <v>54</v>
      </c>
      <c r="C17" s="167" t="s">
        <v>772</v>
      </c>
    </row>
    <row r="18" spans="1:3" x14ac:dyDescent="0.2">
      <c r="A18" s="32" t="s">
        <v>773</v>
      </c>
      <c r="B18" s="168">
        <f>'DOE25'!F199+'DOE25'!F217+'DOE25'!F235+'DOE25'!F278+'DOE25'!F297+'DOE25'!F316</f>
        <v>1994570.1400000001</v>
      </c>
      <c r="C18" s="168">
        <f>'DOE25'!G199+'DOE25'!G217+'DOE25'!G235+'DOE25'!G278+'DOE25'!G297+'DOE25'!G316</f>
        <v>982728.6</v>
      </c>
    </row>
    <row r="19" spans="1:3" x14ac:dyDescent="0.2">
      <c r="A19" t="s">
        <v>775</v>
      </c>
      <c r="B19" s="178">
        <v>1090162</v>
      </c>
      <c r="C19" s="178">
        <v>628947.31999999995</v>
      </c>
    </row>
    <row r="20" spans="1:3" x14ac:dyDescent="0.2">
      <c r="A20" t="s">
        <v>776</v>
      </c>
      <c r="B20" s="178">
        <f>B18-B19</f>
        <v>904408.14000000013</v>
      </c>
      <c r="C20" s="178">
        <f>C18-C19</f>
        <v>353781.28</v>
      </c>
    </row>
    <row r="21" spans="1:3" x14ac:dyDescent="0.2">
      <c r="A21" t="s">
        <v>777</v>
      </c>
      <c r="B21" s="178"/>
      <c r="C21" s="178"/>
    </row>
    <row r="22" spans="1:3" x14ac:dyDescent="0.2">
      <c r="A22" t="str">
        <f>IF(B18=B22,IF(C18=C22,"Check Total OK","Check Total Error"),"Check Total Error")</f>
        <v>Check Total OK</v>
      </c>
      <c r="B22" s="170">
        <f>SUM(B19:B21)</f>
        <v>1994570.1400000001</v>
      </c>
      <c r="C22" s="170">
        <f>SUM(C19:C21)</f>
        <v>982728.6</v>
      </c>
    </row>
    <row r="23" spans="1:3" x14ac:dyDescent="0.2">
      <c r="B23" s="169"/>
      <c r="C23" s="169"/>
    </row>
    <row r="24" spans="1:3" x14ac:dyDescent="0.2">
      <c r="B24" s="269" t="s">
        <v>779</v>
      </c>
      <c r="C24" s="269"/>
    </row>
    <row r="25" spans="1:3" x14ac:dyDescent="0.2">
      <c r="A25" s="177" t="s">
        <v>784</v>
      </c>
      <c r="B25" s="267" t="s">
        <v>704</v>
      </c>
      <c r="C25" s="268"/>
    </row>
    <row r="26" spans="1:3" x14ac:dyDescent="0.2">
      <c r="B26" s="167" t="s">
        <v>54</v>
      </c>
      <c r="C26" s="167" t="s">
        <v>772</v>
      </c>
    </row>
    <row r="27" spans="1:3" x14ac:dyDescent="0.2">
      <c r="A27" s="32" t="s">
        <v>773</v>
      </c>
      <c r="B27" s="173">
        <f>'DOE25'!F200+'DOE25'!F218+'DOE25'!F236+'DOE25'!F279+'DOE25'!F298+'DOE25'!F317</f>
        <v>0</v>
      </c>
      <c r="C27" s="173">
        <f>'DOE25'!G200+'DOE25'!G218+'DOE25'!G236+'DOE25'!G279+'DOE25'!G298+'DOE25'!G317</f>
        <v>0</v>
      </c>
    </row>
    <row r="28" spans="1:3" x14ac:dyDescent="0.2">
      <c r="A28" t="s">
        <v>775</v>
      </c>
      <c r="B28" s="178"/>
      <c r="C28" s="178"/>
    </row>
    <row r="29" spans="1:3" x14ac:dyDescent="0.2">
      <c r="A29" t="s">
        <v>776</v>
      </c>
      <c r="B29" s="178"/>
      <c r="C29" s="178"/>
    </row>
    <row r="30" spans="1:3" x14ac:dyDescent="0.2">
      <c r="A30" t="s">
        <v>777</v>
      </c>
      <c r="B30" s="178"/>
      <c r="C30" s="178"/>
    </row>
    <row r="31" spans="1:3" x14ac:dyDescent="0.2">
      <c r="A31" t="str">
        <f>IF(B27=B31,IF(C27=C31,"Check Total OK","Check Total Error"),"Check Total Error")</f>
        <v>Check Total OK</v>
      </c>
      <c r="B31" s="170">
        <f>SUM(B28:B30)</f>
        <v>0</v>
      </c>
      <c r="C31" s="170">
        <f>SUM(C28:C30)</f>
        <v>0</v>
      </c>
    </row>
    <row r="33" spans="1:3" x14ac:dyDescent="0.2">
      <c r="B33" s="269" t="s">
        <v>779</v>
      </c>
      <c r="C33" s="269"/>
    </row>
    <row r="34" spans="1:3" x14ac:dyDescent="0.2">
      <c r="A34" s="177" t="s">
        <v>785</v>
      </c>
      <c r="B34" s="267" t="s">
        <v>705</v>
      </c>
      <c r="C34" s="268"/>
    </row>
    <row r="35" spans="1:3" x14ac:dyDescent="0.2">
      <c r="B35" s="167" t="s">
        <v>54</v>
      </c>
      <c r="C35" s="167" t="s">
        <v>772</v>
      </c>
    </row>
    <row r="36" spans="1:3" x14ac:dyDescent="0.2">
      <c r="A36" s="32" t="s">
        <v>773</v>
      </c>
      <c r="B36" s="174">
        <f>'DOE25'!F201+'DOE25'!F219+'DOE25'!F237+'DOE25'!F280+'DOE25'!F299+'DOE25'!F318</f>
        <v>0</v>
      </c>
      <c r="C36" s="174">
        <f>'DOE25'!G201+'DOE25'!G219+'DOE25'!G237+'DOE25'!G280+'DOE25'!G299+'DOE25'!G318</f>
        <v>0</v>
      </c>
    </row>
    <row r="37" spans="1:3" x14ac:dyDescent="0.2">
      <c r="A37" t="s">
        <v>775</v>
      </c>
      <c r="B37" s="178"/>
      <c r="C37" s="178"/>
    </row>
    <row r="38" spans="1:3" x14ac:dyDescent="0.2">
      <c r="A38" t="s">
        <v>776</v>
      </c>
      <c r="B38" s="178"/>
      <c r="C38" s="178"/>
    </row>
    <row r="39" spans="1:3" x14ac:dyDescent="0.2">
      <c r="A39" t="s">
        <v>777</v>
      </c>
      <c r="B39" s="178"/>
      <c r="C39" s="178"/>
    </row>
    <row r="40" spans="1:3" x14ac:dyDescent="0.2">
      <c r="A40" t="str">
        <f>IF(B36=B40,IF(C36=C40,"Check Total OK","Check Total Error"),"Check Total Error")</f>
        <v>Check Total OK</v>
      </c>
      <c r="B40" s="170">
        <f>SUM(B37:B39)</f>
        <v>0</v>
      </c>
      <c r="C40" s="170">
        <f>SUM(C37:C39)</f>
        <v>0</v>
      </c>
    </row>
    <row r="41" spans="1:3" x14ac:dyDescent="0.2">
      <c r="B41" s="169"/>
      <c r="C41" s="169"/>
    </row>
    <row r="42" spans="1:3" x14ac:dyDescent="0.2">
      <c r="A42" s="32" t="s">
        <v>822</v>
      </c>
      <c r="B42" s="169"/>
      <c r="C42" s="169"/>
    </row>
    <row r="43" spans="1:3" x14ac:dyDescent="0.2">
      <c r="A43" t="s">
        <v>826</v>
      </c>
      <c r="B43" s="169"/>
      <c r="C43" s="169"/>
    </row>
    <row r="44" spans="1:3" x14ac:dyDescent="0.2">
      <c r="A44" t="s">
        <v>827</v>
      </c>
    </row>
    <row r="45" spans="1:3" x14ac:dyDescent="0.2">
      <c r="A45" t="s">
        <v>828</v>
      </c>
    </row>
    <row r="48" spans="1:3" x14ac:dyDescent="0.2">
      <c r="A48" s="196" t="s">
        <v>774</v>
      </c>
    </row>
    <row r="49" spans="1:1" x14ac:dyDescent="0.2">
      <c r="A49" s="199" t="s">
        <v>829</v>
      </c>
    </row>
    <row r="50" spans="1:1" x14ac:dyDescent="0.2">
      <c r="A50" s="199" t="s">
        <v>823</v>
      </c>
    </row>
    <row r="51" spans="1:1" x14ac:dyDescent="0.2">
      <c r="A51" s="199" t="s">
        <v>830</v>
      </c>
    </row>
    <row r="52" spans="1:1" x14ac:dyDescent="0.2">
      <c r="A52" s="200"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269" t="s">
        <v>894</v>
      </c>
      <c r="B1" s="273"/>
      <c r="C1" s="273"/>
      <c r="D1" s="273"/>
      <c r="E1" s="273"/>
      <c r="F1" s="273"/>
      <c r="G1" s="273"/>
      <c r="H1" s="273"/>
      <c r="I1" s="132"/>
    </row>
    <row r="2" spans="1:9" x14ac:dyDescent="0.2">
      <c r="A2" s="32" t="s">
        <v>713</v>
      </c>
      <c r="B2" s="197" t="str">
        <f>'DOE25'!A2</f>
        <v>Hanover School District</v>
      </c>
      <c r="C2" s="210"/>
      <c r="D2" s="132" t="s">
        <v>787</v>
      </c>
      <c r="E2" s="132" t="s">
        <v>789</v>
      </c>
      <c r="F2" s="271" t="s">
        <v>893</v>
      </c>
      <c r="G2" s="272"/>
      <c r="H2" s="272"/>
      <c r="I2" s="205"/>
    </row>
    <row r="3" spans="1:9" x14ac:dyDescent="0.2">
      <c r="A3" s="132" t="s">
        <v>94</v>
      </c>
      <c r="B3" s="167" t="s">
        <v>10</v>
      </c>
      <c r="C3" s="206" t="s">
        <v>5</v>
      </c>
      <c r="D3" s="132" t="s">
        <v>788</v>
      </c>
      <c r="E3" s="132" t="s">
        <v>790</v>
      </c>
      <c r="F3" s="204" t="s">
        <v>888</v>
      </c>
      <c r="G3" s="132" t="s">
        <v>887</v>
      </c>
      <c r="H3" s="132" t="s">
        <v>59</v>
      </c>
      <c r="I3" s="180" t="s">
        <v>793</v>
      </c>
    </row>
    <row r="4" spans="1:9" ht="14.25" x14ac:dyDescent="0.2">
      <c r="A4" s="187" t="s">
        <v>795</v>
      </c>
      <c r="B4" s="187" t="s">
        <v>811</v>
      </c>
      <c r="C4" s="207" t="s">
        <v>786</v>
      </c>
      <c r="D4" s="187" t="s">
        <v>812</v>
      </c>
      <c r="E4" s="187" t="s">
        <v>812</v>
      </c>
      <c r="F4" s="179" t="s">
        <v>889</v>
      </c>
      <c r="G4" s="187" t="s">
        <v>792</v>
      </c>
      <c r="H4" s="187" t="s">
        <v>806</v>
      </c>
      <c r="I4" s="188" t="s">
        <v>794</v>
      </c>
    </row>
    <row r="5" spans="1:9" x14ac:dyDescent="0.2">
      <c r="A5" s="31">
        <v>1000</v>
      </c>
      <c r="B5" t="s">
        <v>195</v>
      </c>
      <c r="C5" s="208">
        <f t="shared" ref="C5:C19" si="0">SUM(D5:I5)</f>
        <v>10655059.990000002</v>
      </c>
      <c r="D5" s="19">
        <f>SUM('DOE25'!L198:L201)+SUM('DOE25'!L216:L219)+SUM('DOE25'!L234:L237)-F5-G5-H5</f>
        <v>10568332.880000003</v>
      </c>
      <c r="E5" s="181"/>
      <c r="F5" s="182"/>
      <c r="G5" s="19">
        <f>SUM('DOE25'!J198:J201)+SUM('DOE25'!J216:J219)+SUM('DOE25'!J234:J237)</f>
        <v>86532.860000000015</v>
      </c>
      <c r="H5" s="19">
        <f>SUM('DOE25'!K198:K201)+SUM('DOE25'!K216:K219)+SUM('DOE25'!K234:K237)</f>
        <v>194.25</v>
      </c>
      <c r="I5" s="193"/>
    </row>
    <row r="6" spans="1:9" x14ac:dyDescent="0.2">
      <c r="A6" s="31">
        <v>2100</v>
      </c>
      <c r="B6" t="s">
        <v>796</v>
      </c>
      <c r="C6" s="208">
        <f t="shared" si="0"/>
        <v>321873.36000000004</v>
      </c>
      <c r="D6" s="19">
        <f>'DOE25'!L203+'DOE25'!L221+'DOE25'!L239-F6-G6-H6</f>
        <v>321828.36000000004</v>
      </c>
      <c r="E6" s="181"/>
      <c r="F6" s="182"/>
      <c r="G6" s="19">
        <f>'DOE25'!J203+'DOE25'!J221+'DOE25'!J239</f>
        <v>0</v>
      </c>
      <c r="H6" s="19">
        <f>'DOE25'!K203+'DOE25'!K221+'DOE25'!K239</f>
        <v>45</v>
      </c>
      <c r="I6" s="193"/>
    </row>
    <row r="7" spans="1:9" x14ac:dyDescent="0.2">
      <c r="A7" s="31">
        <v>2200</v>
      </c>
      <c r="B7" t="s">
        <v>821</v>
      </c>
      <c r="C7" s="208">
        <f t="shared" si="0"/>
        <v>280226.45</v>
      </c>
      <c r="D7" s="19">
        <f>'DOE25'!L204+'DOE25'!L222+'DOE25'!L240-F7-G7-H7</f>
        <v>273931.19</v>
      </c>
      <c r="E7" s="181"/>
      <c r="F7" s="182"/>
      <c r="G7" s="19">
        <f>'DOE25'!J204+'DOE25'!J222+'DOE25'!J240</f>
        <v>6295.26</v>
      </c>
      <c r="H7" s="19">
        <f>'DOE25'!K204+'DOE25'!K222+'DOE25'!K240</f>
        <v>0</v>
      </c>
      <c r="I7" s="193"/>
    </row>
    <row r="8" spans="1:9" x14ac:dyDescent="0.2">
      <c r="A8" s="31">
        <v>2300</v>
      </c>
      <c r="B8" t="s">
        <v>797</v>
      </c>
      <c r="C8" s="208">
        <f t="shared" si="0"/>
        <v>445894.74999999994</v>
      </c>
      <c r="D8" s="181"/>
      <c r="E8" s="19">
        <f>'DOE25'!L205+'DOE25'!L223+'DOE25'!L241-F8-G8-H8-D9-D11</f>
        <v>438408.20999999996</v>
      </c>
      <c r="F8" s="182"/>
      <c r="G8" s="19">
        <f>'DOE25'!J205+'DOE25'!J223+'DOE25'!J241</f>
        <v>0</v>
      </c>
      <c r="H8" s="19">
        <f>'DOE25'!K205+'DOE25'!K223+'DOE25'!K241</f>
        <v>7486.54</v>
      </c>
      <c r="I8" s="193"/>
    </row>
    <row r="9" spans="1:9" ht="14.25" x14ac:dyDescent="0.2">
      <c r="A9" s="31">
        <v>2310</v>
      </c>
      <c r="B9" s="71" t="s">
        <v>890</v>
      </c>
      <c r="C9" s="208">
        <f t="shared" si="0"/>
        <v>0</v>
      </c>
      <c r="D9" s="182"/>
      <c r="E9" s="181"/>
      <c r="F9" s="181"/>
      <c r="G9" s="181"/>
      <c r="H9" s="181"/>
      <c r="I9" s="193"/>
    </row>
    <row r="10" spans="1:9" ht="14.25" x14ac:dyDescent="0.2">
      <c r="A10" s="31">
        <v>2317</v>
      </c>
      <c r="B10" s="71" t="s">
        <v>891</v>
      </c>
      <c r="C10" s="208">
        <f t="shared" si="0"/>
        <v>0</v>
      </c>
      <c r="D10" s="181"/>
      <c r="E10" s="182"/>
      <c r="F10" s="181"/>
      <c r="G10" s="181"/>
      <c r="H10" s="181"/>
      <c r="I10" s="193"/>
    </row>
    <row r="11" spans="1:9" ht="14.25" x14ac:dyDescent="0.2">
      <c r="A11" s="31">
        <v>2321</v>
      </c>
      <c r="B11" s="71" t="s">
        <v>892</v>
      </c>
      <c r="C11" s="208">
        <f t="shared" si="0"/>
        <v>0</v>
      </c>
      <c r="D11" s="182"/>
      <c r="E11" s="181"/>
      <c r="F11" s="181"/>
      <c r="G11" s="181"/>
      <c r="H11" s="181"/>
      <c r="I11" s="193"/>
    </row>
    <row r="12" spans="1:9" x14ac:dyDescent="0.2">
      <c r="A12" s="31">
        <v>2400</v>
      </c>
      <c r="B12" t="s">
        <v>711</v>
      </c>
      <c r="C12" s="208">
        <f t="shared" si="0"/>
        <v>548347.19999999995</v>
      </c>
      <c r="D12" s="19">
        <f>'DOE25'!L206+'DOE25'!L224+'DOE25'!L242-F12-G12-H12</f>
        <v>547865.82999999996</v>
      </c>
      <c r="E12" s="181"/>
      <c r="F12" s="182"/>
      <c r="G12" s="19">
        <f>'DOE25'!J206+'DOE25'!J224+'DOE25'!J242</f>
        <v>256.37</v>
      </c>
      <c r="H12" s="19">
        <f>'DOE25'!K206+'DOE25'!K224+'DOE25'!K242</f>
        <v>225</v>
      </c>
      <c r="I12" s="193"/>
    </row>
    <row r="13" spans="1:9" x14ac:dyDescent="0.2">
      <c r="A13" s="31">
        <v>2500</v>
      </c>
      <c r="B13" t="s">
        <v>798</v>
      </c>
      <c r="C13" s="208">
        <f t="shared" si="0"/>
        <v>0</v>
      </c>
      <c r="D13" s="181"/>
      <c r="E13" s="19">
        <f>'DOE25'!L207+'DOE25'!L225+'DOE25'!L243-F13-G13-H13</f>
        <v>0</v>
      </c>
      <c r="F13" s="182"/>
      <c r="G13" s="19">
        <f>'DOE25'!J207+'DOE25'!J225+'DOE25'!J243</f>
        <v>0</v>
      </c>
      <c r="H13" s="19">
        <f>'DOE25'!K207+'DOE25'!K225+'DOE25'!K243</f>
        <v>0</v>
      </c>
      <c r="I13" s="193"/>
    </row>
    <row r="14" spans="1:9" x14ac:dyDescent="0.2">
      <c r="A14" s="31">
        <v>2600</v>
      </c>
      <c r="B14" t="s">
        <v>819</v>
      </c>
      <c r="C14" s="208">
        <f t="shared" si="0"/>
        <v>651641.12</v>
      </c>
      <c r="D14" s="19">
        <f>'DOE25'!L208+'DOE25'!L226+'DOE25'!L244-F14-G14-H14</f>
        <v>648326.55000000005</v>
      </c>
      <c r="E14" s="181"/>
      <c r="F14" s="182"/>
      <c r="G14" s="19">
        <f>'DOE25'!J208+'DOE25'!J226+'DOE25'!J244</f>
        <v>3314.57</v>
      </c>
      <c r="H14" s="19">
        <f>'DOE25'!K208+'DOE25'!K226+'DOE25'!K244</f>
        <v>0</v>
      </c>
      <c r="I14" s="193"/>
    </row>
    <row r="15" spans="1:9" x14ac:dyDescent="0.2">
      <c r="A15" s="31">
        <v>2700</v>
      </c>
      <c r="B15" t="s">
        <v>799</v>
      </c>
      <c r="C15" s="208">
        <f t="shared" si="0"/>
        <v>543966.78</v>
      </c>
      <c r="D15" s="19">
        <f>'DOE25'!L209+'DOE25'!L227+'DOE25'!L245-F15-G15-H15</f>
        <v>543966.78</v>
      </c>
      <c r="E15" s="181"/>
      <c r="F15" s="182"/>
      <c r="G15" s="19">
        <f>'DOE25'!J209+'DOE25'!J227+'DOE25'!J245</f>
        <v>0</v>
      </c>
      <c r="H15" s="19">
        <f>'DOE25'!K209+'DOE25'!K227+'DOE25'!K245</f>
        <v>0</v>
      </c>
      <c r="I15" s="193"/>
    </row>
    <row r="16" spans="1:9" x14ac:dyDescent="0.2">
      <c r="A16" s="31">
        <v>2800</v>
      </c>
      <c r="B16" t="s">
        <v>800</v>
      </c>
      <c r="C16" s="208">
        <f t="shared" si="0"/>
        <v>0</v>
      </c>
      <c r="D16" s="181"/>
      <c r="E16" s="19">
        <f>'DOE25'!L210+'DOE25'!L228+'DOE25'!L246-F16-G16-H16</f>
        <v>0</v>
      </c>
      <c r="F16" s="182"/>
      <c r="G16" s="19">
        <f>'DOE25'!J210+'DOE25'!J228+'DOE25'!J246</f>
        <v>0</v>
      </c>
      <c r="H16" s="19">
        <f>'DOE25'!K210+'DOE25'!K228+'DOE25'!K246</f>
        <v>0</v>
      </c>
      <c r="I16" s="193"/>
    </row>
    <row r="17" spans="1:9" x14ac:dyDescent="0.2">
      <c r="A17" s="31">
        <v>1600</v>
      </c>
      <c r="B17" t="s">
        <v>801</v>
      </c>
      <c r="C17" s="208">
        <f t="shared" si="0"/>
        <v>0</v>
      </c>
      <c r="D17" s="19">
        <f>'DOE25'!L252-F17-G17-H17</f>
        <v>0</v>
      </c>
      <c r="E17" s="181"/>
      <c r="F17" s="182"/>
      <c r="G17" s="19">
        <f>'DOE25'!J252</f>
        <v>0</v>
      </c>
      <c r="H17" s="19">
        <f>'DOE25'!K252</f>
        <v>0</v>
      </c>
      <c r="I17" s="193"/>
    </row>
    <row r="18" spans="1:9" x14ac:dyDescent="0.2">
      <c r="A18" s="31">
        <v>1700</v>
      </c>
      <c r="B18" t="s">
        <v>802</v>
      </c>
      <c r="C18" s="208">
        <f t="shared" si="0"/>
        <v>0</v>
      </c>
      <c r="D18" s="19">
        <f>'DOE25'!L253-F18-G18-H18</f>
        <v>0</v>
      </c>
      <c r="E18" s="181"/>
      <c r="F18" s="182"/>
      <c r="G18" s="19">
        <f>'DOE25'!J253</f>
        <v>0</v>
      </c>
      <c r="H18" s="19">
        <f>'DOE25'!K253</f>
        <v>0</v>
      </c>
      <c r="I18" s="193"/>
    </row>
    <row r="19" spans="1:9" x14ac:dyDescent="0.2">
      <c r="A19" s="31">
        <v>1800</v>
      </c>
      <c r="B19" t="s">
        <v>803</v>
      </c>
      <c r="C19" s="208">
        <f t="shared" si="0"/>
        <v>0</v>
      </c>
      <c r="D19" s="19">
        <f>'DOE25'!L254-F19-G19-H19</f>
        <v>0</v>
      </c>
      <c r="E19" s="181"/>
      <c r="F19" s="182"/>
      <c r="G19" s="19">
        <f>'DOE25'!J254</f>
        <v>0</v>
      </c>
      <c r="H19" s="19">
        <f>'DOE25'!K254</f>
        <v>0</v>
      </c>
      <c r="I19" s="193"/>
    </row>
    <row r="20" spans="1:9" x14ac:dyDescent="0.2">
      <c r="C20" s="209"/>
      <c r="F20" s="203"/>
      <c r="I20" s="194"/>
    </row>
    <row r="21" spans="1:9" x14ac:dyDescent="0.2">
      <c r="B21" s="32" t="s">
        <v>791</v>
      </c>
      <c r="C21" s="209"/>
      <c r="F21" s="203"/>
      <c r="I21" s="194"/>
    </row>
    <row r="22" spans="1:9" x14ac:dyDescent="0.2">
      <c r="A22" s="31">
        <v>4000</v>
      </c>
      <c r="B22" t="s">
        <v>820</v>
      </c>
      <c r="C22" s="211">
        <f>SUM(D22:I22)</f>
        <v>59763.24</v>
      </c>
      <c r="D22" s="181"/>
      <c r="E22" s="181"/>
      <c r="F22" s="181"/>
      <c r="G22" s="19">
        <f>'DOE25'!L256+'DOE25'!L337</f>
        <v>59763.24</v>
      </c>
      <c r="H22" s="181"/>
      <c r="I22" s="193"/>
    </row>
    <row r="23" spans="1:9" x14ac:dyDescent="0.2">
      <c r="A23" s="31"/>
      <c r="C23" s="209"/>
      <c r="F23" s="203"/>
      <c r="I23" s="194"/>
    </row>
    <row r="24" spans="1:9" x14ac:dyDescent="0.2">
      <c r="A24" s="31"/>
      <c r="B24" s="32" t="s">
        <v>463</v>
      </c>
      <c r="C24" s="209"/>
      <c r="F24" s="203"/>
      <c r="I24" s="194"/>
    </row>
    <row r="25" spans="1:9" x14ac:dyDescent="0.2">
      <c r="A25" s="31" t="s">
        <v>804</v>
      </c>
      <c r="B25" t="s">
        <v>805</v>
      </c>
      <c r="C25" s="208">
        <f>SUM(D25:I25)</f>
        <v>392083.76</v>
      </c>
      <c r="D25" s="181"/>
      <c r="E25" s="181"/>
      <c r="F25" s="192"/>
      <c r="G25" s="181"/>
      <c r="H25" s="181"/>
      <c r="I25" s="191">
        <f>'DOE25'!L261+'DOE25'!L262+'DOE25'!L342+'DOE25'!L343</f>
        <v>392083.76</v>
      </c>
    </row>
    <row r="26" spans="1:9" x14ac:dyDescent="0.2">
      <c r="A26" s="31"/>
      <c r="C26" s="209"/>
      <c r="F26" s="203"/>
      <c r="I26" s="194"/>
    </row>
    <row r="27" spans="1:9" x14ac:dyDescent="0.2">
      <c r="A27" s="31"/>
      <c r="B27" s="32" t="s">
        <v>807</v>
      </c>
      <c r="C27" s="209"/>
      <c r="F27" s="203"/>
      <c r="I27" s="194"/>
    </row>
    <row r="28" spans="1:9" x14ac:dyDescent="0.2">
      <c r="A28" s="31">
        <v>3100</v>
      </c>
      <c r="B28" t="s">
        <v>816</v>
      </c>
      <c r="C28" s="209"/>
      <c r="F28" s="203"/>
      <c r="I28" s="194"/>
    </row>
    <row r="29" spans="1:9" x14ac:dyDescent="0.2">
      <c r="A29" s="31"/>
      <c r="B29" t="s">
        <v>808</v>
      </c>
      <c r="C29" s="208">
        <f>SUM(D29:I29)</f>
        <v>136751.5</v>
      </c>
      <c r="D29" s="214">
        <f>'DOE25'!L359+'DOE25'!L360+'DOE25'!L361-'DOE25'!I368-F29-G29-H29</f>
        <v>131984.45000000001</v>
      </c>
      <c r="E29" s="181"/>
      <c r="F29" s="182"/>
      <c r="G29" s="19">
        <f>'DOE25'!J359+'DOE25'!J360+'DOE25'!J361</f>
        <v>4767.05</v>
      </c>
      <c r="H29" s="19">
        <f>'DOE25'!K359+'DOE25'!K360+'DOE25'!K361</f>
        <v>0</v>
      </c>
      <c r="I29" s="193"/>
    </row>
    <row r="30" spans="1:9" x14ac:dyDescent="0.2">
      <c r="A30" s="31"/>
      <c r="C30" s="209"/>
      <c r="D30" s="19"/>
      <c r="F30" s="203"/>
      <c r="G30" s="19"/>
      <c r="H30" s="19"/>
      <c r="I30" s="193"/>
    </row>
    <row r="31" spans="1:9" x14ac:dyDescent="0.2">
      <c r="A31" s="31" t="s">
        <v>818</v>
      </c>
      <c r="B31" t="s">
        <v>817</v>
      </c>
      <c r="C31" s="208">
        <f>SUM(D31:I31)</f>
        <v>145121.07999999999</v>
      </c>
      <c r="D31" s="19">
        <f>'DOE25'!L291+'DOE25'!L310+'DOE25'!L329+'DOE25'!L334+'DOE25'!L335+'DOE25'!L336-F31-G31-H31</f>
        <v>145121.07999999999</v>
      </c>
      <c r="E31" s="181"/>
      <c r="F31" s="182"/>
      <c r="G31" s="19">
        <f>'DOE25'!J291+'DOE25'!J310+'DOE25'!J329+'DOE25'!J334+'DOE25'!J335+'DOE25'!J336</f>
        <v>0</v>
      </c>
      <c r="H31" s="19">
        <f>'DOE25'!K291+'DOE25'!K310+'DOE25'!K329+'DOE25'!K334+'DOE25'!K335+'DOE25'!K336</f>
        <v>0</v>
      </c>
      <c r="I31" s="193"/>
    </row>
    <row r="32" spans="1:9" ht="12" thickBot="1" x14ac:dyDescent="0.25">
      <c r="C32" s="209"/>
      <c r="G32" s="189"/>
      <c r="H32" s="189"/>
      <c r="I32" s="195"/>
    </row>
    <row r="33" spans="1:9" ht="12" thickTop="1" x14ac:dyDescent="0.2">
      <c r="B33" t="s">
        <v>809</v>
      </c>
      <c r="D33" s="183">
        <f t="shared" ref="D33:I33" si="1">SUM(D5:D31)</f>
        <v>13181357.120000001</v>
      </c>
      <c r="E33" s="183">
        <f t="shared" si="1"/>
        <v>438408.20999999996</v>
      </c>
      <c r="F33" s="183">
        <f t="shared" si="1"/>
        <v>0</v>
      </c>
      <c r="G33" s="183">
        <f t="shared" si="1"/>
        <v>160929.35</v>
      </c>
      <c r="H33" s="183">
        <f t="shared" si="1"/>
        <v>7950.79</v>
      </c>
      <c r="I33" s="183">
        <f t="shared" si="1"/>
        <v>392083.76</v>
      </c>
    </row>
    <row r="35" spans="1:9" ht="12" thickBot="1" x14ac:dyDescent="0.25">
      <c r="B35" s="189" t="s">
        <v>831</v>
      </c>
      <c r="D35" s="190">
        <f>E33</f>
        <v>438408.20999999996</v>
      </c>
      <c r="E35" s="186"/>
    </row>
    <row r="36" spans="1:9" ht="12" thickTop="1" x14ac:dyDescent="0.2">
      <c r="B36" t="s">
        <v>810</v>
      </c>
      <c r="D36" s="19">
        <f>D33</f>
        <v>13181357.120000001</v>
      </c>
    </row>
    <row r="38" spans="1:9" x14ac:dyDescent="0.2">
      <c r="B38" s="137" t="s">
        <v>901</v>
      </c>
      <c r="C38" s="198"/>
      <c r="D38" s="215"/>
    </row>
    <row r="39" spans="1:9" x14ac:dyDescent="0.2">
      <c r="B39" s="137" t="s">
        <v>815</v>
      </c>
      <c r="D39" s="216" t="str">
        <f>IF(E10&gt;0,"Y","N")</f>
        <v>N</v>
      </c>
    </row>
    <row r="41" spans="1:9" ht="12" x14ac:dyDescent="0.2">
      <c r="A41" s="212"/>
      <c r="B41" s="213" t="s">
        <v>767</v>
      </c>
      <c r="C41" s="212"/>
      <c r="D41" s="212"/>
      <c r="E41" s="212"/>
      <c r="F41" s="212"/>
      <c r="G41" s="212"/>
      <c r="H41" s="212"/>
      <c r="I41" s="212"/>
    </row>
    <row r="42" spans="1:9" ht="12" x14ac:dyDescent="0.2">
      <c r="A42" s="212"/>
      <c r="B42" s="212" t="s">
        <v>896</v>
      </c>
      <c r="C42" s="212"/>
      <c r="D42" s="212"/>
      <c r="E42" s="212"/>
      <c r="F42" s="212"/>
      <c r="G42" s="212"/>
      <c r="H42" s="212"/>
      <c r="I42" s="212"/>
    </row>
    <row r="43" spans="1:9" ht="12" x14ac:dyDescent="0.2">
      <c r="A43" s="212"/>
      <c r="B43" s="212" t="s">
        <v>813</v>
      </c>
      <c r="C43" s="212"/>
      <c r="D43" s="212"/>
      <c r="E43" s="212"/>
      <c r="F43" s="212"/>
      <c r="G43" s="212"/>
      <c r="H43" s="212"/>
      <c r="I43" s="212"/>
    </row>
    <row r="44" spans="1:9" ht="12" x14ac:dyDescent="0.2">
      <c r="A44" s="212"/>
      <c r="B44" s="212"/>
      <c r="C44" s="212"/>
      <c r="D44" s="212"/>
      <c r="E44" s="212"/>
      <c r="F44" s="212"/>
      <c r="G44" s="212"/>
      <c r="H44" s="212"/>
      <c r="I44" s="212"/>
    </row>
    <row r="45" spans="1:9" ht="12" x14ac:dyDescent="0.2">
      <c r="A45" s="212"/>
      <c r="B45" s="212" t="s">
        <v>897</v>
      </c>
      <c r="C45" s="212"/>
      <c r="D45" s="212"/>
      <c r="E45" s="212"/>
      <c r="F45" s="212"/>
      <c r="G45" s="212"/>
      <c r="H45" s="212"/>
      <c r="I45" s="212"/>
    </row>
    <row r="46" spans="1:9" ht="12" x14ac:dyDescent="0.2">
      <c r="A46" s="212"/>
      <c r="B46" s="212"/>
      <c r="C46" s="212"/>
      <c r="D46" s="212"/>
      <c r="E46" s="212"/>
      <c r="F46" s="212"/>
      <c r="G46" s="212"/>
      <c r="H46" s="212"/>
      <c r="I46" s="212"/>
    </row>
    <row r="47" spans="1:9" ht="12" x14ac:dyDescent="0.2">
      <c r="A47" s="212"/>
      <c r="B47" s="212" t="s">
        <v>900</v>
      </c>
      <c r="C47" s="212"/>
      <c r="D47" s="212"/>
      <c r="E47" s="212"/>
      <c r="F47" s="212"/>
      <c r="G47" s="212"/>
      <c r="H47" s="212"/>
      <c r="I47" s="212"/>
    </row>
    <row r="48" spans="1:9" ht="12" x14ac:dyDescent="0.2">
      <c r="A48" s="212"/>
      <c r="B48" s="212" t="s">
        <v>899</v>
      </c>
      <c r="C48" s="212"/>
      <c r="D48" s="212"/>
      <c r="E48" s="212"/>
      <c r="F48" s="212"/>
      <c r="G48" s="212"/>
      <c r="H48" s="212"/>
      <c r="I48" s="212"/>
    </row>
    <row r="49" spans="1:9" ht="12" x14ac:dyDescent="0.2">
      <c r="A49" s="212"/>
      <c r="B49" s="212" t="s">
        <v>898</v>
      </c>
      <c r="C49" s="212"/>
      <c r="D49" s="212"/>
      <c r="E49" s="212"/>
      <c r="F49" s="212"/>
      <c r="G49" s="212"/>
      <c r="H49" s="212"/>
      <c r="I49" s="212"/>
    </row>
    <row r="50" spans="1:9" ht="12" x14ac:dyDescent="0.2">
      <c r="A50" s="212"/>
      <c r="B50" s="212" t="s">
        <v>895</v>
      </c>
      <c r="C50" s="212"/>
      <c r="D50" s="212"/>
      <c r="E50" s="212"/>
      <c r="F50" s="212"/>
      <c r="G50" s="212"/>
      <c r="H50" s="212"/>
      <c r="I50" s="212"/>
    </row>
    <row r="51" spans="1:9" ht="12" x14ac:dyDescent="0.2">
      <c r="A51" s="212"/>
      <c r="B51" s="212" t="s">
        <v>814</v>
      </c>
      <c r="C51" s="212"/>
      <c r="D51" s="212"/>
      <c r="E51" s="212"/>
      <c r="F51" s="212"/>
      <c r="G51" s="212"/>
      <c r="H51" s="212"/>
      <c r="I51" s="212"/>
    </row>
    <row r="52" spans="1:9" ht="12" x14ac:dyDescent="0.2">
      <c r="A52" s="212"/>
      <c r="B52" s="212"/>
      <c r="C52" s="212"/>
      <c r="D52" s="212"/>
      <c r="E52" s="212"/>
      <c r="F52" s="212"/>
      <c r="G52" s="212"/>
      <c r="H52" s="212"/>
      <c r="I52" s="212"/>
    </row>
    <row r="53" spans="1:9" ht="49.5" customHeight="1" x14ac:dyDescent="0.2">
      <c r="A53" s="212"/>
      <c r="B53" s="274" t="s">
        <v>903</v>
      </c>
      <c r="C53" s="274"/>
      <c r="D53" s="274"/>
      <c r="E53" s="274"/>
      <c r="F53" s="274"/>
      <c r="G53" s="274"/>
      <c r="H53" s="274"/>
      <c r="I53" s="21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907</v>
      </c>
      <c r="B1" t="s">
        <v>908</v>
      </c>
      <c r="D1" s="32" t="s">
        <v>1581</v>
      </c>
    </row>
    <row r="2" spans="1:18" ht="12" thickBot="1" x14ac:dyDescent="0.25">
      <c r="A2" s="225" t="str">
        <f>'DOE25'!A2</f>
        <v>Hanover School District</v>
      </c>
      <c r="B2">
        <f>'DOE25'!B2</f>
        <v>233</v>
      </c>
    </row>
    <row r="3" spans="1:18" ht="36.75" customHeight="1" thickBot="1" x14ac:dyDescent="0.3">
      <c r="A3" s="226" t="s">
        <v>1554</v>
      </c>
      <c r="B3" s="227"/>
      <c r="C3" s="227"/>
      <c r="D3" s="228" t="s">
        <v>1555</v>
      </c>
      <c r="E3" s="228" t="s">
        <v>1556</v>
      </c>
      <c r="F3" s="229" t="s">
        <v>1563</v>
      </c>
      <c r="G3" s="230" t="s">
        <v>1564</v>
      </c>
      <c r="H3" s="231" t="s">
        <v>1544</v>
      </c>
      <c r="N3" s="219"/>
      <c r="O3" s="219"/>
      <c r="P3" s="219"/>
      <c r="Q3" s="219"/>
      <c r="R3" s="220"/>
    </row>
    <row r="4" spans="1:18" ht="11.25" customHeight="1" thickBot="1" x14ac:dyDescent="0.25">
      <c r="A4" s="228" t="s">
        <v>1542</v>
      </c>
      <c r="B4" s="228" t="s">
        <v>1543</v>
      </c>
      <c r="C4" s="228" t="s">
        <v>907</v>
      </c>
      <c r="D4" s="228" t="s">
        <v>786</v>
      </c>
      <c r="E4" s="228" t="s">
        <v>786</v>
      </c>
      <c r="F4" s="232">
        <f>SUM(F5:F20)</f>
        <v>12708120.530000001</v>
      </c>
      <c r="G4" s="233">
        <f>'DOE25'!L212+'DOE25'!L291</f>
        <v>12708120.529999999</v>
      </c>
      <c r="H4" s="260">
        <f>F4-G4</f>
        <v>0</v>
      </c>
      <c r="I4" s="238" t="str">
        <f>IF(H4=0,"","Does not match DOE25 page 7 and 11 Totals!!")</f>
        <v/>
      </c>
      <c r="N4"/>
    </row>
    <row r="5" spans="1:18" x14ac:dyDescent="0.2">
      <c r="A5" s="20" t="s">
        <v>1099</v>
      </c>
      <c r="B5" s="234">
        <f>IFERROR(VLOOKUP(A5,'School Tables'!$C$3:$D$365,2,FALSE),"")</f>
        <v>20830</v>
      </c>
      <c r="C5" s="227" t="str">
        <f>IFERROR(INDEX('School Tables'!$B$3:$B$365,MATCH('School Level Expenditures'!B5,'School Tables'!$D$3:$D$365,0)),"")</f>
        <v>Hanover</v>
      </c>
      <c r="D5" s="224">
        <v>12589079.530000001</v>
      </c>
      <c r="E5" s="224">
        <v>119041</v>
      </c>
      <c r="F5" s="241">
        <f>D5+E5</f>
        <v>12708120.530000001</v>
      </c>
      <c r="G5" s="227"/>
      <c r="H5" s="227"/>
      <c r="N5"/>
    </row>
    <row r="6" spans="1:18" x14ac:dyDescent="0.2">
      <c r="A6" s="20"/>
      <c r="B6" s="234" t="str">
        <f>IFERROR(VLOOKUP(A6,'School Tables'!$C$3:$D$365,2,FALSE),"")</f>
        <v/>
      </c>
      <c r="C6" s="227" t="str">
        <f>IFERROR(INDEX('School Tables'!$B$3:$B$365,MATCH('School Level Expenditures'!B6,'School Tables'!$D$3:$D$365,0)),"")</f>
        <v/>
      </c>
      <c r="D6" s="224"/>
      <c r="E6" s="224"/>
      <c r="F6" s="236">
        <f t="shared" ref="F6:F20" si="0">D6+E6</f>
        <v>0</v>
      </c>
      <c r="G6" s="227"/>
      <c r="H6" s="227"/>
      <c r="N6"/>
    </row>
    <row r="7" spans="1:18" x14ac:dyDescent="0.2">
      <c r="A7" s="20"/>
      <c r="B7" s="234" t="str">
        <f>IFERROR(VLOOKUP(A7,'School Tables'!$C$3:$D$365,2,FALSE),"")</f>
        <v/>
      </c>
      <c r="C7" s="227" t="str">
        <f>IFERROR(INDEX('School Tables'!$B$3:$B$365,MATCH('School Level Expenditures'!B7,'School Tables'!$D$3:$D$365,0)),"")</f>
        <v/>
      </c>
      <c r="D7" s="224"/>
      <c r="E7" s="224"/>
      <c r="F7" s="236">
        <f t="shared" si="0"/>
        <v>0</v>
      </c>
      <c r="G7" s="227"/>
      <c r="H7" s="227"/>
      <c r="N7"/>
    </row>
    <row r="8" spans="1:18" x14ac:dyDescent="0.2">
      <c r="A8" s="20"/>
      <c r="B8" s="234" t="str">
        <f>IFERROR(VLOOKUP(A8,'School Tables'!$C$3:$D$365,2,FALSE),"")</f>
        <v/>
      </c>
      <c r="C8" s="227" t="str">
        <f>IFERROR(INDEX('School Tables'!$B$3:$B$365,MATCH('School Level Expenditures'!B8,'School Tables'!$D$3:$D$365,0)),"")</f>
        <v/>
      </c>
      <c r="D8" s="224"/>
      <c r="E8" s="224"/>
      <c r="F8" s="236">
        <f t="shared" si="0"/>
        <v>0</v>
      </c>
      <c r="G8" s="227"/>
      <c r="H8" s="227"/>
      <c r="N8"/>
    </row>
    <row r="9" spans="1:18" x14ac:dyDescent="0.2">
      <c r="A9" s="20"/>
      <c r="B9" s="234" t="str">
        <f>IFERROR(VLOOKUP(A9,'School Tables'!$C$3:$D$365,2,FALSE),"")</f>
        <v/>
      </c>
      <c r="C9" s="227" t="str">
        <f>IFERROR(INDEX('School Tables'!$B$3:$B$365,MATCH('School Level Expenditures'!B9,'School Tables'!$D$3:$D$365,0)),"")</f>
        <v/>
      </c>
      <c r="D9" s="224"/>
      <c r="E9" s="224"/>
      <c r="F9" s="236">
        <f t="shared" si="0"/>
        <v>0</v>
      </c>
      <c r="G9" s="227"/>
      <c r="H9" s="227"/>
      <c r="N9"/>
    </row>
    <row r="10" spans="1:18" x14ac:dyDescent="0.2">
      <c r="A10" s="20"/>
      <c r="B10" s="234" t="str">
        <f>IFERROR(VLOOKUP(A10,'School Tables'!$C$3:$D$365,2,FALSE),"")</f>
        <v/>
      </c>
      <c r="C10" s="227" t="str">
        <f>IFERROR(INDEX('School Tables'!$B$3:$B$365,MATCH('School Level Expenditures'!B10,'School Tables'!$D$3:$D$365,0)),"")</f>
        <v/>
      </c>
      <c r="D10" s="224"/>
      <c r="E10" s="224"/>
      <c r="F10" s="236">
        <f t="shared" si="0"/>
        <v>0</v>
      </c>
      <c r="G10" s="227"/>
      <c r="H10" s="227"/>
      <c r="N10"/>
    </row>
    <row r="11" spans="1:18" x14ac:dyDescent="0.2">
      <c r="A11" s="20"/>
      <c r="B11" s="234" t="str">
        <f>IFERROR(VLOOKUP(A11,'School Tables'!$C$3:$D$365,2,FALSE),"")</f>
        <v/>
      </c>
      <c r="C11" s="227" t="str">
        <f>IFERROR(INDEX('School Tables'!$B$3:$B$365,MATCH('School Level Expenditures'!B11,'School Tables'!$D$3:$D$365,0)),"")</f>
        <v/>
      </c>
      <c r="D11" s="224"/>
      <c r="E11" s="224"/>
      <c r="F11" s="236">
        <f t="shared" si="0"/>
        <v>0</v>
      </c>
      <c r="G11" s="227"/>
      <c r="H11" s="227"/>
      <c r="N11"/>
    </row>
    <row r="12" spans="1:18" x14ac:dyDescent="0.2">
      <c r="A12" s="20"/>
      <c r="B12" s="234" t="str">
        <f>IFERROR(VLOOKUP(A12,'School Tables'!$C$3:$D$365,2,FALSE),"")</f>
        <v/>
      </c>
      <c r="C12" s="227" t="str">
        <f>IFERROR(INDEX('School Tables'!$B$3:$B$365,MATCH('School Level Expenditures'!B12,'School Tables'!$D$3:$D$365,0)),"")</f>
        <v/>
      </c>
      <c r="D12" s="224"/>
      <c r="E12" s="224"/>
      <c r="F12" s="236">
        <f t="shared" si="0"/>
        <v>0</v>
      </c>
      <c r="G12" s="227"/>
      <c r="H12" s="227"/>
      <c r="N12"/>
    </row>
    <row r="13" spans="1:18" x14ac:dyDescent="0.2">
      <c r="A13" s="20"/>
      <c r="B13" s="234" t="str">
        <f>IFERROR(VLOOKUP(A13,'School Tables'!$C$3:$D$365,2,FALSE),"")</f>
        <v/>
      </c>
      <c r="C13" s="227" t="str">
        <f>IFERROR(INDEX('School Tables'!$B$3:$B$365,MATCH('School Level Expenditures'!B13,'School Tables'!$D$3:$D$365,0)),"")</f>
        <v/>
      </c>
      <c r="D13" s="224"/>
      <c r="E13" s="224"/>
      <c r="F13" s="236">
        <f t="shared" si="0"/>
        <v>0</v>
      </c>
      <c r="G13" s="227"/>
      <c r="H13" s="227"/>
      <c r="N13"/>
    </row>
    <row r="14" spans="1:18" x14ac:dyDescent="0.2">
      <c r="A14" s="20"/>
      <c r="B14" s="234" t="str">
        <f>IFERROR(VLOOKUP(A14,'School Tables'!$C$3:$D$365,2,FALSE),"")</f>
        <v/>
      </c>
      <c r="C14" s="227" t="str">
        <f>IFERROR(INDEX('School Tables'!$B$3:$B$365,MATCH('School Level Expenditures'!B14,'School Tables'!$D$3:$D$365,0)),"")</f>
        <v/>
      </c>
      <c r="D14" s="224"/>
      <c r="E14" s="224"/>
      <c r="F14" s="236">
        <f t="shared" si="0"/>
        <v>0</v>
      </c>
      <c r="G14" s="227"/>
      <c r="H14" s="227"/>
      <c r="N14"/>
    </row>
    <row r="15" spans="1:18" x14ac:dyDescent="0.2">
      <c r="A15" s="20"/>
      <c r="B15" s="234" t="str">
        <f>IFERROR(VLOOKUP(A15,'School Tables'!$C$3:$D$365,2,FALSE),"")</f>
        <v/>
      </c>
      <c r="C15" s="227" t="str">
        <f>IFERROR(INDEX('School Tables'!$B$3:$B$365,MATCH('School Level Expenditures'!B15,'School Tables'!$D$3:$D$365,0)),"")</f>
        <v/>
      </c>
      <c r="D15" s="224"/>
      <c r="E15" s="224"/>
      <c r="F15" s="236">
        <f t="shared" si="0"/>
        <v>0</v>
      </c>
      <c r="G15" s="227"/>
      <c r="H15" s="227"/>
      <c r="N15"/>
    </row>
    <row r="16" spans="1:18" x14ac:dyDescent="0.2">
      <c r="A16" s="20"/>
      <c r="B16" s="234" t="str">
        <f>IFERROR(VLOOKUP(A16,'School Tables'!$C$3:$D$365,2,FALSE),"")</f>
        <v/>
      </c>
      <c r="C16" s="227" t="str">
        <f>IFERROR(INDEX('School Tables'!$B$3:$B$365,MATCH('School Level Expenditures'!B16,'School Tables'!$D$3:$D$365,0)),"")</f>
        <v/>
      </c>
      <c r="D16" s="224"/>
      <c r="E16" s="224"/>
      <c r="F16" s="236">
        <f t="shared" si="0"/>
        <v>0</v>
      </c>
      <c r="G16" s="227"/>
      <c r="H16" s="227"/>
      <c r="N16"/>
    </row>
    <row r="17" spans="1:14" x14ac:dyDescent="0.2">
      <c r="A17" s="20"/>
      <c r="B17" s="234" t="str">
        <f>IFERROR(VLOOKUP(A17,'School Tables'!$C$3:$D$365,2,FALSE),"")</f>
        <v/>
      </c>
      <c r="C17" s="227" t="str">
        <f>IFERROR(INDEX('School Tables'!$B$3:$B$365,MATCH('School Level Expenditures'!B17,'School Tables'!$D$3:$D$365,0)),"")</f>
        <v/>
      </c>
      <c r="D17" s="224"/>
      <c r="E17" s="224"/>
      <c r="F17" s="236">
        <f t="shared" si="0"/>
        <v>0</v>
      </c>
      <c r="G17" s="227"/>
      <c r="H17" s="227"/>
      <c r="N17"/>
    </row>
    <row r="18" spans="1:14" x14ac:dyDescent="0.2">
      <c r="A18" s="20"/>
      <c r="B18" s="234" t="str">
        <f>IFERROR(VLOOKUP(A18,'School Tables'!$C$3:$D$365,2,FALSE),"")</f>
        <v/>
      </c>
      <c r="C18" s="227" t="str">
        <f>IFERROR(INDEX('School Tables'!$B$3:$B$365,MATCH('School Level Expenditures'!B18,'School Tables'!$D$3:$D$365,0)),"")</f>
        <v/>
      </c>
      <c r="D18" s="224"/>
      <c r="E18" s="224"/>
      <c r="F18" s="236">
        <f t="shared" si="0"/>
        <v>0</v>
      </c>
      <c r="G18" s="227"/>
      <c r="H18" s="227"/>
      <c r="N18"/>
    </row>
    <row r="19" spans="1:14" x14ac:dyDescent="0.2">
      <c r="A19" s="20"/>
      <c r="B19" s="234" t="str">
        <f>IFERROR(VLOOKUP(A19,'School Tables'!$C$3:$D$365,2,FALSE),"")</f>
        <v/>
      </c>
      <c r="C19" s="227" t="str">
        <f>IFERROR(INDEX('School Tables'!$B$3:$B$365,MATCH('School Level Expenditures'!B19,'School Tables'!$D$3:$D$365,0)),"")</f>
        <v/>
      </c>
      <c r="D19" s="224"/>
      <c r="E19" s="224"/>
      <c r="F19" s="236">
        <f t="shared" si="0"/>
        <v>0</v>
      </c>
      <c r="G19" s="227"/>
      <c r="H19" s="227"/>
      <c r="N19"/>
    </row>
    <row r="20" spans="1:14" x14ac:dyDescent="0.2">
      <c r="A20" s="20"/>
      <c r="B20" s="234" t="str">
        <f>IFERROR(VLOOKUP(A20,'School Tables'!$C$3:$D$365,2,FALSE),"")</f>
        <v/>
      </c>
      <c r="C20" s="227" t="str">
        <f>IFERROR(INDEX('School Tables'!$B$3:$B$365,MATCH('School Level Expenditures'!B20,'School Tables'!$D$3:$D$365,0)),"")</f>
        <v/>
      </c>
      <c r="D20" s="224"/>
      <c r="E20" s="224"/>
      <c r="F20" s="236">
        <f t="shared" si="0"/>
        <v>0</v>
      </c>
      <c r="G20" s="227"/>
      <c r="H20" s="227"/>
      <c r="N20"/>
    </row>
    <row r="21" spans="1:14" x14ac:dyDescent="0.2">
      <c r="A21" s="20"/>
      <c r="B21" s="235"/>
      <c r="C21" s="221"/>
      <c r="D21" s="224"/>
      <c r="E21" s="224"/>
      <c r="F21" s="221"/>
      <c r="G21" s="221"/>
      <c r="H21" s="221"/>
      <c r="N21"/>
    </row>
    <row r="22" spans="1:14" ht="12" thickBot="1" x14ac:dyDescent="0.25">
      <c r="A22" s="20"/>
      <c r="B22" s="235"/>
      <c r="C22" s="221"/>
      <c r="D22" s="224"/>
      <c r="E22" s="224"/>
      <c r="F22" s="221"/>
      <c r="G22" s="221"/>
      <c r="H22" s="221"/>
      <c r="N22"/>
    </row>
    <row r="23" spans="1:14" ht="34.5" x14ac:dyDescent="0.25">
      <c r="A23" s="222" t="s">
        <v>1557</v>
      </c>
      <c r="B23" s="227"/>
      <c r="C23" s="227"/>
      <c r="D23" s="228" t="s">
        <v>1555</v>
      </c>
      <c r="E23" s="228" t="s">
        <v>1556</v>
      </c>
      <c r="F23" s="229" t="s">
        <v>1563</v>
      </c>
      <c r="G23" s="230" t="s">
        <v>1565</v>
      </c>
      <c r="H23" s="231" t="s">
        <v>1544</v>
      </c>
      <c r="N23"/>
    </row>
    <row r="24" spans="1:14" ht="12" thickBot="1" x14ac:dyDescent="0.25">
      <c r="A24" s="223" t="s">
        <v>1558</v>
      </c>
      <c r="B24" s="228" t="s">
        <v>1559</v>
      </c>
      <c r="C24" s="228" t="s">
        <v>907</v>
      </c>
      <c r="D24" s="228" t="s">
        <v>786</v>
      </c>
      <c r="E24" s="228" t="s">
        <v>786</v>
      </c>
      <c r="F24" s="237">
        <f>SUM(F25:F32)</f>
        <v>183483.46</v>
      </c>
      <c r="G24" s="233">
        <f>'DOE25'!L230+'DOE25'!L310</f>
        <v>183483.46000000002</v>
      </c>
      <c r="H24" s="260">
        <f>F24-G24</f>
        <v>0</v>
      </c>
      <c r="I24" s="238" t="str">
        <f>IF(H24=0,"","Does not match DOE25 page 8 and 12 Totals!!")</f>
        <v/>
      </c>
      <c r="N24"/>
    </row>
    <row r="25" spans="1:14" x14ac:dyDescent="0.2">
      <c r="A25" s="20" t="s">
        <v>1562</v>
      </c>
      <c r="B25" s="234">
        <f>IFERROR(VLOOKUP(A25,'School Tables'!$I$3:$J$80,2,FALSE),"")</f>
        <v>99999</v>
      </c>
      <c r="C25" s="227" t="str">
        <f t="array" ref="C25">IFERROR(INDEX('School Tables'!$H$3:$H$80,MATCH('School Level Expenditures'!B25,'School Tables'!$J$3:$J$80,0)),"")</f>
        <v>Other District Expenditures</v>
      </c>
      <c r="D25" s="224">
        <v>183483.46</v>
      </c>
      <c r="E25" s="224"/>
      <c r="F25" s="236">
        <f>D25+E25</f>
        <v>183483.46</v>
      </c>
      <c r="G25" s="227"/>
      <c r="H25" s="227"/>
      <c r="N25"/>
    </row>
    <row r="26" spans="1:14" x14ac:dyDescent="0.2">
      <c r="A26" s="20"/>
      <c r="B26" s="234" t="str">
        <f>IFERROR(VLOOKUP(A26,'School Tables'!$I$3:$J$80,2,FALSE),"")</f>
        <v/>
      </c>
      <c r="C26" s="227" t="str">
        <f t="array" ref="C26">IFERROR(INDEX('School Tables'!$H$3:$H$80,MATCH('School Level Expenditures'!B26,'School Tables'!$J$3:$J$80,0)),"")</f>
        <v/>
      </c>
      <c r="D26" s="224"/>
      <c r="E26" s="224"/>
      <c r="F26" s="236">
        <f t="shared" ref="F26:F32" si="1">D26+E26</f>
        <v>0</v>
      </c>
      <c r="G26" s="227"/>
      <c r="H26" s="227"/>
      <c r="N26"/>
    </row>
    <row r="27" spans="1:14" x14ac:dyDescent="0.2">
      <c r="A27" s="20"/>
      <c r="B27" s="234" t="str">
        <f>IFERROR(VLOOKUP(A27,'School Tables'!$I$3:$J$80,2,FALSE),"")</f>
        <v/>
      </c>
      <c r="C27" s="227" t="str">
        <f t="array" ref="C27">IFERROR(INDEX('School Tables'!$H$3:$H$80,MATCH('School Level Expenditures'!B27,'School Tables'!$J$3:$J$80,0)),"")</f>
        <v/>
      </c>
      <c r="D27" s="224"/>
      <c r="E27" s="224"/>
      <c r="F27" s="236">
        <f t="shared" si="1"/>
        <v>0</v>
      </c>
      <c r="G27" s="227"/>
      <c r="H27" s="227"/>
      <c r="N27"/>
    </row>
    <row r="28" spans="1:14" x14ac:dyDescent="0.2">
      <c r="A28" s="20"/>
      <c r="B28" s="234" t="str">
        <f>IFERROR(VLOOKUP(A28,'School Tables'!$I$3:$J$80,2,FALSE),"")</f>
        <v/>
      </c>
      <c r="C28" s="227" t="str">
        <f t="array" ref="C28">IFERROR(INDEX('School Tables'!$H$3:$H$80,MATCH('School Level Expenditures'!B28,'School Tables'!$J$3:$J$80,0)),"")</f>
        <v/>
      </c>
      <c r="D28" s="224"/>
      <c r="E28" s="224"/>
      <c r="F28" s="236">
        <f t="shared" si="1"/>
        <v>0</v>
      </c>
      <c r="G28" s="227"/>
      <c r="H28" s="227"/>
      <c r="N28"/>
    </row>
    <row r="29" spans="1:14" x14ac:dyDescent="0.2">
      <c r="A29" s="20"/>
      <c r="B29" s="234" t="str">
        <f>IFERROR(VLOOKUP(A29,'School Tables'!$I$3:$J$80,2,FALSE),"")</f>
        <v/>
      </c>
      <c r="C29" s="227" t="str">
        <f t="array" ref="C29">IFERROR(INDEX('School Tables'!$H$3:$H$80,MATCH('School Level Expenditures'!B29,'School Tables'!$J$3:$J$80,0)),"")</f>
        <v/>
      </c>
      <c r="D29" s="224"/>
      <c r="E29" s="224"/>
      <c r="F29" s="236">
        <f t="shared" si="1"/>
        <v>0</v>
      </c>
      <c r="G29" s="227"/>
      <c r="H29" s="227"/>
      <c r="N29"/>
    </row>
    <row r="30" spans="1:14" x14ac:dyDescent="0.2">
      <c r="A30" s="20"/>
      <c r="B30" s="234" t="str">
        <f>IFERROR(VLOOKUP(A30,'School Tables'!$I$3:$J$80,2,FALSE),"")</f>
        <v/>
      </c>
      <c r="C30" s="227" t="str">
        <f t="array" ref="C30">IFERROR(INDEX('School Tables'!$H$3:$H$80,MATCH('School Level Expenditures'!B30,'School Tables'!$J$3:$J$80,0)),"")</f>
        <v/>
      </c>
      <c r="D30" s="224"/>
      <c r="E30" s="224"/>
      <c r="F30" s="236">
        <f t="shared" si="1"/>
        <v>0</v>
      </c>
      <c r="G30" s="227"/>
      <c r="H30" s="227"/>
      <c r="N30"/>
    </row>
    <row r="31" spans="1:14" x14ac:dyDescent="0.2">
      <c r="A31" s="20"/>
      <c r="B31" s="234" t="str">
        <f>IFERROR(VLOOKUP(A31,'School Tables'!$I$3:$J$80,2,FALSE),"")</f>
        <v/>
      </c>
      <c r="C31" s="227" t="str">
        <f t="array" ref="C31">IFERROR(INDEX('School Tables'!$H$3:$H$80,MATCH('School Level Expenditures'!B31,'School Tables'!$J$3:$J$80,0)),"")</f>
        <v/>
      </c>
      <c r="D31" s="224"/>
      <c r="E31" s="224"/>
      <c r="F31" s="236">
        <f t="shared" si="1"/>
        <v>0</v>
      </c>
      <c r="G31" s="227"/>
      <c r="H31" s="227"/>
      <c r="N31"/>
    </row>
    <row r="32" spans="1:14" x14ac:dyDescent="0.2">
      <c r="A32" s="20"/>
      <c r="B32" s="234" t="str">
        <f>IFERROR(VLOOKUP(A32,'School Tables'!$I$3:$J$80,2,FALSE),"")</f>
        <v/>
      </c>
      <c r="C32" s="227" t="str">
        <f t="array" ref="C32">IFERROR(INDEX('School Tables'!$H$3:$H$80,MATCH('School Level Expenditures'!B32,'School Tables'!$J$3:$J$80,0)),"")</f>
        <v/>
      </c>
      <c r="D32" s="224"/>
      <c r="E32" s="224"/>
      <c r="F32" s="236">
        <f t="shared" si="1"/>
        <v>0</v>
      </c>
      <c r="G32" s="227"/>
      <c r="H32" s="227"/>
      <c r="N32"/>
    </row>
    <row r="33" spans="1:14" x14ac:dyDescent="0.2">
      <c r="A33" s="20"/>
      <c r="B33" s="235"/>
      <c r="C33" s="221"/>
      <c r="D33" s="224"/>
      <c r="E33" s="224"/>
      <c r="F33" s="221"/>
      <c r="G33" s="221"/>
      <c r="H33" s="221"/>
      <c r="N33"/>
    </row>
    <row r="34" spans="1:14" ht="12" thickBot="1" x14ac:dyDescent="0.25">
      <c r="A34" s="20"/>
      <c r="B34" s="235"/>
      <c r="C34" s="221"/>
      <c r="D34" s="224"/>
      <c r="E34" s="224"/>
      <c r="F34" s="221"/>
      <c r="G34" s="221"/>
      <c r="H34" s="221"/>
      <c r="N34"/>
    </row>
    <row r="35" spans="1:14" ht="34.5" x14ac:dyDescent="0.25">
      <c r="A35" s="222" t="s">
        <v>367</v>
      </c>
      <c r="B35" s="227"/>
      <c r="C35" s="227"/>
      <c r="D35" s="228" t="s">
        <v>1555</v>
      </c>
      <c r="E35" s="228" t="s">
        <v>1556</v>
      </c>
      <c r="F35" s="229" t="s">
        <v>1563</v>
      </c>
      <c r="G35" s="230" t="s">
        <v>1566</v>
      </c>
      <c r="H35" s="231" t="s">
        <v>1544</v>
      </c>
      <c r="N35"/>
    </row>
    <row r="36" spans="1:14" ht="12" thickBot="1" x14ac:dyDescent="0.25">
      <c r="A36" s="223" t="s">
        <v>1560</v>
      </c>
      <c r="B36" s="228" t="s">
        <v>1561</v>
      </c>
      <c r="C36" s="228" t="s">
        <v>907</v>
      </c>
      <c r="D36" s="228" t="s">
        <v>786</v>
      </c>
      <c r="E36" s="228" t="s">
        <v>786</v>
      </c>
      <c r="F36" s="237">
        <f>SUM(F37:F41)</f>
        <v>700526.74</v>
      </c>
      <c r="G36" s="233">
        <f>'DOE25'!L248+'DOE25'!L329</f>
        <v>700526.74</v>
      </c>
      <c r="H36" s="260">
        <f>F36-G36</f>
        <v>0</v>
      </c>
      <c r="I36" s="238" t="str">
        <f>IF(H36=0,"","Does not match DOE25 page 9 and 13 Totals!!")</f>
        <v/>
      </c>
      <c r="N36"/>
    </row>
    <row r="37" spans="1:14" x14ac:dyDescent="0.2">
      <c r="A37" s="20" t="s">
        <v>1562</v>
      </c>
      <c r="B37" s="234">
        <f>IFERROR(VLOOKUP(A37,'School Tables'!$O$3:$P$118,2,FALSE),"")</f>
        <v>99999</v>
      </c>
      <c r="C37" s="227" t="str">
        <f t="array" ref="C37">IFERROR(INDEX('School Tables'!$N$3:$N$118,MATCH('School Level Expenditures'!B37,'School Tables'!$P$3:$P$118,0)),"")</f>
        <v>Other District Expenditures</v>
      </c>
      <c r="D37" s="224">
        <v>700526.74</v>
      </c>
      <c r="E37" s="224"/>
      <c r="F37" s="236">
        <f>D37+E37</f>
        <v>700526.74</v>
      </c>
      <c r="G37" s="227"/>
      <c r="H37" s="227"/>
      <c r="N37"/>
    </row>
    <row r="38" spans="1:14" x14ac:dyDescent="0.2">
      <c r="A38" s="20"/>
      <c r="B38" s="234" t="str">
        <f>IFERROR(VLOOKUP(A38,'School Tables'!$O$3:$P$118,2,FALSE),"")</f>
        <v/>
      </c>
      <c r="C38" s="227" t="str">
        <f t="array" ref="C38">IFERROR(INDEX('School Tables'!$N$3:$N$118,MATCH('School Level Expenditures'!B38,'School Tables'!$P$3:$P$118,0)),"")</f>
        <v/>
      </c>
      <c r="D38" s="224"/>
      <c r="E38" s="224"/>
      <c r="F38" s="236">
        <f t="shared" ref="F38:F41" si="2">D38+E38</f>
        <v>0</v>
      </c>
      <c r="G38" s="227"/>
      <c r="H38" s="227"/>
      <c r="N38"/>
    </row>
    <row r="39" spans="1:14" x14ac:dyDescent="0.2">
      <c r="A39" s="20"/>
      <c r="B39" s="234" t="str">
        <f>IFERROR(VLOOKUP(A39,'School Tables'!$O$3:$P$118,2,FALSE),"")</f>
        <v/>
      </c>
      <c r="C39" s="227" t="str">
        <f t="array" ref="C39">IFERROR(INDEX('School Tables'!$N$3:$N$118,MATCH('School Level Expenditures'!B39,'School Tables'!$P$3:$P$118,0)),"")</f>
        <v/>
      </c>
      <c r="D39" s="224"/>
      <c r="E39" s="224"/>
      <c r="F39" s="236">
        <f t="shared" si="2"/>
        <v>0</v>
      </c>
      <c r="G39" s="227"/>
      <c r="H39" s="227"/>
      <c r="N39"/>
    </row>
    <row r="40" spans="1:14" x14ac:dyDescent="0.2">
      <c r="A40" s="20"/>
      <c r="B40" s="234" t="str">
        <f>IFERROR(VLOOKUP(A40,'School Tables'!$O$3:$P$118,2,FALSE),"")</f>
        <v/>
      </c>
      <c r="C40" s="227" t="str">
        <f t="array" ref="C40">IFERROR(INDEX('School Tables'!$N$3:$N$118,MATCH('School Level Expenditures'!B40,'School Tables'!$P$3:$P$118,0)),"")</f>
        <v/>
      </c>
      <c r="D40" s="224"/>
      <c r="E40" s="224"/>
      <c r="F40" s="236">
        <f t="shared" si="2"/>
        <v>0</v>
      </c>
      <c r="G40" s="227"/>
      <c r="H40" s="227"/>
      <c r="N40"/>
    </row>
    <row r="41" spans="1:14" x14ac:dyDescent="0.2">
      <c r="A41" s="20"/>
      <c r="B41" s="234" t="str">
        <f>IFERROR(VLOOKUP(A41,'School Tables'!$O$3:$P$118,2,FALSE),"")</f>
        <v/>
      </c>
      <c r="C41" s="227" t="str">
        <f t="array" ref="C41">IFERROR(INDEX('School Tables'!$N$3:$N$118,MATCH('School Level Expenditures'!B41,'School Tables'!$P$3:$P$118,0)),"")</f>
        <v/>
      </c>
      <c r="D41" s="20"/>
      <c r="E41" s="20"/>
      <c r="F41" s="236">
        <f t="shared" si="2"/>
        <v>0</v>
      </c>
      <c r="G41" s="227"/>
      <c r="H41" s="227"/>
      <c r="N41"/>
    </row>
    <row r="42" spans="1:14" x14ac:dyDescent="0.2">
      <c r="A42" s="20"/>
      <c r="B42" s="234" t="str">
        <f>IFERROR(VLOOKUP(A42,'School Tables'!$O$3:$P$118,2,FALSE),"")</f>
        <v/>
      </c>
      <c r="C42" s="227" t="str">
        <f t="array" ref="C42">IFERROR(INDEX('School Tables'!$N$3:$N$118,MATCH('School Level Expenditures'!B42,'School Tables'!$P$3:$P$118,0)),"")</f>
        <v/>
      </c>
      <c r="D42" s="20"/>
      <c r="E42" s="20"/>
      <c r="F42" s="239">
        <f t="shared" ref="F42" si="3">D42+E42</f>
        <v>0</v>
      </c>
      <c r="G42" s="240"/>
      <c r="H42" s="240"/>
      <c r="N42"/>
    </row>
    <row r="43" spans="1:14" x14ac:dyDescent="0.2">
      <c r="N43"/>
    </row>
    <row r="44" spans="1:14" x14ac:dyDescent="0.2">
      <c r="N44"/>
    </row>
    <row r="45" spans="1:14" x14ac:dyDescent="0.2">
      <c r="N45"/>
    </row>
    <row r="46" spans="1:14" ht="12" x14ac:dyDescent="0.2">
      <c r="A46" s="213" t="s">
        <v>767</v>
      </c>
      <c r="B46" s="212"/>
      <c r="C46" s="212"/>
      <c r="D46" s="212"/>
      <c r="E46" s="212"/>
      <c r="F46" s="212"/>
      <c r="G46" s="212"/>
      <c r="H46" s="212"/>
      <c r="N46"/>
    </row>
    <row r="47" spans="1:14" ht="12" x14ac:dyDescent="0.2">
      <c r="A47" s="212" t="s">
        <v>1577</v>
      </c>
      <c r="B47" s="212"/>
      <c r="C47" s="212"/>
      <c r="D47" s="212"/>
      <c r="E47" s="212"/>
      <c r="F47" s="212"/>
      <c r="G47" s="212"/>
      <c r="H47" s="212"/>
      <c r="N47"/>
    </row>
    <row r="48" spans="1:14" ht="12" x14ac:dyDescent="0.2">
      <c r="A48" s="212" t="s">
        <v>1578</v>
      </c>
      <c r="B48" s="212"/>
      <c r="C48" s="212"/>
      <c r="D48" s="212"/>
      <c r="E48" s="212"/>
      <c r="F48" s="212"/>
      <c r="G48" s="212"/>
      <c r="H48" s="212"/>
      <c r="N48"/>
    </row>
    <row r="49" spans="1:14" ht="12" x14ac:dyDescent="0.2">
      <c r="A49" s="212"/>
      <c r="B49" s="212"/>
      <c r="C49" s="212"/>
      <c r="D49" s="212"/>
      <c r="E49" s="212"/>
      <c r="F49" s="212"/>
      <c r="G49" s="212"/>
      <c r="H49" s="212"/>
      <c r="N49"/>
    </row>
    <row r="50" spans="1:14" ht="12" x14ac:dyDescent="0.2">
      <c r="A50" s="212" t="s">
        <v>1579</v>
      </c>
      <c r="B50" s="212"/>
      <c r="C50" s="212"/>
      <c r="D50" s="212"/>
      <c r="E50" s="212"/>
      <c r="F50" s="212"/>
      <c r="G50" s="212"/>
      <c r="H50" s="212"/>
      <c r="N50"/>
    </row>
    <row r="51" spans="1:14" ht="12" x14ac:dyDescent="0.2">
      <c r="A51" s="212"/>
      <c r="B51" s="212"/>
      <c r="C51" s="212"/>
      <c r="D51" s="212"/>
      <c r="E51" s="212"/>
      <c r="F51" s="212"/>
      <c r="G51" s="212"/>
      <c r="H51" s="212"/>
      <c r="N51"/>
    </row>
    <row r="52" spans="1:14" ht="12" x14ac:dyDescent="0.2">
      <c r="A52" s="212" t="s">
        <v>1580</v>
      </c>
      <c r="B52" s="212"/>
      <c r="C52" s="212"/>
      <c r="D52" s="212"/>
      <c r="E52" s="212"/>
      <c r="F52" s="212"/>
      <c r="G52" s="212"/>
      <c r="H52" s="212"/>
      <c r="N52"/>
    </row>
    <row r="53" spans="1:14" ht="12" x14ac:dyDescent="0.2">
      <c r="A53" s="212"/>
      <c r="B53" s="212"/>
      <c r="C53" s="212"/>
      <c r="D53" s="212"/>
      <c r="E53" s="212"/>
      <c r="F53" s="212"/>
      <c r="G53" s="212"/>
      <c r="H53" s="212"/>
      <c r="N53"/>
    </row>
    <row r="54" spans="1:14" ht="12" x14ac:dyDescent="0.2">
      <c r="A54" s="212"/>
      <c r="B54" s="212"/>
      <c r="C54" s="212"/>
      <c r="D54" s="212"/>
      <c r="E54" s="212"/>
      <c r="F54" s="212"/>
      <c r="G54" s="212"/>
      <c r="H54" s="212"/>
      <c r="N54"/>
    </row>
    <row r="55" spans="1:14" ht="12" x14ac:dyDescent="0.2">
      <c r="A55" s="212"/>
      <c r="B55" s="212"/>
      <c r="C55" s="212"/>
      <c r="D55" s="212"/>
      <c r="E55" s="212"/>
      <c r="F55" s="212"/>
      <c r="G55" s="212"/>
      <c r="H55" s="212"/>
      <c r="N55"/>
    </row>
    <row r="56" spans="1:14" ht="12" x14ac:dyDescent="0.2">
      <c r="A56" s="212"/>
      <c r="B56" s="212"/>
      <c r="C56" s="212"/>
      <c r="D56" s="212"/>
      <c r="E56" s="212"/>
      <c r="F56" s="212"/>
      <c r="G56" s="212"/>
      <c r="H56" s="212"/>
      <c r="N56"/>
    </row>
    <row r="57" spans="1:14" ht="12" x14ac:dyDescent="0.2">
      <c r="A57" s="212"/>
      <c r="B57" s="212"/>
      <c r="C57" s="212"/>
      <c r="D57" s="212"/>
      <c r="E57" s="212"/>
      <c r="F57" s="212"/>
      <c r="G57" s="212"/>
      <c r="H57" s="212"/>
      <c r="N57"/>
    </row>
    <row r="58" spans="1:14" ht="12" x14ac:dyDescent="0.2">
      <c r="A58" s="274"/>
      <c r="B58" s="274"/>
      <c r="C58" s="274"/>
      <c r="D58" s="274"/>
      <c r="E58" s="274"/>
      <c r="F58" s="274"/>
      <c r="G58" s="274"/>
      <c r="H58" s="21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132" activePane="bottomLeft" state="frozen"/>
      <selection activeCell="F46" sqref="F46"/>
      <selection pane="bottomLeft" activeCell="J154" sqref="J15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Hanover School District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-3581.17</v>
      </c>
      <c r="D8" s="73">
        <f>'DOE25'!G9</f>
        <v>0</v>
      </c>
      <c r="E8" s="73">
        <f>'DOE25'!H9</f>
        <v>0</v>
      </c>
      <c r="F8" s="73">
        <f>'DOE25'!I9</f>
        <v>0</v>
      </c>
      <c r="G8" s="73">
        <f>'DOE25'!J9</f>
        <v>2262852.92</v>
      </c>
      <c r="H8" s="90"/>
      <c r="I8" s="90"/>
    </row>
    <row r="9" spans="1:9" x14ac:dyDescent="0.2">
      <c r="A9" s="1" t="s">
        <v>140</v>
      </c>
      <c r="B9" s="6">
        <v>110</v>
      </c>
      <c r="C9" s="73">
        <f>'DOE25'!F10</f>
        <v>831785.32</v>
      </c>
      <c r="D9" s="73">
        <f>'DOE25'!G10</f>
        <v>0</v>
      </c>
      <c r="E9" s="73">
        <f>'DOE25'!H10</f>
        <v>0</v>
      </c>
      <c r="F9" s="73">
        <f>'DOE25'!I10</f>
        <v>0</v>
      </c>
      <c r="G9" s="73">
        <f>'DOE25'!J10</f>
        <v>0</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0</v>
      </c>
      <c r="D11" s="73">
        <f>'DOE25'!G12</f>
        <v>0</v>
      </c>
      <c r="E11" s="73">
        <f>'DOE25'!H12</f>
        <v>0</v>
      </c>
      <c r="F11" s="73">
        <f>'DOE25'!I12</f>
        <v>0</v>
      </c>
      <c r="G11" s="73">
        <f>'DOE25'!J12</f>
        <v>0</v>
      </c>
      <c r="H11" s="90"/>
      <c r="I11" s="90"/>
    </row>
    <row r="12" spans="1:9" x14ac:dyDescent="0.2">
      <c r="A12" s="1" t="s">
        <v>143</v>
      </c>
      <c r="B12" s="6">
        <v>140</v>
      </c>
      <c r="C12" s="73">
        <f>'DOE25'!F13</f>
        <v>23944</v>
      </c>
      <c r="D12" s="73">
        <f>'DOE25'!G13</f>
        <v>51705.4</v>
      </c>
      <c r="E12" s="73">
        <f>'DOE25'!H13</f>
        <v>38171.56</v>
      </c>
      <c r="F12" s="73">
        <f>'DOE25'!I13</f>
        <v>0</v>
      </c>
      <c r="G12" s="73">
        <f>'DOE25'!J13</f>
        <v>0</v>
      </c>
      <c r="H12" s="90"/>
      <c r="I12" s="90"/>
    </row>
    <row r="13" spans="1:9" x14ac:dyDescent="0.2">
      <c r="A13" s="1" t="s">
        <v>144</v>
      </c>
      <c r="B13" s="6">
        <v>150</v>
      </c>
      <c r="C13" s="73">
        <f>'DOE25'!F14</f>
        <v>405</v>
      </c>
      <c r="D13" s="73">
        <f>'DOE25'!G14</f>
        <v>0</v>
      </c>
      <c r="E13" s="73">
        <f>'DOE25'!H14</f>
        <v>1114</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1777.25</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854330.39999999991</v>
      </c>
      <c r="D18" s="38">
        <f>SUM(D8:D17)</f>
        <v>51705.4</v>
      </c>
      <c r="E18" s="38">
        <f>SUM(E8:E17)</f>
        <v>39285.56</v>
      </c>
      <c r="F18" s="38">
        <f>SUM(F8:F17)</f>
        <v>0</v>
      </c>
      <c r="G18" s="38">
        <f>SUM(G8:G17)</f>
        <v>2262852.92</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11667.59</v>
      </c>
      <c r="D21" s="73">
        <f>'DOE25'!G22</f>
        <v>33545.160000000003</v>
      </c>
      <c r="E21" s="73">
        <f>'DOE25'!H22</f>
        <v>-45212.740000000005</v>
      </c>
      <c r="F21" s="73">
        <f>'DOE25'!I22</f>
        <v>0</v>
      </c>
      <c r="G21" s="73">
        <f>'DOE25'!J22</f>
        <v>0</v>
      </c>
      <c r="H21" s="90"/>
      <c r="I21" s="90"/>
    </row>
    <row r="22" spans="1:9" x14ac:dyDescent="0.2">
      <c r="A22" s="1" t="s">
        <v>151</v>
      </c>
      <c r="B22" s="6">
        <v>410</v>
      </c>
      <c r="C22" s="73">
        <f>'DOE25'!F23</f>
        <v>33774</v>
      </c>
      <c r="D22" s="73">
        <f>'DOE25'!G23</f>
        <v>0</v>
      </c>
      <c r="E22" s="73">
        <f>'DOE25'!H23</f>
        <v>0</v>
      </c>
      <c r="F22" s="73">
        <f>'DOE25'!I23</f>
        <v>0</v>
      </c>
      <c r="G22" s="73">
        <f>'DOE25'!J23</f>
        <v>0</v>
      </c>
      <c r="H22" s="90"/>
      <c r="I22" s="90"/>
    </row>
    <row r="23" spans="1:9" x14ac:dyDescent="0.2">
      <c r="A23" s="1" t="s">
        <v>152</v>
      </c>
      <c r="B23" s="6">
        <v>420</v>
      </c>
      <c r="C23" s="73">
        <f>'DOE25'!F24</f>
        <v>73370.94</v>
      </c>
      <c r="D23" s="73">
        <f>'DOE25'!G24</f>
        <v>0</v>
      </c>
      <c r="E23" s="73">
        <f>'DOE25'!H24</f>
        <v>8463</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1913</v>
      </c>
      <c r="D27" s="73">
        <f>'DOE25'!G28</f>
        <v>0</v>
      </c>
      <c r="E27" s="73">
        <f>'DOE25'!H28</f>
        <v>0</v>
      </c>
      <c r="F27" s="73">
        <f>'DOE25'!I28</f>
        <v>0</v>
      </c>
      <c r="G27" s="23" t="s">
        <v>288</v>
      </c>
      <c r="H27" s="90"/>
      <c r="I27" s="90"/>
    </row>
    <row r="28" spans="1:9" x14ac:dyDescent="0.2">
      <c r="A28" s="1" t="s">
        <v>157</v>
      </c>
      <c r="B28" s="6">
        <v>470</v>
      </c>
      <c r="C28" s="73">
        <f>'DOE25'!F29</f>
        <v>-7271.16</v>
      </c>
      <c r="D28" s="73">
        <f>'DOE25'!G29</f>
        <v>0</v>
      </c>
      <c r="E28" s="73">
        <f>'DOE25'!H29</f>
        <v>0</v>
      </c>
      <c r="F28" s="73">
        <f>'DOE25'!I29</f>
        <v>0</v>
      </c>
      <c r="G28" s="23" t="s">
        <v>288</v>
      </c>
      <c r="H28" s="90"/>
      <c r="I28" s="90"/>
    </row>
    <row r="29" spans="1:9" x14ac:dyDescent="0.2">
      <c r="A29" s="1" t="s">
        <v>158</v>
      </c>
      <c r="B29" s="6">
        <v>480</v>
      </c>
      <c r="C29" s="73">
        <f>'DOE25'!F30</f>
        <v>80000</v>
      </c>
      <c r="D29" s="73">
        <f>'DOE25'!G30</f>
        <v>18160.239999999998</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193454.37</v>
      </c>
      <c r="D31" s="38">
        <f>SUM(D21:D30)</f>
        <v>51705.4</v>
      </c>
      <c r="E31" s="38">
        <f>SUM(E21:E30)</f>
        <v>-36749.740000000005</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1777.42</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100000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300000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76035.3</v>
      </c>
      <c r="F47" s="73">
        <f>'DOE25'!I48</f>
        <v>0</v>
      </c>
      <c r="G47" s="73">
        <f>'DOE25'!J48</f>
        <v>2262852.92</v>
      </c>
      <c r="H47" s="90"/>
      <c r="I47" s="90"/>
    </row>
    <row r="48" spans="1:9" x14ac:dyDescent="0.2">
      <c r="A48" s="1" t="s">
        <v>882</v>
      </c>
      <c r="B48" s="6">
        <v>753</v>
      </c>
      <c r="C48" s="73">
        <f>'DOE25'!F49</f>
        <v>20075</v>
      </c>
      <c r="D48" s="73">
        <f>'DOE25'!G49</f>
        <v>0</v>
      </c>
      <c r="E48" s="73">
        <f>'DOE25'!H49</f>
        <v>0</v>
      </c>
      <c r="F48" s="73">
        <f>'DOE25'!I49</f>
        <v>0</v>
      </c>
      <c r="G48" s="73">
        <f>'DOE25'!J49</f>
        <v>0</v>
      </c>
      <c r="H48" s="90"/>
      <c r="I48" s="90"/>
    </row>
    <row r="49" spans="1:9" ht="12" thickBot="1" x14ac:dyDescent="0.25">
      <c r="A49" s="28" t="s">
        <v>883</v>
      </c>
      <c r="B49" s="56">
        <v>770</v>
      </c>
      <c r="C49" s="73">
        <f>'DOE25'!F50</f>
        <v>239023.61</v>
      </c>
      <c r="D49" s="23" t="s">
        <v>288</v>
      </c>
      <c r="E49" s="23" t="s">
        <v>288</v>
      </c>
      <c r="F49" s="23" t="s">
        <v>288</v>
      </c>
      <c r="G49" s="23" t="s">
        <v>288</v>
      </c>
      <c r="H49" s="90"/>
      <c r="I49" s="90"/>
    </row>
    <row r="50" spans="1:9" ht="12.75" thickTop="1" thickBot="1" x14ac:dyDescent="0.25">
      <c r="A50" s="35" t="s">
        <v>884</v>
      </c>
      <c r="B50" s="44"/>
      <c r="C50" s="38">
        <f>SUM(C34:C49)</f>
        <v>660876.03</v>
      </c>
      <c r="D50" s="38">
        <f>SUM(D34:D49)</f>
        <v>0</v>
      </c>
      <c r="E50" s="38">
        <f>SUM(E34:E49)</f>
        <v>76035.3</v>
      </c>
      <c r="F50" s="38">
        <f>SUM(F34:F49)</f>
        <v>0</v>
      </c>
      <c r="G50" s="38">
        <f>SUM(G34:G49)</f>
        <v>2262852.92</v>
      </c>
      <c r="H50" s="90"/>
      <c r="I50" s="90"/>
    </row>
    <row r="51" spans="1:9" ht="12" thickTop="1" x14ac:dyDescent="0.2">
      <c r="A51" s="35" t="s">
        <v>885</v>
      </c>
      <c r="B51" s="2"/>
      <c r="C51" s="38">
        <f>C50+C31</f>
        <v>854330.4</v>
      </c>
      <c r="D51" s="38">
        <f>D50+D31</f>
        <v>51705.4</v>
      </c>
      <c r="E51" s="38">
        <f>E50+E31</f>
        <v>39285.56</v>
      </c>
      <c r="F51" s="38">
        <f>F50+F31</f>
        <v>0</v>
      </c>
      <c r="G51" s="38">
        <f>G50+G31</f>
        <v>2262852.92</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11119540</v>
      </c>
      <c r="D56" s="73">
        <f>'DOE25'!G60</f>
        <v>0</v>
      </c>
      <c r="E56" s="73">
        <f>'DOE25'!H60</f>
        <v>0</v>
      </c>
      <c r="F56" s="73">
        <f>'DOE25'!I60</f>
        <v>0</v>
      </c>
      <c r="G56" s="73">
        <f>'DOE25'!J60</f>
        <v>0</v>
      </c>
      <c r="H56"/>
      <c r="I56"/>
    </row>
    <row r="57" spans="1:9" x14ac:dyDescent="0.2">
      <c r="A57" s="1" t="s">
        <v>164</v>
      </c>
      <c r="B57" s="6" t="s">
        <v>165</v>
      </c>
      <c r="C57" s="73">
        <f>'DOE25'!F79</f>
        <v>157076</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55760.87</v>
      </c>
      <c r="D59" s="73">
        <f>'DOE25'!G96</f>
        <v>0</v>
      </c>
      <c r="E59" s="73">
        <f>'DOE25'!H96</f>
        <v>0</v>
      </c>
      <c r="F59" s="73">
        <f>'DOE25'!I96</f>
        <v>0</v>
      </c>
      <c r="G59" s="73">
        <f>'DOE25'!J96</f>
        <v>99326.92</v>
      </c>
      <c r="H59"/>
      <c r="I59"/>
    </row>
    <row r="60" spans="1:9" x14ac:dyDescent="0.2">
      <c r="A60" s="1" t="s">
        <v>170</v>
      </c>
      <c r="B60" s="22" t="s">
        <v>171</v>
      </c>
      <c r="C60" s="23" t="s">
        <v>288</v>
      </c>
      <c r="D60" s="73">
        <f>'DOE25'!G97</f>
        <v>102968.25</v>
      </c>
      <c r="E60" s="23" t="s">
        <v>288</v>
      </c>
      <c r="F60" s="23" t="s">
        <v>288</v>
      </c>
      <c r="G60" s="23" t="s">
        <v>288</v>
      </c>
      <c r="H60"/>
      <c r="I60"/>
    </row>
    <row r="61" spans="1:9" ht="12" thickBot="1" x14ac:dyDescent="0.25">
      <c r="A61" s="1" t="s">
        <v>172</v>
      </c>
      <c r="B61" s="22" t="s">
        <v>173</v>
      </c>
      <c r="C61" s="73">
        <f>SUM('DOE25'!F98:F110)</f>
        <v>16151.560000000001</v>
      </c>
      <c r="D61" s="73">
        <f>SUM('DOE25'!G98:G110)</f>
        <v>0</v>
      </c>
      <c r="E61" s="73">
        <f>SUM('DOE25'!H98:H110)</f>
        <v>33232</v>
      </c>
      <c r="F61" s="73">
        <f>SUM('DOE25'!I98:I110)</f>
        <v>0</v>
      </c>
      <c r="G61" s="73">
        <f>SUM('DOE25'!J98:J110)</f>
        <v>0</v>
      </c>
      <c r="H61"/>
      <c r="I61"/>
    </row>
    <row r="62" spans="1:9" ht="12.75" thickTop="1" thickBot="1" x14ac:dyDescent="0.25">
      <c r="A62" s="28" t="s">
        <v>174</v>
      </c>
      <c r="B62" s="6"/>
      <c r="C62" s="93">
        <f>SUM(C57:C61)</f>
        <v>228988.43</v>
      </c>
      <c r="D62" s="93">
        <f>SUM(D57:D61)</f>
        <v>102968.25</v>
      </c>
      <c r="E62" s="93">
        <f>SUM(E57:E61)</f>
        <v>33232</v>
      </c>
      <c r="F62" s="93">
        <f>SUM(F57:F61)</f>
        <v>0</v>
      </c>
      <c r="G62" s="93">
        <f>SUM(G57:G61)</f>
        <v>99326.92</v>
      </c>
      <c r="H62"/>
      <c r="I62"/>
    </row>
    <row r="63" spans="1:9" ht="12" thickTop="1" x14ac:dyDescent="0.2">
      <c r="A63" s="28" t="s">
        <v>175</v>
      </c>
      <c r="B63" s="6"/>
      <c r="C63" s="21">
        <f>C56+C62</f>
        <v>11348528.43</v>
      </c>
      <c r="D63" s="21">
        <f>D56+D62</f>
        <v>102968.25</v>
      </c>
      <c r="E63" s="21">
        <f>E56+E62</f>
        <v>33232</v>
      </c>
      <c r="F63" s="21">
        <f>F56+F62</f>
        <v>0</v>
      </c>
      <c r="G63" s="21">
        <f>G56+G62</f>
        <v>99326.92</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0</v>
      </c>
      <c r="D66" s="23" t="s">
        <v>288</v>
      </c>
      <c r="E66" s="23" t="s">
        <v>288</v>
      </c>
      <c r="F66" s="23" t="s">
        <v>288</v>
      </c>
      <c r="G66" s="23" t="s">
        <v>288</v>
      </c>
      <c r="H66"/>
      <c r="I66"/>
    </row>
    <row r="67" spans="1:9" x14ac:dyDescent="0.2">
      <c r="A67" s="1" t="s">
        <v>770</v>
      </c>
      <c r="B67" s="6">
        <v>3112</v>
      </c>
      <c r="C67" s="73">
        <f>'DOE25'!F118</f>
        <v>2448368</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2448368</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77951.83</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14779</v>
      </c>
      <c r="D74" s="23"/>
      <c r="E74" s="23"/>
      <c r="F74" s="23"/>
      <c r="G74" s="23"/>
      <c r="H74"/>
      <c r="I74"/>
    </row>
    <row r="75" spans="1:9" x14ac:dyDescent="0.2">
      <c r="A75" s="1" t="s">
        <v>256</v>
      </c>
      <c r="B75" s="6">
        <v>3230</v>
      </c>
      <c r="C75" s="73">
        <f>'DOE25'!F126</f>
        <v>440288.44</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c r="I77"/>
    </row>
    <row r="78" spans="1:9" ht="12.75" thickTop="1" thickBot="1" x14ac:dyDescent="0.25">
      <c r="A78" s="28" t="s">
        <v>259</v>
      </c>
      <c r="B78" s="6"/>
      <c r="C78" s="93">
        <f>SUM(C72:C77)</f>
        <v>533019.27</v>
      </c>
      <c r="D78" s="93">
        <f>SUM(D72:D77)</f>
        <v>0</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2981387.27</v>
      </c>
      <c r="D81" s="93">
        <f>SUM(D79:D80)+D78+D70</f>
        <v>0</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28619.95</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21" t="s">
        <v>747</v>
      </c>
      <c r="B88" s="235" t="s">
        <v>184</v>
      </c>
      <c r="C88" s="263">
        <f>SUM('DOE25'!F153:F162)</f>
        <v>132371.81</v>
      </c>
      <c r="D88" s="263">
        <f>SUM('DOE25'!G153:G162)</f>
        <v>0</v>
      </c>
      <c r="E88" s="263">
        <f>SUM('DOE25'!H153:H162)</f>
        <v>90421.12999999999</v>
      </c>
      <c r="F88" s="26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3526</v>
      </c>
      <c r="D90" s="23" t="s">
        <v>288</v>
      </c>
      <c r="E90" s="23" t="s">
        <v>288</v>
      </c>
      <c r="F90" s="23" t="s">
        <v>288</v>
      </c>
      <c r="G90" s="23" t="s">
        <v>288</v>
      </c>
    </row>
    <row r="91" spans="1:9" ht="12.75" thickTop="1" thickBot="1" x14ac:dyDescent="0.25">
      <c r="A91" s="32" t="s">
        <v>750</v>
      </c>
      <c r="C91" s="94">
        <f>SUM(C85:C90)</f>
        <v>135897.81</v>
      </c>
      <c r="D91" s="94">
        <f>SUM(D85:D90)</f>
        <v>0</v>
      </c>
      <c r="E91" s="94">
        <f>SUM(E85:E90)</f>
        <v>119041.07999999999</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33783.25</v>
      </c>
      <c r="E96" s="73">
        <f>'DOE25'!H180</f>
        <v>0</v>
      </c>
      <c r="F96" s="73">
        <f>'DOE25'!I180</f>
        <v>0</v>
      </c>
      <c r="G96" s="73">
        <f>'DOE25'!J180</f>
        <v>173094</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33783.25</v>
      </c>
      <c r="E103" s="68">
        <f>SUM(E93:E102)</f>
        <v>0</v>
      </c>
      <c r="F103" s="68">
        <f>SUM(F93:F102)</f>
        <v>0</v>
      </c>
      <c r="G103" s="68">
        <f>SUM(G93:G102)</f>
        <v>173094</v>
      </c>
    </row>
    <row r="104" spans="1:7" ht="12.75" thickTop="1" thickBot="1" x14ac:dyDescent="0.25">
      <c r="A104" s="32" t="s">
        <v>761</v>
      </c>
      <c r="C104" s="68">
        <f>C63+C81+C91+C103</f>
        <v>14465813.51</v>
      </c>
      <c r="D104" s="68">
        <f>D63+D81+D91+D103</f>
        <v>136751.5</v>
      </c>
      <c r="E104" s="68">
        <f>E63+E81+E91+E103</f>
        <v>152273.07999999999</v>
      </c>
      <c r="F104" s="68">
        <f>F63+F81+F91+F103</f>
        <v>0</v>
      </c>
      <c r="G104" s="68">
        <f>G63+G81+G103</f>
        <v>272420.92</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6790669.5800000001</v>
      </c>
      <c r="D109" s="23" t="s">
        <v>288</v>
      </c>
      <c r="E109" s="73">
        <f>('DOE25'!L277)+('DOE25'!L296)+('DOE25'!L315)</f>
        <v>12650.130000000001</v>
      </c>
      <c r="F109" s="23" t="s">
        <v>288</v>
      </c>
      <c r="G109" s="23" t="s">
        <v>288</v>
      </c>
    </row>
    <row r="110" spans="1:7" x14ac:dyDescent="0.2">
      <c r="A110" t="s">
        <v>198</v>
      </c>
      <c r="B110" s="31" t="s">
        <v>199</v>
      </c>
      <c r="C110" s="73">
        <f>('DOE25'!L199)+('DOE25'!L217)+('DOE25'!L235)</f>
        <v>3864390.4100000011</v>
      </c>
      <c r="D110" s="23" t="s">
        <v>288</v>
      </c>
      <c r="E110" s="73">
        <f>('DOE25'!L278)+('DOE25'!L297)+('DOE25'!L316)</f>
        <v>106390.94999999998</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0</v>
      </c>
      <c r="D112" s="23" t="s">
        <v>288</v>
      </c>
      <c r="E112" s="73">
        <f>+('DOE25'!L280)+('DOE25'!L299)+('DOE25'!L318)</f>
        <v>0</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10655059.990000002</v>
      </c>
      <c r="D115" s="68">
        <f>SUM(D109:D114)</f>
        <v>0</v>
      </c>
      <c r="E115" s="68">
        <f>SUM(E109:E114)</f>
        <v>119041.07999999999</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321873.36000000004</v>
      </c>
      <c r="D118" s="23" t="s">
        <v>288</v>
      </c>
      <c r="E118" s="73">
        <f>+('DOE25'!L282)+('DOE25'!L301)+('DOE25'!L320)</f>
        <v>0</v>
      </c>
      <c r="F118" s="23" t="s">
        <v>288</v>
      </c>
      <c r="G118" s="23" t="s">
        <v>288</v>
      </c>
    </row>
    <row r="119" spans="1:7" x14ac:dyDescent="0.2">
      <c r="A119" t="s">
        <v>208</v>
      </c>
      <c r="B119" s="31" t="s">
        <v>209</v>
      </c>
      <c r="C119" s="73">
        <f>('DOE25'!L204)+('DOE25'!L222)+('DOE25'!L240)</f>
        <v>280226.45</v>
      </c>
      <c r="D119" s="23" t="s">
        <v>288</v>
      </c>
      <c r="E119" s="73">
        <f>+('DOE25'!L283)+('DOE25'!L302)+('DOE25'!L321)</f>
        <v>0</v>
      </c>
      <c r="F119" s="23" t="s">
        <v>288</v>
      </c>
      <c r="G119" s="23" t="s">
        <v>288</v>
      </c>
    </row>
    <row r="120" spans="1:7" x14ac:dyDescent="0.2">
      <c r="A120" t="s">
        <v>210</v>
      </c>
      <c r="B120" s="31" t="s">
        <v>211</v>
      </c>
      <c r="C120" s="73">
        <f>('DOE25'!L205)+('DOE25'!L223)+('DOE25'!L241)</f>
        <v>445894.74999999994</v>
      </c>
      <c r="D120" s="23" t="s">
        <v>288</v>
      </c>
      <c r="E120" s="73">
        <f>+('DOE25'!L284)+('DOE25'!L303)+('DOE25'!L322)</f>
        <v>0</v>
      </c>
      <c r="F120" s="23" t="s">
        <v>288</v>
      </c>
      <c r="G120" s="23" t="s">
        <v>288</v>
      </c>
    </row>
    <row r="121" spans="1:7" x14ac:dyDescent="0.2">
      <c r="A121" t="s">
        <v>212</v>
      </c>
      <c r="B121" s="31" t="s">
        <v>213</v>
      </c>
      <c r="C121" s="73">
        <f>('DOE25'!L206)+('DOE25'!L224)+('DOE25'!L242)</f>
        <v>548347.19999999995</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0</v>
      </c>
      <c r="F122" s="23" t="s">
        <v>288</v>
      </c>
      <c r="G122" s="23" t="s">
        <v>288</v>
      </c>
    </row>
    <row r="123" spans="1:7" x14ac:dyDescent="0.2">
      <c r="A123" t="s">
        <v>216</v>
      </c>
      <c r="B123" s="31" t="s">
        <v>217</v>
      </c>
      <c r="C123" s="73">
        <f>('DOE25'!L208)+('DOE25'!L226)+('DOE25'!L244)</f>
        <v>651641.12</v>
      </c>
      <c r="D123" s="23" t="s">
        <v>288</v>
      </c>
      <c r="E123" s="73">
        <f>+('DOE25'!L287)+('DOE25'!L306)+('DOE25'!L325)</f>
        <v>0</v>
      </c>
      <c r="F123" s="23" t="s">
        <v>288</v>
      </c>
      <c r="G123" s="23" t="s">
        <v>288</v>
      </c>
    </row>
    <row r="124" spans="1:7" x14ac:dyDescent="0.2">
      <c r="A124" t="s">
        <v>218</v>
      </c>
      <c r="B124" s="31" t="s">
        <v>219</v>
      </c>
      <c r="C124" s="73">
        <f>('DOE25'!L209)+('DOE25'!L227)+('DOE25'!L245+'DOE25'!L255)</f>
        <v>543966.78</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26080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136751.5</v>
      </c>
      <c r="E127" s="23" t="s">
        <v>288</v>
      </c>
      <c r="F127" s="23" t="s">
        <v>288</v>
      </c>
      <c r="G127" s="23" t="s">
        <v>288</v>
      </c>
    </row>
    <row r="128" spans="1:7" ht="12.75" thickTop="1" thickBot="1" x14ac:dyDescent="0.25">
      <c r="A128" s="32" t="s">
        <v>226</v>
      </c>
      <c r="C128" s="68">
        <f>SUM(C118:C127)</f>
        <v>2791949.66</v>
      </c>
      <c r="D128" s="68">
        <f>SUM(D118:D127)</f>
        <v>136751.5</v>
      </c>
      <c r="E128" s="68">
        <f>SUM(E118:E127)</f>
        <v>26080</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59763.24</v>
      </c>
      <c r="D130" s="23" t="s">
        <v>288</v>
      </c>
      <c r="E130" s="92">
        <f>'DOE25'!L337</f>
        <v>0</v>
      </c>
      <c r="F130" s="92">
        <f>SUM('DOE25'!L375:'DOE25'!L381)</f>
        <v>0</v>
      </c>
      <c r="G130" s="23" t="s">
        <v>288</v>
      </c>
    </row>
    <row r="131" spans="1:7" x14ac:dyDescent="0.2">
      <c r="A131" t="s">
        <v>229</v>
      </c>
      <c r="B131" s="31">
        <v>5110</v>
      </c>
      <c r="C131" s="73">
        <f>'DOE25'!L261</f>
        <v>205000</v>
      </c>
      <c r="D131" s="23" t="s">
        <v>288</v>
      </c>
      <c r="E131" s="92">
        <f>'DOE25'!L342</f>
        <v>0</v>
      </c>
      <c r="F131" s="23" t="s">
        <v>288</v>
      </c>
      <c r="G131" s="23" t="s">
        <v>288</v>
      </c>
    </row>
    <row r="132" spans="1:7" x14ac:dyDescent="0.2">
      <c r="A132" t="s">
        <v>230</v>
      </c>
      <c r="B132" s="31">
        <v>5120</v>
      </c>
      <c r="C132" s="73">
        <f>'DOE25'!L262</f>
        <v>187083.76</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33783.25</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272420.92000000004</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-99326.920000000042</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658724.25</v>
      </c>
      <c r="D144" s="98">
        <f>SUM(D130:D143)</f>
        <v>0</v>
      </c>
      <c r="E144" s="98">
        <f>SUM(E130:E143)</f>
        <v>0</v>
      </c>
      <c r="F144" s="98">
        <f>SUM(F130:F143)</f>
        <v>0</v>
      </c>
      <c r="G144" s="98">
        <f>SUM(G130:G143)</f>
        <v>0</v>
      </c>
    </row>
    <row r="145" spans="1:9" ht="12.75" thickTop="1" thickBot="1" x14ac:dyDescent="0.25">
      <c r="A145" s="32" t="s">
        <v>244</v>
      </c>
      <c r="C145" s="68">
        <f>(C115+C128+C144)</f>
        <v>14105733.900000002</v>
      </c>
      <c r="D145" s="68">
        <f>(D115+D128+D144)</f>
        <v>136751.5</v>
      </c>
      <c r="E145" s="68">
        <f>(E115+E128+E144)</f>
        <v>145121.07999999999</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02/15</v>
      </c>
      <c r="C152" s="109">
        <f>'DOE25'!G492</f>
        <v>0</v>
      </c>
      <c r="D152" s="109">
        <f>'DOE25'!H492</f>
        <v>0</v>
      </c>
      <c r="E152" s="109">
        <f>'DOE25'!I492</f>
        <v>0</v>
      </c>
      <c r="F152" s="109">
        <f>'DOE25'!J492</f>
        <v>0</v>
      </c>
      <c r="G152" s="23" t="s">
        <v>288</v>
      </c>
    </row>
    <row r="153" spans="1:9" x14ac:dyDescent="0.2">
      <c r="A153" s="21" t="s">
        <v>29</v>
      </c>
      <c r="B153" s="109" t="str">
        <f>'DOE25'!F493</f>
        <v>02/36</v>
      </c>
      <c r="C153" s="109">
        <f>'DOE25'!G493</f>
        <v>0</v>
      </c>
      <c r="D153" s="109">
        <f>'DOE25'!H493</f>
        <v>0</v>
      </c>
      <c r="E153" s="109">
        <f>'DOE25'!I493</f>
        <v>0</v>
      </c>
      <c r="F153" s="109">
        <f>'DOE25'!J493</f>
        <v>0</v>
      </c>
      <c r="G153" s="23" t="s">
        <v>288</v>
      </c>
    </row>
    <row r="154" spans="1:9" x14ac:dyDescent="0.2">
      <c r="A154" s="21" t="s">
        <v>30</v>
      </c>
      <c r="B154" s="19">
        <f>'DOE25'!F494</f>
        <v>5391000</v>
      </c>
      <c r="C154" s="19">
        <f>'DOE25'!G494</f>
        <v>0</v>
      </c>
      <c r="D154" s="19">
        <f>'DOE25'!H494</f>
        <v>0</v>
      </c>
      <c r="E154" s="19">
        <f>'DOE25'!I494</f>
        <v>0</v>
      </c>
      <c r="F154" s="19">
        <f>'DOE25'!J494</f>
        <v>0</v>
      </c>
      <c r="G154" s="23" t="s">
        <v>288</v>
      </c>
    </row>
    <row r="155" spans="1:9" x14ac:dyDescent="0.2">
      <c r="A155" s="21" t="s">
        <v>31</v>
      </c>
      <c r="B155" s="19">
        <f>'DOE25'!F495</f>
        <v>3.04</v>
      </c>
      <c r="C155" s="19">
        <f>'DOE25'!G495</f>
        <v>0</v>
      </c>
      <c r="D155" s="19">
        <f>'DOE25'!H495</f>
        <v>0</v>
      </c>
      <c r="E155" s="19">
        <f>'DOE25'!I495</f>
        <v>0</v>
      </c>
      <c r="F155" s="19">
        <f>'DOE25'!J495</f>
        <v>0</v>
      </c>
      <c r="G155" s="23" t="s">
        <v>288</v>
      </c>
    </row>
    <row r="156" spans="1:9" x14ac:dyDescent="0.2">
      <c r="A156" s="21" t="s">
        <v>32</v>
      </c>
      <c r="B156" s="19">
        <f>'DOE25'!F496</f>
        <v>4690000</v>
      </c>
      <c r="C156" s="19">
        <f>'DOE25'!G496</f>
        <v>0</v>
      </c>
      <c r="D156" s="19">
        <f>'DOE25'!H496</f>
        <v>0</v>
      </c>
      <c r="E156" s="19">
        <f>'DOE25'!I496</f>
        <v>0</v>
      </c>
      <c r="F156" s="19">
        <f>'DOE25'!J496</f>
        <v>0</v>
      </c>
      <c r="G156" s="96">
        <f>SUM(B156:F156)</f>
        <v>4690000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205000</v>
      </c>
      <c r="C158" s="19">
        <f>'DOE25'!G498</f>
        <v>0</v>
      </c>
      <c r="D158" s="19">
        <f>'DOE25'!H498</f>
        <v>0</v>
      </c>
      <c r="E158" s="19">
        <f>'DOE25'!I498</f>
        <v>0</v>
      </c>
      <c r="F158" s="19">
        <f>'DOE25'!J498</f>
        <v>0</v>
      </c>
      <c r="G158" s="96">
        <f t="shared" si="0"/>
        <v>205000</v>
      </c>
    </row>
    <row r="159" spans="1:9" x14ac:dyDescent="0.2">
      <c r="A159" s="21" t="s">
        <v>35</v>
      </c>
      <c r="B159" s="19">
        <f>'DOE25'!F499</f>
        <v>4485000</v>
      </c>
      <c r="C159" s="19">
        <f>'DOE25'!G499</f>
        <v>0</v>
      </c>
      <c r="D159" s="19">
        <f>'DOE25'!H499</f>
        <v>0</v>
      </c>
      <c r="E159" s="19">
        <f>'DOE25'!I499</f>
        <v>0</v>
      </c>
      <c r="F159" s="19">
        <f>'DOE25'!J499</f>
        <v>0</v>
      </c>
      <c r="G159" s="96">
        <f t="shared" si="0"/>
        <v>4485000</v>
      </c>
    </row>
    <row r="160" spans="1:9" x14ac:dyDescent="0.2">
      <c r="A160" s="21" t="s">
        <v>36</v>
      </c>
      <c r="B160" s="19">
        <f>'DOE25'!F500</f>
        <v>1392706.24</v>
      </c>
      <c r="C160" s="19">
        <f>'DOE25'!G500</f>
        <v>0</v>
      </c>
      <c r="D160" s="19">
        <f>'DOE25'!H500</f>
        <v>0</v>
      </c>
      <c r="E160" s="19">
        <f>'DOE25'!I500</f>
        <v>0</v>
      </c>
      <c r="F160" s="19">
        <f>'DOE25'!J500</f>
        <v>0</v>
      </c>
      <c r="G160" s="96">
        <f t="shared" si="0"/>
        <v>1392706.24</v>
      </c>
    </row>
    <row r="161" spans="1:7" x14ac:dyDescent="0.2">
      <c r="A161" s="21" t="s">
        <v>37</v>
      </c>
      <c r="B161" s="19">
        <f>'DOE25'!F501</f>
        <v>5877706.2400000002</v>
      </c>
      <c r="C161" s="19">
        <f>'DOE25'!G501</f>
        <v>0</v>
      </c>
      <c r="D161" s="19">
        <f>'DOE25'!H501</f>
        <v>0</v>
      </c>
      <c r="E161" s="19">
        <f>'DOE25'!I501</f>
        <v>0</v>
      </c>
      <c r="F161" s="19">
        <f>'DOE25'!J501</f>
        <v>0</v>
      </c>
      <c r="G161" s="96">
        <f t="shared" si="0"/>
        <v>5877706.2400000002</v>
      </c>
    </row>
    <row r="162" spans="1:7" x14ac:dyDescent="0.2">
      <c r="A162" s="21" t="s">
        <v>38</v>
      </c>
      <c r="B162" s="19">
        <f>'DOE25'!F502</f>
        <v>215000</v>
      </c>
      <c r="C162" s="19">
        <f>'DOE25'!G502</f>
        <v>0</v>
      </c>
      <c r="D162" s="19">
        <f>'DOE25'!H502</f>
        <v>0</v>
      </c>
      <c r="E162" s="19">
        <f>'DOE25'!I502</f>
        <v>0</v>
      </c>
      <c r="F162" s="19">
        <f>'DOE25'!J502</f>
        <v>0</v>
      </c>
      <c r="G162" s="96">
        <f t="shared" si="0"/>
        <v>215000</v>
      </c>
    </row>
    <row r="163" spans="1:7" x14ac:dyDescent="0.2">
      <c r="A163" s="21" t="s">
        <v>39</v>
      </c>
      <c r="B163" s="19">
        <f>'DOE25'!F503</f>
        <v>176628.76</v>
      </c>
      <c r="C163" s="19">
        <f>'DOE25'!G503</f>
        <v>0</v>
      </c>
      <c r="D163" s="19">
        <f>'DOE25'!H503</f>
        <v>0</v>
      </c>
      <c r="E163" s="19">
        <f>'DOE25'!I503</f>
        <v>0</v>
      </c>
      <c r="F163" s="19">
        <f>'DOE25'!J503</f>
        <v>0</v>
      </c>
      <c r="G163" s="96">
        <f t="shared" si="0"/>
        <v>176628.76</v>
      </c>
    </row>
    <row r="164" spans="1:7" x14ac:dyDescent="0.2">
      <c r="A164" s="21" t="s">
        <v>246</v>
      </c>
      <c r="B164" s="19">
        <f>'DOE25'!F504</f>
        <v>391628.76</v>
      </c>
      <c r="C164" s="19">
        <f>'DOE25'!G504</f>
        <v>0</v>
      </c>
      <c r="D164" s="19">
        <f>'DOE25'!H504</f>
        <v>0</v>
      </c>
      <c r="E164" s="19">
        <f>'DOE25'!I504</f>
        <v>0</v>
      </c>
      <c r="F164" s="19">
        <f>'DOE25'!J504</f>
        <v>0</v>
      </c>
      <c r="G164" s="96">
        <f t="shared" si="0"/>
        <v>391628.76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75" t="s">
        <v>736</v>
      </c>
      <c r="B1" s="275"/>
      <c r="C1" s="275"/>
      <c r="D1" s="275"/>
    </row>
    <row r="2" spans="1:4" x14ac:dyDescent="0.2">
      <c r="A2" s="137" t="s">
        <v>713</v>
      </c>
      <c r="B2" s="136" t="str">
        <f>'DOE25'!A2</f>
        <v>Hanover School District</v>
      </c>
    </row>
    <row r="3" spans="1:4" x14ac:dyDescent="0.2">
      <c r="B3" s="138" t="s">
        <v>1587</v>
      </c>
    </row>
    <row r="4" spans="1:4" x14ac:dyDescent="0.2">
      <c r="B4" t="s">
        <v>61</v>
      </c>
      <c r="C4" s="130">
        <f>IF('DOE25'!F666+'DOE25'!F671=0,0,ROUND('DOE25'!F673,0))</f>
        <v>21088</v>
      </c>
    </row>
    <row r="5" spans="1:4" x14ac:dyDescent="0.2">
      <c r="B5" t="s">
        <v>700</v>
      </c>
      <c r="C5" s="130">
        <f>IF('DOE25'!G666+'DOE25'!G671=0,0,ROUND('DOE25'!G673,0))</f>
        <v>0</v>
      </c>
    </row>
    <row r="6" spans="1:4" x14ac:dyDescent="0.2">
      <c r="B6" t="s">
        <v>62</v>
      </c>
      <c r="C6" s="130">
        <f>IF('DOE25'!H666+'DOE25'!H671=0,0,ROUND('DOE25'!H673,0))</f>
        <v>0</v>
      </c>
    </row>
    <row r="7" spans="1:4" x14ac:dyDescent="0.2">
      <c r="B7" t="s">
        <v>701</v>
      </c>
      <c r="C7" s="130">
        <f>IF('DOE25'!I666+'DOE25'!I671=0,0,ROUND('DOE25'!I673,0))</f>
        <v>21088</v>
      </c>
    </row>
    <row r="9" spans="1:4" x14ac:dyDescent="0.2">
      <c r="A9" s="137" t="s">
        <v>94</v>
      </c>
      <c r="B9" s="138" t="s">
        <v>1588</v>
      </c>
      <c r="C9" s="132" t="s">
        <v>720</v>
      </c>
      <c r="D9" s="132" t="s">
        <v>721</v>
      </c>
    </row>
    <row r="10" spans="1:4" x14ac:dyDescent="0.2">
      <c r="A10">
        <v>1100</v>
      </c>
      <c r="B10" t="s">
        <v>702</v>
      </c>
      <c r="C10" s="130">
        <f>ROUND('DOE25'!L198+'DOE25'!L216+'DOE25'!L234+'DOE25'!L277+'DOE25'!L296+'DOE25'!L315,0)</f>
        <v>6803320</v>
      </c>
      <c r="D10" s="133">
        <f>ROUND((C10/$C$28)*100,1)</f>
        <v>49.3</v>
      </c>
    </row>
    <row r="11" spans="1:4" x14ac:dyDescent="0.2">
      <c r="A11">
        <v>1200</v>
      </c>
      <c r="B11" t="s">
        <v>703</v>
      </c>
      <c r="C11" s="130">
        <f>ROUND('DOE25'!L199+'DOE25'!L217+'DOE25'!L235+'DOE25'!L278+'DOE25'!L297+'DOE25'!L316,0)</f>
        <v>3970781</v>
      </c>
      <c r="D11" s="133">
        <f>ROUND((C11/$C$28)*100,1)</f>
        <v>28.7</v>
      </c>
    </row>
    <row r="12" spans="1:4" x14ac:dyDescent="0.2">
      <c r="A12">
        <v>1300</v>
      </c>
      <c r="B12" t="s">
        <v>704</v>
      </c>
      <c r="C12" s="130">
        <f>ROUND('DOE25'!L200+'DOE25'!L218+'DOE25'!L236+'DOE25'!L279+'DOE25'!L298+'DOE25'!L317,0)</f>
        <v>0</v>
      </c>
      <c r="D12" s="133">
        <f>ROUND((C12/$C$28)*100,1)</f>
        <v>0</v>
      </c>
    </row>
    <row r="13" spans="1:4" x14ac:dyDescent="0.2">
      <c r="A13">
        <v>1400</v>
      </c>
      <c r="B13" t="s">
        <v>705</v>
      </c>
      <c r="C13" s="130">
        <f>ROUND('DOE25'!L201+'DOE25'!L219+'DOE25'!L237+'DOE25'!L280+'DOE25'!L299+'DOE25'!L318,0)</f>
        <v>0</v>
      </c>
      <c r="D13" s="133">
        <f>ROUND((C13/$C$28)*100,1)</f>
        <v>0</v>
      </c>
    </row>
    <row r="14" spans="1:4" x14ac:dyDescent="0.2">
      <c r="D14" s="133"/>
    </row>
    <row r="15" spans="1:4" x14ac:dyDescent="0.2">
      <c r="A15">
        <v>2100</v>
      </c>
      <c r="B15" t="s">
        <v>706</v>
      </c>
      <c r="C15" s="130">
        <f>ROUND('DOE25'!L203+'DOE25'!L221+'DOE25'!L239+'DOE25'!L282+'DOE25'!L301+'DOE25'!L320,0)</f>
        <v>321873</v>
      </c>
      <c r="D15" s="133">
        <f t="shared" ref="D15:D27" si="0">ROUND((C15/$C$28)*100,1)</f>
        <v>2.2999999999999998</v>
      </c>
    </row>
    <row r="16" spans="1:4" x14ac:dyDescent="0.2">
      <c r="A16">
        <v>2200</v>
      </c>
      <c r="B16" t="s">
        <v>707</v>
      </c>
      <c r="C16" s="130">
        <f>ROUND('DOE25'!L204+'DOE25'!L222+'DOE25'!L240+'DOE25'!L283+'DOE25'!L302+'DOE25'!L321,0)</f>
        <v>280226</v>
      </c>
      <c r="D16" s="133">
        <f t="shared" si="0"/>
        <v>2</v>
      </c>
    </row>
    <row r="17" spans="1:4" x14ac:dyDescent="0.2">
      <c r="A17" s="134" t="s">
        <v>723</v>
      </c>
      <c r="B17" t="s">
        <v>738</v>
      </c>
      <c r="C17" s="130">
        <f>ROUND('DOE25'!L205+'DOE25'!L210+'DOE25'!L223+'DOE25'!L228+'DOE25'!L241+'DOE25'!L246+'DOE25'!L284+'DOE25'!L289+'DOE25'!L303+'DOE25'!L308+'DOE25'!L322+'DOE25'!L327,0)</f>
        <v>471975</v>
      </c>
      <c r="D17" s="133">
        <f t="shared" si="0"/>
        <v>3.4</v>
      </c>
    </row>
    <row r="18" spans="1:4" x14ac:dyDescent="0.2">
      <c r="A18">
        <v>2400</v>
      </c>
      <c r="B18" t="s">
        <v>711</v>
      </c>
      <c r="C18" s="130">
        <f>ROUND('DOE25'!L206+'DOE25'!L224+'DOE25'!L242+'DOE25'!L285+'DOE25'!L304+'DOE25'!L323,0)</f>
        <v>548347</v>
      </c>
      <c r="D18" s="133">
        <f t="shared" si="0"/>
        <v>4</v>
      </c>
    </row>
    <row r="19" spans="1:4" x14ac:dyDescent="0.2">
      <c r="A19">
        <v>2500</v>
      </c>
      <c r="B19" t="s">
        <v>708</v>
      </c>
      <c r="C19" s="130">
        <f>ROUND('DOE25'!L207+'DOE25'!L225+'DOE25'!L243+'DOE25'!L286+'DOE25'!L305+'DOE25'!L324,0)</f>
        <v>0</v>
      </c>
      <c r="D19" s="133">
        <f t="shared" si="0"/>
        <v>0</v>
      </c>
    </row>
    <row r="20" spans="1:4" x14ac:dyDescent="0.2">
      <c r="A20">
        <v>2600</v>
      </c>
      <c r="B20" t="s">
        <v>709</v>
      </c>
      <c r="C20" s="130">
        <f>ROUND('DOE25'!L208+'DOE25'!L226+'DOE25'!L244+'DOE25'!L287+'DOE25'!L306+'DOE25'!L325,0)</f>
        <v>651641</v>
      </c>
      <c r="D20" s="133">
        <f t="shared" si="0"/>
        <v>4.7</v>
      </c>
    </row>
    <row r="21" spans="1:4" x14ac:dyDescent="0.2">
      <c r="A21">
        <v>2700</v>
      </c>
      <c r="B21" t="s">
        <v>710</v>
      </c>
      <c r="C21" s="130">
        <f>ROUND('DOE25'!L209+'DOE25'!L227+'DOE25'!L245+'DOE25'!L288+'DOE25'!L307+'DOE25'!L326,0)</f>
        <v>543967</v>
      </c>
      <c r="D21" s="133">
        <f t="shared" si="0"/>
        <v>3.9</v>
      </c>
    </row>
    <row r="22" spans="1:4" x14ac:dyDescent="0.2">
      <c r="A22">
        <v>2900</v>
      </c>
      <c r="B22" t="s">
        <v>712</v>
      </c>
      <c r="C22" s="130">
        <v>0</v>
      </c>
      <c r="D22" s="133">
        <f t="shared" si="0"/>
        <v>0</v>
      </c>
    </row>
    <row r="23" spans="1:4" x14ac:dyDescent="0.2">
      <c r="A23">
        <v>1500</v>
      </c>
      <c r="B23" t="s">
        <v>714</v>
      </c>
      <c r="C23" s="130">
        <f>ROUND('DOE25'!L251+'DOE25'!L333,0)</f>
        <v>0</v>
      </c>
      <c r="D23" s="133">
        <f t="shared" si="0"/>
        <v>0</v>
      </c>
    </row>
    <row r="24" spans="1:4" x14ac:dyDescent="0.2">
      <c r="A24" s="134" t="s">
        <v>722</v>
      </c>
      <c r="B24" t="s">
        <v>715</v>
      </c>
      <c r="C24" s="130">
        <f>ROUND('DOE25'!L252+'DOE25'!L253+'DOE25'!L254+'DOE25'!L255+'DOE25'!L334+'DOE25'!L335+'DOE25'!L336,0)</f>
        <v>0</v>
      </c>
      <c r="D24" s="133">
        <f t="shared" si="0"/>
        <v>0</v>
      </c>
    </row>
    <row r="25" spans="1:4" x14ac:dyDescent="0.2">
      <c r="A25">
        <v>5120</v>
      </c>
      <c r="B25" t="s">
        <v>716</v>
      </c>
      <c r="C25" s="130">
        <f>ROUND('DOE25'!L262+'DOE25'!L343,0)</f>
        <v>187084</v>
      </c>
      <c r="D25" s="133">
        <f t="shared" si="0"/>
        <v>1.4</v>
      </c>
    </row>
    <row r="26" spans="1:4" x14ac:dyDescent="0.2">
      <c r="A26" s="134" t="s">
        <v>717</v>
      </c>
      <c r="B26" t="s">
        <v>718</v>
      </c>
      <c r="C26" s="130">
        <f>'DOE25'!L269+'DOE25'!L270+'DOE25'!L350+'DOE25'!L351</f>
        <v>0</v>
      </c>
      <c r="D26" s="133">
        <f t="shared" si="0"/>
        <v>0</v>
      </c>
    </row>
    <row r="27" spans="1:4" x14ac:dyDescent="0.2">
      <c r="A27">
        <v>3100</v>
      </c>
      <c r="B27" t="s">
        <v>11</v>
      </c>
      <c r="C27" s="130">
        <f>ROUND('DOE25'!L363-'DOE25'!L362,0)-SUM('DOE25'!G97:G110)</f>
        <v>33783.75</v>
      </c>
      <c r="D27" s="133">
        <f t="shared" si="0"/>
        <v>0.2</v>
      </c>
    </row>
    <row r="28" spans="1:4" x14ac:dyDescent="0.2">
      <c r="B28" s="137" t="s">
        <v>719</v>
      </c>
      <c r="C28" s="131">
        <f>SUM(C10:C27)</f>
        <v>13812997.75</v>
      </c>
      <c r="D28" s="135">
        <f>ROUND(SUM(D10:D27),0)</f>
        <v>100</v>
      </c>
    </row>
    <row r="29" spans="1:4" x14ac:dyDescent="0.2">
      <c r="A29">
        <v>4000</v>
      </c>
      <c r="B29" t="s">
        <v>724</v>
      </c>
      <c r="C29" s="130">
        <f>ROUND('DOE25'!L256+'DOE25'!L337+'DOE25'!L375+'DOE25'!L376+'DOE25'!L377+'DOE25'!L378+'DOE25'!L379+'DOE25'!L380+'DOE25'!L381,0)</f>
        <v>59763</v>
      </c>
    </row>
    <row r="30" spans="1:4" x14ac:dyDescent="0.2">
      <c r="B30" s="137" t="s">
        <v>725</v>
      </c>
      <c r="C30" s="131">
        <f>SUM(C28:C29)</f>
        <v>13872760.75</v>
      </c>
    </row>
    <row r="31" spans="1:4" x14ac:dyDescent="0.2">
      <c r="B31" s="32"/>
      <c r="C31" s="131"/>
    </row>
    <row r="32" spans="1:4" x14ac:dyDescent="0.2">
      <c r="A32">
        <v>5100</v>
      </c>
      <c r="B32" s="32" t="s">
        <v>726</v>
      </c>
      <c r="C32" s="131">
        <f>ROUND('DOE25'!L261+'DOE25'!L342,0)</f>
        <v>205000</v>
      </c>
    </row>
    <row r="34" spans="1:4" x14ac:dyDescent="0.2">
      <c r="A34" s="137" t="s">
        <v>94</v>
      </c>
      <c r="B34" s="138" t="s">
        <v>1589</v>
      </c>
      <c r="C34" s="132" t="s">
        <v>720</v>
      </c>
      <c r="D34" s="132" t="s">
        <v>721</v>
      </c>
    </row>
    <row r="35" spans="1:4" x14ac:dyDescent="0.2">
      <c r="A35">
        <v>1100</v>
      </c>
      <c r="B35" s="71" t="s">
        <v>727</v>
      </c>
      <c r="C35" s="130">
        <f>ROUND('DOE25'!F60+'DOE25'!G60+'DOE25'!H60+'DOE25'!I60+'DOE25'!J60,0)</f>
        <v>11119540</v>
      </c>
      <c r="D35" s="133">
        <f t="shared" ref="D35:D40" si="1">ROUND((C35/$C$41)*100,1)</f>
        <v>75.599999999999994</v>
      </c>
    </row>
    <row r="36" spans="1:4" x14ac:dyDescent="0.2">
      <c r="B36" s="71" t="s">
        <v>739</v>
      </c>
      <c r="C36" s="130">
        <f>SUM('DOE25'!F112:J112)-SUM('DOE25'!G97:G110)+('DOE25'!F175+'DOE25'!F176+'DOE25'!I175+'DOE25'!I176)-C35</f>
        <v>361547.34999999963</v>
      </c>
      <c r="D36" s="133">
        <f t="shared" si="1"/>
        <v>2.5</v>
      </c>
    </row>
    <row r="37" spans="1:4" x14ac:dyDescent="0.2">
      <c r="A37" s="134" t="s">
        <v>835</v>
      </c>
      <c r="B37" s="71" t="s">
        <v>728</v>
      </c>
      <c r="C37" s="130">
        <f>ROUND('DOE25'!F117+'DOE25'!F118,0)</f>
        <v>2448368</v>
      </c>
      <c r="D37" s="133">
        <f t="shared" si="1"/>
        <v>16.600000000000001</v>
      </c>
    </row>
    <row r="38" spans="1:4" x14ac:dyDescent="0.2">
      <c r="A38" s="134" t="s">
        <v>734</v>
      </c>
      <c r="B38" s="71" t="s">
        <v>729</v>
      </c>
      <c r="C38" s="130">
        <f>ROUND(SUM('DOE25'!F140:J140)-SUM('DOE25'!F117:F119),0)</f>
        <v>533019</v>
      </c>
      <c r="D38" s="133">
        <f t="shared" si="1"/>
        <v>3.6</v>
      </c>
    </row>
    <row r="39" spans="1:4" x14ac:dyDescent="0.2">
      <c r="A39">
        <v>4000</v>
      </c>
      <c r="B39" s="71" t="s">
        <v>730</v>
      </c>
      <c r="C39" s="130">
        <f>ROUND('DOE25'!F170+'DOE25'!G170+'DOE25'!H170+'DOE25'!I170,0)</f>
        <v>254939</v>
      </c>
      <c r="D39" s="133">
        <f t="shared" si="1"/>
        <v>1.7</v>
      </c>
    </row>
    <row r="40" spans="1:4" x14ac:dyDescent="0.2">
      <c r="A40" s="134" t="s">
        <v>735</v>
      </c>
      <c r="B40" s="71" t="s">
        <v>731</v>
      </c>
      <c r="C40" s="130">
        <f>ROUND(SUM('DOE25'!F190:F192)+SUM('DOE25'!G190:G192)+SUM('DOE25'!H190:H192)+SUM('DOE25'!I190:I192),0)</f>
        <v>0</v>
      </c>
      <c r="D40" s="133">
        <f t="shared" si="1"/>
        <v>0</v>
      </c>
    </row>
    <row r="41" spans="1:4" x14ac:dyDescent="0.2">
      <c r="B41" s="137" t="s">
        <v>732</v>
      </c>
      <c r="C41" s="131">
        <f>SUM(C35:C40)</f>
        <v>14717413.35</v>
      </c>
      <c r="D41" s="135">
        <f>SUM(D35:D40)</f>
        <v>99.999999999999986</v>
      </c>
    </row>
    <row r="42" spans="1:4" x14ac:dyDescent="0.2">
      <c r="A42" s="134" t="s">
        <v>737</v>
      </c>
      <c r="B42" s="71" t="s">
        <v>733</v>
      </c>
      <c r="C42" s="130">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13" ht="16.5" thickTop="1" x14ac:dyDescent="0.25">
      <c r="A1" s="279" t="s">
        <v>766</v>
      </c>
      <c r="B1" s="280"/>
      <c r="C1" s="280"/>
      <c r="D1" s="280"/>
      <c r="E1" s="280"/>
      <c r="F1" s="280"/>
      <c r="G1" s="280"/>
      <c r="H1" s="280"/>
      <c r="I1" s="280"/>
      <c r="J1" s="156"/>
      <c r="K1" s="156"/>
      <c r="L1" s="156"/>
      <c r="M1" s="157"/>
    </row>
    <row r="2" spans="1:13" ht="12.75" x14ac:dyDescent="0.2">
      <c r="A2" s="284" t="s">
        <v>763</v>
      </c>
      <c r="B2" s="285"/>
      <c r="C2" s="285"/>
      <c r="D2" s="285"/>
      <c r="E2" s="285"/>
      <c r="F2" s="282" t="str">
        <f>'DOE25'!A2</f>
        <v>Hanover School District</v>
      </c>
      <c r="G2" s="283"/>
      <c r="H2" s="283"/>
      <c r="I2" s="283"/>
      <c r="M2" s="158"/>
    </row>
    <row r="3" spans="1:13" x14ac:dyDescent="0.2">
      <c r="A3" s="159" t="s">
        <v>764</v>
      </c>
      <c r="B3" s="132" t="s">
        <v>765</v>
      </c>
      <c r="C3" s="269" t="s">
        <v>767</v>
      </c>
      <c r="D3" s="269"/>
      <c r="E3" s="269"/>
      <c r="F3" s="269"/>
      <c r="G3" s="269"/>
      <c r="H3" s="269"/>
      <c r="I3" s="269"/>
      <c r="J3" s="269"/>
      <c r="K3" s="269"/>
      <c r="L3" s="269"/>
      <c r="M3" s="281"/>
    </row>
    <row r="4" spans="1:13" x14ac:dyDescent="0.2">
      <c r="A4" s="160"/>
      <c r="B4" s="151"/>
      <c r="C4" s="276"/>
      <c r="D4" s="276"/>
      <c r="E4" s="276"/>
      <c r="F4" s="276"/>
      <c r="G4" s="276"/>
      <c r="H4" s="276"/>
      <c r="I4" s="276"/>
      <c r="J4" s="276"/>
      <c r="K4" s="276"/>
      <c r="L4" s="276"/>
      <c r="M4" s="278"/>
    </row>
    <row r="5" spans="1:13" x14ac:dyDescent="0.2">
      <c r="A5" s="160"/>
      <c r="B5" s="151"/>
      <c r="C5" s="276"/>
      <c r="D5" s="276"/>
      <c r="E5" s="276"/>
      <c r="F5" s="276"/>
      <c r="G5" s="276"/>
      <c r="H5" s="276"/>
      <c r="I5" s="276"/>
      <c r="J5" s="276"/>
      <c r="K5" s="276"/>
      <c r="L5" s="276"/>
      <c r="M5" s="278"/>
    </row>
    <row r="6" spans="1:13" x14ac:dyDescent="0.2">
      <c r="A6" s="160"/>
      <c r="B6" s="151"/>
      <c r="C6" s="276"/>
      <c r="D6" s="276"/>
      <c r="E6" s="276"/>
      <c r="F6" s="276"/>
      <c r="G6" s="276"/>
      <c r="H6" s="276"/>
      <c r="I6" s="276"/>
      <c r="J6" s="276"/>
      <c r="K6" s="276"/>
      <c r="L6" s="276"/>
      <c r="M6" s="278"/>
    </row>
    <row r="7" spans="1:13" x14ac:dyDescent="0.2">
      <c r="A7" s="160"/>
      <c r="B7" s="151"/>
      <c r="C7" s="276"/>
      <c r="D7" s="276"/>
      <c r="E7" s="276"/>
      <c r="F7" s="276"/>
      <c r="G7" s="276"/>
      <c r="H7" s="276"/>
      <c r="I7" s="276"/>
      <c r="J7" s="276"/>
      <c r="K7" s="276"/>
      <c r="L7" s="276"/>
      <c r="M7" s="278"/>
    </row>
    <row r="8" spans="1:13" x14ac:dyDescent="0.2">
      <c r="A8" s="160"/>
      <c r="B8" s="151"/>
      <c r="C8" s="276"/>
      <c r="D8" s="276"/>
      <c r="E8" s="276"/>
      <c r="F8" s="276"/>
      <c r="G8" s="276"/>
      <c r="H8" s="276"/>
      <c r="I8" s="276"/>
      <c r="J8" s="276"/>
      <c r="K8" s="276"/>
      <c r="L8" s="276"/>
      <c r="M8" s="278"/>
    </row>
    <row r="9" spans="1:13" x14ac:dyDescent="0.2">
      <c r="A9" s="160"/>
      <c r="B9" s="151"/>
      <c r="C9" s="276"/>
      <c r="D9" s="276"/>
      <c r="E9" s="276"/>
      <c r="F9" s="276"/>
      <c r="G9" s="276"/>
      <c r="H9" s="276"/>
      <c r="I9" s="276"/>
      <c r="J9" s="276"/>
      <c r="K9" s="276"/>
      <c r="L9" s="276"/>
      <c r="M9" s="278"/>
    </row>
    <row r="10" spans="1:13" x14ac:dyDescent="0.2">
      <c r="A10" s="160"/>
      <c r="B10" s="151"/>
      <c r="C10" s="276"/>
      <c r="D10" s="276"/>
      <c r="E10" s="276"/>
      <c r="F10" s="276"/>
      <c r="G10" s="276"/>
      <c r="H10" s="276"/>
      <c r="I10" s="276"/>
      <c r="J10" s="276"/>
      <c r="K10" s="276"/>
      <c r="L10" s="276"/>
      <c r="M10" s="278"/>
    </row>
    <row r="11" spans="1:13" x14ac:dyDescent="0.2">
      <c r="A11" s="160"/>
      <c r="B11" s="151"/>
      <c r="C11" s="276"/>
      <c r="D11" s="276"/>
      <c r="E11" s="276"/>
      <c r="F11" s="276"/>
      <c r="G11" s="276"/>
      <c r="H11" s="276"/>
      <c r="I11" s="276"/>
      <c r="J11" s="276"/>
      <c r="K11" s="276"/>
      <c r="L11" s="276"/>
      <c r="M11" s="278"/>
    </row>
    <row r="12" spans="1:13" x14ac:dyDescent="0.2">
      <c r="A12" s="160"/>
      <c r="B12" s="151"/>
      <c r="C12" s="276"/>
      <c r="D12" s="276"/>
      <c r="E12" s="276"/>
      <c r="F12" s="276"/>
      <c r="G12" s="276"/>
      <c r="H12" s="276"/>
      <c r="I12" s="276"/>
      <c r="J12" s="276"/>
      <c r="K12" s="276"/>
      <c r="L12" s="276"/>
      <c r="M12" s="278"/>
    </row>
    <row r="13" spans="1:13" x14ac:dyDescent="0.2">
      <c r="A13" s="160"/>
      <c r="B13" s="151"/>
      <c r="C13" s="276"/>
      <c r="D13" s="276"/>
      <c r="E13" s="276"/>
      <c r="F13" s="276"/>
      <c r="G13" s="276"/>
      <c r="H13" s="276"/>
      <c r="I13" s="276"/>
      <c r="J13" s="276"/>
      <c r="K13" s="276"/>
      <c r="L13" s="276"/>
      <c r="M13" s="278"/>
    </row>
    <row r="14" spans="1:13" x14ac:dyDescent="0.2">
      <c r="A14" s="160"/>
      <c r="B14" s="151"/>
      <c r="C14" s="276"/>
      <c r="D14" s="276"/>
      <c r="E14" s="276"/>
      <c r="F14" s="276"/>
      <c r="G14" s="276"/>
      <c r="H14" s="276"/>
      <c r="I14" s="276"/>
      <c r="J14" s="276"/>
      <c r="K14" s="276"/>
      <c r="L14" s="276"/>
      <c r="M14" s="278"/>
    </row>
    <row r="15" spans="1:13" x14ac:dyDescent="0.2">
      <c r="A15" s="160"/>
      <c r="B15" s="151"/>
      <c r="C15" s="276"/>
      <c r="D15" s="276"/>
      <c r="E15" s="276"/>
      <c r="F15" s="276"/>
      <c r="G15" s="276"/>
      <c r="H15" s="276"/>
      <c r="I15" s="276"/>
      <c r="J15" s="276"/>
      <c r="K15" s="276"/>
      <c r="L15" s="276"/>
      <c r="M15" s="278"/>
    </row>
    <row r="16" spans="1:13" x14ac:dyDescent="0.2">
      <c r="A16" s="160"/>
      <c r="B16" s="151"/>
      <c r="C16" s="276"/>
      <c r="D16" s="276"/>
      <c r="E16" s="276"/>
      <c r="F16" s="276"/>
      <c r="G16" s="276"/>
      <c r="H16" s="276"/>
      <c r="I16" s="276"/>
      <c r="J16" s="276"/>
      <c r="K16" s="276"/>
      <c r="L16" s="276"/>
      <c r="M16" s="278"/>
    </row>
    <row r="17" spans="1:256" x14ac:dyDescent="0.2">
      <c r="A17" s="160"/>
      <c r="B17" s="151"/>
      <c r="C17" s="276"/>
      <c r="D17" s="276"/>
      <c r="E17" s="276"/>
      <c r="F17" s="276"/>
      <c r="G17" s="276"/>
      <c r="H17" s="276"/>
      <c r="I17" s="276"/>
      <c r="J17" s="276"/>
      <c r="K17" s="276"/>
      <c r="L17" s="276"/>
      <c r="M17" s="278"/>
    </row>
    <row r="18" spans="1:256" x14ac:dyDescent="0.2">
      <c r="A18" s="160"/>
      <c r="B18" s="151"/>
      <c r="C18" s="276"/>
      <c r="D18" s="276"/>
      <c r="E18" s="276"/>
      <c r="F18" s="276"/>
      <c r="G18" s="276"/>
      <c r="H18" s="276"/>
      <c r="I18" s="276"/>
      <c r="J18" s="276"/>
      <c r="K18" s="276"/>
      <c r="L18" s="276"/>
      <c r="M18" s="278"/>
    </row>
    <row r="19" spans="1:256" x14ac:dyDescent="0.2">
      <c r="A19" s="160"/>
      <c r="B19" s="151"/>
      <c r="C19" s="276"/>
      <c r="D19" s="276"/>
      <c r="E19" s="276"/>
      <c r="F19" s="276"/>
      <c r="G19" s="276"/>
      <c r="H19" s="276"/>
      <c r="I19" s="276"/>
      <c r="J19" s="276"/>
      <c r="K19" s="276"/>
      <c r="L19" s="276"/>
      <c r="M19" s="278"/>
    </row>
    <row r="20" spans="1:256" x14ac:dyDescent="0.2">
      <c r="A20" s="160"/>
      <c r="B20" s="151"/>
      <c r="C20" s="276"/>
      <c r="D20" s="276"/>
      <c r="E20" s="276"/>
      <c r="F20" s="276"/>
      <c r="G20" s="276"/>
      <c r="H20" s="276"/>
      <c r="I20" s="276"/>
      <c r="J20" s="276"/>
      <c r="K20" s="276"/>
      <c r="L20" s="276"/>
      <c r="M20" s="278"/>
    </row>
    <row r="21" spans="1:256" x14ac:dyDescent="0.2">
      <c r="A21" s="160"/>
      <c r="B21" s="151"/>
      <c r="C21" s="276"/>
      <c r="D21" s="276"/>
      <c r="E21" s="276"/>
      <c r="F21" s="276"/>
      <c r="G21" s="276"/>
      <c r="H21" s="276"/>
      <c r="I21" s="276"/>
      <c r="J21" s="276"/>
      <c r="K21" s="276"/>
      <c r="L21" s="276"/>
      <c r="M21" s="278"/>
    </row>
    <row r="22" spans="1:256" x14ac:dyDescent="0.2">
      <c r="A22" s="160"/>
      <c r="B22" s="151"/>
      <c r="C22" s="276"/>
      <c r="D22" s="276"/>
      <c r="E22" s="276"/>
      <c r="F22" s="276"/>
      <c r="G22" s="276"/>
      <c r="H22" s="276"/>
      <c r="I22" s="276"/>
      <c r="J22" s="276"/>
      <c r="K22" s="276"/>
      <c r="L22" s="276"/>
      <c r="M22" s="278"/>
    </row>
    <row r="23" spans="1:256" x14ac:dyDescent="0.2">
      <c r="A23" s="160"/>
      <c r="B23" s="151"/>
      <c r="C23" s="276"/>
      <c r="D23" s="276"/>
      <c r="E23" s="276"/>
      <c r="F23" s="276"/>
      <c r="G23" s="276"/>
      <c r="H23" s="276"/>
      <c r="I23" s="276"/>
      <c r="J23" s="276"/>
      <c r="K23" s="276"/>
      <c r="L23" s="276"/>
      <c r="M23" s="278"/>
    </row>
    <row r="24" spans="1:256" x14ac:dyDescent="0.2">
      <c r="A24" s="160"/>
      <c r="B24" s="151"/>
      <c r="C24" s="276"/>
      <c r="D24" s="276"/>
      <c r="E24" s="276"/>
      <c r="F24" s="276"/>
      <c r="G24" s="276"/>
      <c r="H24" s="276"/>
      <c r="I24" s="276"/>
      <c r="J24" s="276"/>
      <c r="K24" s="276"/>
      <c r="L24" s="276"/>
      <c r="M24" s="278"/>
    </row>
    <row r="25" spans="1:256" x14ac:dyDescent="0.2">
      <c r="A25" s="160"/>
      <c r="B25" s="151"/>
      <c r="C25" s="276"/>
      <c r="D25" s="276"/>
      <c r="E25" s="276"/>
      <c r="F25" s="276"/>
      <c r="G25" s="276"/>
      <c r="H25" s="276"/>
      <c r="I25" s="276"/>
      <c r="J25" s="276"/>
      <c r="K25" s="276"/>
      <c r="L25" s="276"/>
      <c r="M25" s="278"/>
    </row>
    <row r="26" spans="1:256" x14ac:dyDescent="0.2">
      <c r="A26" s="160"/>
      <c r="B26" s="151"/>
      <c r="C26" s="276"/>
      <c r="D26" s="276"/>
      <c r="E26" s="276"/>
      <c r="F26" s="276"/>
      <c r="G26" s="276"/>
      <c r="H26" s="276"/>
      <c r="I26" s="276"/>
      <c r="J26" s="276"/>
      <c r="K26" s="276"/>
      <c r="L26" s="276"/>
      <c r="M26" s="278"/>
    </row>
    <row r="27" spans="1:256" x14ac:dyDescent="0.2">
      <c r="A27" s="160"/>
      <c r="B27" s="151"/>
      <c r="C27" s="276"/>
      <c r="D27" s="276"/>
      <c r="E27" s="276"/>
      <c r="F27" s="276"/>
      <c r="G27" s="276"/>
      <c r="H27" s="276"/>
      <c r="I27" s="276"/>
      <c r="J27" s="276"/>
      <c r="K27" s="276"/>
      <c r="L27" s="276"/>
      <c r="M27" s="278"/>
    </row>
    <row r="28" spans="1:256" x14ac:dyDescent="0.2">
      <c r="A28" s="160"/>
      <c r="B28" s="151"/>
      <c r="C28" s="276"/>
      <c r="D28" s="276"/>
      <c r="E28" s="276"/>
      <c r="F28" s="276"/>
      <c r="G28" s="276"/>
      <c r="H28" s="276"/>
      <c r="I28" s="276"/>
      <c r="J28" s="276"/>
      <c r="K28" s="276"/>
      <c r="L28" s="276"/>
      <c r="M28" s="278"/>
    </row>
    <row r="29" spans="1:256" x14ac:dyDescent="0.2">
      <c r="A29" s="160"/>
      <c r="B29" s="151"/>
      <c r="C29" s="276"/>
      <c r="D29" s="276"/>
      <c r="E29" s="276"/>
      <c r="F29" s="276"/>
      <c r="G29" s="276"/>
      <c r="H29" s="276"/>
      <c r="I29" s="276"/>
      <c r="J29" s="276"/>
      <c r="K29" s="276"/>
      <c r="L29" s="276"/>
      <c r="M29" s="278"/>
      <c r="N29" s="154"/>
      <c r="O29" s="154"/>
      <c r="P29" s="277"/>
      <c r="Q29" s="277"/>
      <c r="R29" s="277"/>
      <c r="S29" s="277"/>
      <c r="T29" s="277"/>
      <c r="U29" s="277"/>
      <c r="V29" s="277"/>
      <c r="W29" s="277"/>
      <c r="X29" s="277"/>
      <c r="Y29" s="277"/>
      <c r="Z29" s="277"/>
      <c r="AA29" s="151"/>
      <c r="AB29" s="151"/>
      <c r="AC29" s="276"/>
      <c r="AD29" s="276"/>
      <c r="AE29" s="276"/>
      <c r="AF29" s="276"/>
      <c r="AG29" s="276"/>
      <c r="AH29" s="276"/>
      <c r="AI29" s="276"/>
      <c r="AJ29" s="276"/>
      <c r="AK29" s="276"/>
      <c r="AL29" s="276"/>
      <c r="AM29" s="276"/>
      <c r="AN29" s="151"/>
      <c r="AO29" s="151"/>
      <c r="AP29" s="276"/>
      <c r="AQ29" s="276"/>
      <c r="AR29" s="276"/>
      <c r="AS29" s="276"/>
      <c r="AT29" s="276"/>
      <c r="AU29" s="276"/>
      <c r="AV29" s="276"/>
      <c r="AW29" s="276"/>
      <c r="AX29" s="276"/>
      <c r="AY29" s="276"/>
      <c r="AZ29" s="276"/>
      <c r="BA29" s="151"/>
      <c r="BB29" s="151"/>
      <c r="BC29" s="276"/>
      <c r="BD29" s="276"/>
      <c r="BE29" s="276"/>
      <c r="BF29" s="276"/>
      <c r="BG29" s="276"/>
      <c r="BH29" s="276"/>
      <c r="BI29" s="276"/>
      <c r="BJ29" s="276"/>
      <c r="BK29" s="276"/>
      <c r="BL29" s="276"/>
      <c r="BM29" s="276"/>
      <c r="BN29" s="151"/>
      <c r="BO29" s="151"/>
      <c r="BP29" s="276"/>
      <c r="BQ29" s="276"/>
      <c r="BR29" s="276"/>
      <c r="BS29" s="276"/>
      <c r="BT29" s="276"/>
      <c r="BU29" s="276"/>
      <c r="BV29" s="276"/>
      <c r="BW29" s="276"/>
      <c r="BX29" s="276"/>
      <c r="BY29" s="276"/>
      <c r="BZ29" s="276"/>
      <c r="CA29" s="151"/>
      <c r="CB29" s="151"/>
      <c r="CC29" s="276"/>
      <c r="CD29" s="276"/>
      <c r="CE29" s="276"/>
      <c r="CF29" s="276"/>
      <c r="CG29" s="276"/>
      <c r="CH29" s="276"/>
      <c r="CI29" s="276"/>
      <c r="CJ29" s="276"/>
      <c r="CK29" s="276"/>
      <c r="CL29" s="276"/>
      <c r="CM29" s="276"/>
      <c r="CN29" s="151"/>
      <c r="CO29" s="151"/>
      <c r="CP29" s="276"/>
      <c r="CQ29" s="276"/>
      <c r="CR29" s="276"/>
      <c r="CS29" s="276"/>
      <c r="CT29" s="276"/>
      <c r="CU29" s="276"/>
      <c r="CV29" s="276"/>
      <c r="CW29" s="276"/>
      <c r="CX29" s="276"/>
      <c r="CY29" s="276"/>
      <c r="CZ29" s="276"/>
      <c r="DA29" s="151"/>
      <c r="DB29" s="151"/>
      <c r="DC29" s="276"/>
      <c r="DD29" s="276"/>
      <c r="DE29" s="276"/>
      <c r="DF29" s="276"/>
      <c r="DG29" s="276"/>
      <c r="DH29" s="276"/>
      <c r="DI29" s="276"/>
      <c r="DJ29" s="276"/>
      <c r="DK29" s="276"/>
      <c r="DL29" s="276"/>
      <c r="DM29" s="276"/>
      <c r="DN29" s="151"/>
      <c r="DO29" s="151"/>
      <c r="DP29" s="276"/>
      <c r="DQ29" s="276"/>
      <c r="DR29" s="276"/>
      <c r="DS29" s="276"/>
      <c r="DT29" s="276"/>
      <c r="DU29" s="276"/>
      <c r="DV29" s="276"/>
      <c r="DW29" s="276"/>
      <c r="DX29" s="276"/>
      <c r="DY29" s="276"/>
      <c r="DZ29" s="276"/>
      <c r="EA29" s="151"/>
      <c r="EB29" s="151"/>
      <c r="EC29" s="276"/>
      <c r="ED29" s="276"/>
      <c r="EE29" s="276"/>
      <c r="EF29" s="276"/>
      <c r="EG29" s="276"/>
      <c r="EH29" s="276"/>
      <c r="EI29" s="276"/>
      <c r="EJ29" s="276"/>
      <c r="EK29" s="276"/>
      <c r="EL29" s="276"/>
      <c r="EM29" s="276"/>
      <c r="EN29" s="151"/>
      <c r="EO29" s="151"/>
      <c r="EP29" s="276"/>
      <c r="EQ29" s="276"/>
      <c r="ER29" s="276"/>
      <c r="ES29" s="276"/>
      <c r="ET29" s="276"/>
      <c r="EU29" s="276"/>
      <c r="EV29" s="276"/>
      <c r="EW29" s="276"/>
      <c r="EX29" s="276"/>
      <c r="EY29" s="276"/>
      <c r="EZ29" s="276"/>
      <c r="FA29" s="151"/>
      <c r="FB29" s="151"/>
      <c r="FC29" s="276"/>
      <c r="FD29" s="276"/>
      <c r="FE29" s="276"/>
      <c r="FF29" s="276"/>
      <c r="FG29" s="276"/>
      <c r="FH29" s="276"/>
      <c r="FI29" s="276"/>
      <c r="FJ29" s="276"/>
      <c r="FK29" s="276"/>
      <c r="FL29" s="276"/>
      <c r="FM29" s="276"/>
      <c r="FN29" s="151"/>
      <c r="FO29" s="151"/>
      <c r="FP29" s="276"/>
      <c r="FQ29" s="276"/>
      <c r="FR29" s="276"/>
      <c r="FS29" s="276"/>
      <c r="FT29" s="276"/>
      <c r="FU29" s="276"/>
      <c r="FV29" s="276"/>
      <c r="FW29" s="276"/>
      <c r="FX29" s="276"/>
      <c r="FY29" s="276"/>
      <c r="FZ29" s="276"/>
      <c r="GA29" s="151"/>
      <c r="GB29" s="151"/>
      <c r="GC29" s="276"/>
      <c r="GD29" s="276"/>
      <c r="GE29" s="276"/>
      <c r="GF29" s="276"/>
      <c r="GG29" s="276"/>
      <c r="GH29" s="276"/>
      <c r="GI29" s="276"/>
      <c r="GJ29" s="276"/>
      <c r="GK29" s="276"/>
      <c r="GL29" s="276"/>
      <c r="GM29" s="276"/>
      <c r="GN29" s="151"/>
      <c r="GO29" s="151"/>
      <c r="GP29" s="276"/>
      <c r="GQ29" s="276"/>
      <c r="GR29" s="276"/>
      <c r="GS29" s="276"/>
      <c r="GT29" s="276"/>
      <c r="GU29" s="276"/>
      <c r="GV29" s="276"/>
      <c r="GW29" s="276"/>
      <c r="GX29" s="276"/>
      <c r="GY29" s="276"/>
      <c r="GZ29" s="276"/>
      <c r="HA29" s="151"/>
      <c r="HB29" s="151"/>
      <c r="HC29" s="276"/>
      <c r="HD29" s="276"/>
      <c r="HE29" s="276"/>
      <c r="HF29" s="276"/>
      <c r="HG29" s="276"/>
      <c r="HH29" s="276"/>
      <c r="HI29" s="276"/>
      <c r="HJ29" s="276"/>
      <c r="HK29" s="276"/>
      <c r="HL29" s="276"/>
      <c r="HM29" s="276"/>
      <c r="HN29" s="151"/>
      <c r="HO29" s="151"/>
      <c r="HP29" s="276"/>
      <c r="HQ29" s="276"/>
      <c r="HR29" s="276"/>
      <c r="HS29" s="276"/>
      <c r="HT29" s="276"/>
      <c r="HU29" s="276"/>
      <c r="HV29" s="276"/>
      <c r="HW29" s="276"/>
      <c r="HX29" s="276"/>
      <c r="HY29" s="276"/>
      <c r="HZ29" s="276"/>
      <c r="IA29" s="151"/>
      <c r="IB29" s="151"/>
      <c r="IC29" s="276"/>
      <c r="ID29" s="276"/>
      <c r="IE29" s="276"/>
      <c r="IF29" s="276"/>
      <c r="IG29" s="276"/>
      <c r="IH29" s="276"/>
      <c r="II29" s="276"/>
      <c r="IJ29" s="276"/>
      <c r="IK29" s="276"/>
      <c r="IL29" s="276"/>
      <c r="IM29" s="276"/>
      <c r="IN29" s="151"/>
      <c r="IO29" s="151"/>
      <c r="IP29" s="276"/>
      <c r="IQ29" s="276"/>
      <c r="IR29" s="276"/>
      <c r="IS29" s="276"/>
      <c r="IT29" s="276"/>
      <c r="IU29" s="276"/>
      <c r="IV29" s="276"/>
    </row>
    <row r="30" spans="1:256" x14ac:dyDescent="0.2">
      <c r="A30" s="160"/>
      <c r="B30" s="151"/>
      <c r="C30" s="276"/>
      <c r="D30" s="276"/>
      <c r="E30" s="276"/>
      <c r="F30" s="276"/>
      <c r="G30" s="276"/>
      <c r="H30" s="276"/>
      <c r="I30" s="276"/>
      <c r="J30" s="276"/>
      <c r="K30" s="276"/>
      <c r="L30" s="276"/>
      <c r="M30" s="278"/>
      <c r="N30" s="154"/>
      <c r="O30" s="154"/>
      <c r="P30" s="277"/>
      <c r="Q30" s="277"/>
      <c r="R30" s="277"/>
      <c r="S30" s="277"/>
      <c r="T30" s="277"/>
      <c r="U30" s="277"/>
      <c r="V30" s="277"/>
      <c r="W30" s="277"/>
      <c r="X30" s="277"/>
      <c r="Y30" s="277"/>
      <c r="Z30" s="277"/>
      <c r="AA30" s="151"/>
      <c r="AB30" s="151"/>
      <c r="AC30" s="276"/>
      <c r="AD30" s="276"/>
      <c r="AE30" s="276"/>
      <c r="AF30" s="276"/>
      <c r="AG30" s="276"/>
      <c r="AH30" s="276"/>
      <c r="AI30" s="276"/>
      <c r="AJ30" s="276"/>
      <c r="AK30" s="276"/>
      <c r="AL30" s="276"/>
      <c r="AM30" s="276"/>
      <c r="AN30" s="151"/>
      <c r="AO30" s="151"/>
      <c r="AP30" s="276"/>
      <c r="AQ30" s="276"/>
      <c r="AR30" s="276"/>
      <c r="AS30" s="276"/>
      <c r="AT30" s="276"/>
      <c r="AU30" s="276"/>
      <c r="AV30" s="276"/>
      <c r="AW30" s="276"/>
      <c r="AX30" s="276"/>
      <c r="AY30" s="276"/>
      <c r="AZ30" s="276"/>
      <c r="BA30" s="151"/>
      <c r="BB30" s="151"/>
      <c r="BC30" s="276"/>
      <c r="BD30" s="276"/>
      <c r="BE30" s="276"/>
      <c r="BF30" s="276"/>
      <c r="BG30" s="276"/>
      <c r="BH30" s="276"/>
      <c r="BI30" s="276"/>
      <c r="BJ30" s="276"/>
      <c r="BK30" s="276"/>
      <c r="BL30" s="276"/>
      <c r="BM30" s="276"/>
      <c r="BN30" s="151"/>
      <c r="BO30" s="151"/>
      <c r="BP30" s="276"/>
      <c r="BQ30" s="276"/>
      <c r="BR30" s="276"/>
      <c r="BS30" s="276"/>
      <c r="BT30" s="276"/>
      <c r="BU30" s="276"/>
      <c r="BV30" s="276"/>
      <c r="BW30" s="276"/>
      <c r="BX30" s="276"/>
      <c r="BY30" s="276"/>
      <c r="BZ30" s="276"/>
      <c r="CA30" s="151"/>
      <c r="CB30" s="151"/>
      <c r="CC30" s="276"/>
      <c r="CD30" s="276"/>
      <c r="CE30" s="276"/>
      <c r="CF30" s="276"/>
      <c r="CG30" s="276"/>
      <c r="CH30" s="276"/>
      <c r="CI30" s="276"/>
      <c r="CJ30" s="276"/>
      <c r="CK30" s="276"/>
      <c r="CL30" s="276"/>
      <c r="CM30" s="276"/>
      <c r="CN30" s="151"/>
      <c r="CO30" s="151"/>
      <c r="CP30" s="276"/>
      <c r="CQ30" s="276"/>
      <c r="CR30" s="276"/>
      <c r="CS30" s="276"/>
      <c r="CT30" s="276"/>
      <c r="CU30" s="276"/>
      <c r="CV30" s="276"/>
      <c r="CW30" s="276"/>
      <c r="CX30" s="276"/>
      <c r="CY30" s="276"/>
      <c r="CZ30" s="276"/>
      <c r="DA30" s="151"/>
      <c r="DB30" s="151"/>
      <c r="DC30" s="276"/>
      <c r="DD30" s="276"/>
      <c r="DE30" s="276"/>
      <c r="DF30" s="276"/>
      <c r="DG30" s="276"/>
      <c r="DH30" s="276"/>
      <c r="DI30" s="276"/>
      <c r="DJ30" s="276"/>
      <c r="DK30" s="276"/>
      <c r="DL30" s="276"/>
      <c r="DM30" s="276"/>
      <c r="DN30" s="151"/>
      <c r="DO30" s="151"/>
      <c r="DP30" s="276"/>
      <c r="DQ30" s="276"/>
      <c r="DR30" s="276"/>
      <c r="DS30" s="276"/>
      <c r="DT30" s="276"/>
      <c r="DU30" s="276"/>
      <c r="DV30" s="276"/>
      <c r="DW30" s="276"/>
      <c r="DX30" s="276"/>
      <c r="DY30" s="276"/>
      <c r="DZ30" s="276"/>
      <c r="EA30" s="151"/>
      <c r="EB30" s="151"/>
      <c r="EC30" s="276"/>
      <c r="ED30" s="276"/>
      <c r="EE30" s="276"/>
      <c r="EF30" s="276"/>
      <c r="EG30" s="276"/>
      <c r="EH30" s="276"/>
      <c r="EI30" s="276"/>
      <c r="EJ30" s="276"/>
      <c r="EK30" s="276"/>
      <c r="EL30" s="276"/>
      <c r="EM30" s="276"/>
      <c r="EN30" s="151"/>
      <c r="EO30" s="151"/>
      <c r="EP30" s="276"/>
      <c r="EQ30" s="276"/>
      <c r="ER30" s="276"/>
      <c r="ES30" s="276"/>
      <c r="ET30" s="276"/>
      <c r="EU30" s="276"/>
      <c r="EV30" s="276"/>
      <c r="EW30" s="276"/>
      <c r="EX30" s="276"/>
      <c r="EY30" s="276"/>
      <c r="EZ30" s="276"/>
      <c r="FA30" s="151"/>
      <c r="FB30" s="151"/>
      <c r="FC30" s="276"/>
      <c r="FD30" s="276"/>
      <c r="FE30" s="276"/>
      <c r="FF30" s="276"/>
      <c r="FG30" s="276"/>
      <c r="FH30" s="276"/>
      <c r="FI30" s="276"/>
      <c r="FJ30" s="276"/>
      <c r="FK30" s="276"/>
      <c r="FL30" s="276"/>
      <c r="FM30" s="276"/>
      <c r="FN30" s="151"/>
      <c r="FO30" s="151"/>
      <c r="FP30" s="276"/>
      <c r="FQ30" s="276"/>
      <c r="FR30" s="276"/>
      <c r="FS30" s="276"/>
      <c r="FT30" s="276"/>
      <c r="FU30" s="276"/>
      <c r="FV30" s="276"/>
      <c r="FW30" s="276"/>
      <c r="FX30" s="276"/>
      <c r="FY30" s="276"/>
      <c r="FZ30" s="276"/>
      <c r="GA30" s="151"/>
      <c r="GB30" s="151"/>
      <c r="GC30" s="276"/>
      <c r="GD30" s="276"/>
      <c r="GE30" s="276"/>
      <c r="GF30" s="276"/>
      <c r="GG30" s="276"/>
      <c r="GH30" s="276"/>
      <c r="GI30" s="276"/>
      <c r="GJ30" s="276"/>
      <c r="GK30" s="276"/>
      <c r="GL30" s="276"/>
      <c r="GM30" s="276"/>
      <c r="GN30" s="151"/>
      <c r="GO30" s="151"/>
      <c r="GP30" s="276"/>
      <c r="GQ30" s="276"/>
      <c r="GR30" s="276"/>
      <c r="GS30" s="276"/>
      <c r="GT30" s="276"/>
      <c r="GU30" s="276"/>
      <c r="GV30" s="276"/>
      <c r="GW30" s="276"/>
      <c r="GX30" s="276"/>
      <c r="GY30" s="276"/>
      <c r="GZ30" s="276"/>
      <c r="HA30" s="151"/>
      <c r="HB30" s="151"/>
      <c r="HC30" s="276"/>
      <c r="HD30" s="276"/>
      <c r="HE30" s="276"/>
      <c r="HF30" s="276"/>
      <c r="HG30" s="276"/>
      <c r="HH30" s="276"/>
      <c r="HI30" s="276"/>
      <c r="HJ30" s="276"/>
      <c r="HK30" s="276"/>
      <c r="HL30" s="276"/>
      <c r="HM30" s="276"/>
      <c r="HN30" s="151"/>
      <c r="HO30" s="151"/>
      <c r="HP30" s="276"/>
      <c r="HQ30" s="276"/>
      <c r="HR30" s="276"/>
      <c r="HS30" s="276"/>
      <c r="HT30" s="276"/>
      <c r="HU30" s="276"/>
      <c r="HV30" s="276"/>
      <c r="HW30" s="276"/>
      <c r="HX30" s="276"/>
      <c r="HY30" s="276"/>
      <c r="HZ30" s="276"/>
      <c r="IA30" s="151"/>
      <c r="IB30" s="151"/>
      <c r="IC30" s="276"/>
      <c r="ID30" s="276"/>
      <c r="IE30" s="276"/>
      <c r="IF30" s="276"/>
      <c r="IG30" s="276"/>
      <c r="IH30" s="276"/>
      <c r="II30" s="276"/>
      <c r="IJ30" s="276"/>
      <c r="IK30" s="276"/>
      <c r="IL30" s="276"/>
      <c r="IM30" s="276"/>
      <c r="IN30" s="151"/>
      <c r="IO30" s="151"/>
      <c r="IP30" s="276"/>
      <c r="IQ30" s="276"/>
      <c r="IR30" s="276"/>
      <c r="IS30" s="276"/>
      <c r="IT30" s="276"/>
      <c r="IU30" s="276"/>
      <c r="IV30" s="276"/>
    </row>
    <row r="31" spans="1:256" x14ac:dyDescent="0.2">
      <c r="A31" s="160"/>
      <c r="B31" s="151"/>
      <c r="C31" s="276"/>
      <c r="D31" s="276"/>
      <c r="E31" s="276"/>
      <c r="F31" s="276"/>
      <c r="G31" s="276"/>
      <c r="H31" s="276"/>
      <c r="I31" s="276"/>
      <c r="J31" s="276"/>
      <c r="K31" s="276"/>
      <c r="L31" s="276"/>
      <c r="M31" s="278"/>
      <c r="N31" s="154"/>
      <c r="O31" s="154"/>
      <c r="P31" s="277"/>
      <c r="Q31" s="277"/>
      <c r="R31" s="277"/>
      <c r="S31" s="277"/>
      <c r="T31" s="277"/>
      <c r="U31" s="277"/>
      <c r="V31" s="277"/>
      <c r="W31" s="277"/>
      <c r="X31" s="277"/>
      <c r="Y31" s="277"/>
      <c r="Z31" s="277"/>
      <c r="AA31" s="151"/>
      <c r="AB31" s="151"/>
      <c r="AC31" s="276"/>
      <c r="AD31" s="276"/>
      <c r="AE31" s="276"/>
      <c r="AF31" s="276"/>
      <c r="AG31" s="276"/>
      <c r="AH31" s="276"/>
      <c r="AI31" s="276"/>
      <c r="AJ31" s="276"/>
      <c r="AK31" s="276"/>
      <c r="AL31" s="276"/>
      <c r="AM31" s="276"/>
      <c r="AN31" s="151"/>
      <c r="AO31" s="151"/>
      <c r="AP31" s="276"/>
      <c r="AQ31" s="276"/>
      <c r="AR31" s="276"/>
      <c r="AS31" s="276"/>
      <c r="AT31" s="276"/>
      <c r="AU31" s="276"/>
      <c r="AV31" s="276"/>
      <c r="AW31" s="276"/>
      <c r="AX31" s="276"/>
      <c r="AY31" s="276"/>
      <c r="AZ31" s="276"/>
      <c r="BA31" s="151"/>
      <c r="BB31" s="151"/>
      <c r="BC31" s="276"/>
      <c r="BD31" s="276"/>
      <c r="BE31" s="276"/>
      <c r="BF31" s="276"/>
      <c r="BG31" s="276"/>
      <c r="BH31" s="276"/>
      <c r="BI31" s="276"/>
      <c r="BJ31" s="276"/>
      <c r="BK31" s="276"/>
      <c r="BL31" s="276"/>
      <c r="BM31" s="276"/>
      <c r="BN31" s="151"/>
      <c r="BO31" s="151"/>
      <c r="BP31" s="276"/>
      <c r="BQ31" s="276"/>
      <c r="BR31" s="276"/>
      <c r="BS31" s="276"/>
      <c r="BT31" s="276"/>
      <c r="BU31" s="276"/>
      <c r="BV31" s="276"/>
      <c r="BW31" s="276"/>
      <c r="BX31" s="276"/>
      <c r="BY31" s="276"/>
      <c r="BZ31" s="276"/>
      <c r="CA31" s="151"/>
      <c r="CB31" s="151"/>
      <c r="CC31" s="276"/>
      <c r="CD31" s="276"/>
      <c r="CE31" s="276"/>
      <c r="CF31" s="276"/>
      <c r="CG31" s="276"/>
      <c r="CH31" s="276"/>
      <c r="CI31" s="276"/>
      <c r="CJ31" s="276"/>
      <c r="CK31" s="276"/>
      <c r="CL31" s="276"/>
      <c r="CM31" s="276"/>
      <c r="CN31" s="151"/>
      <c r="CO31" s="151"/>
      <c r="CP31" s="276"/>
      <c r="CQ31" s="276"/>
      <c r="CR31" s="276"/>
      <c r="CS31" s="276"/>
      <c r="CT31" s="276"/>
      <c r="CU31" s="276"/>
      <c r="CV31" s="276"/>
      <c r="CW31" s="276"/>
      <c r="CX31" s="276"/>
      <c r="CY31" s="276"/>
      <c r="CZ31" s="276"/>
      <c r="DA31" s="151"/>
      <c r="DB31" s="151"/>
      <c r="DC31" s="276"/>
      <c r="DD31" s="276"/>
      <c r="DE31" s="276"/>
      <c r="DF31" s="276"/>
      <c r="DG31" s="276"/>
      <c r="DH31" s="276"/>
      <c r="DI31" s="276"/>
      <c r="DJ31" s="276"/>
      <c r="DK31" s="276"/>
      <c r="DL31" s="276"/>
      <c r="DM31" s="276"/>
      <c r="DN31" s="151"/>
      <c r="DO31" s="151"/>
      <c r="DP31" s="276"/>
      <c r="DQ31" s="276"/>
      <c r="DR31" s="276"/>
      <c r="DS31" s="276"/>
      <c r="DT31" s="276"/>
      <c r="DU31" s="276"/>
      <c r="DV31" s="276"/>
      <c r="DW31" s="276"/>
      <c r="DX31" s="276"/>
      <c r="DY31" s="276"/>
      <c r="DZ31" s="276"/>
      <c r="EA31" s="151"/>
      <c r="EB31" s="151"/>
      <c r="EC31" s="276"/>
      <c r="ED31" s="276"/>
      <c r="EE31" s="276"/>
      <c r="EF31" s="276"/>
      <c r="EG31" s="276"/>
      <c r="EH31" s="276"/>
      <c r="EI31" s="276"/>
      <c r="EJ31" s="276"/>
      <c r="EK31" s="276"/>
      <c r="EL31" s="276"/>
      <c r="EM31" s="276"/>
      <c r="EN31" s="151"/>
      <c r="EO31" s="151"/>
      <c r="EP31" s="276"/>
      <c r="EQ31" s="276"/>
      <c r="ER31" s="276"/>
      <c r="ES31" s="276"/>
      <c r="ET31" s="276"/>
      <c r="EU31" s="276"/>
      <c r="EV31" s="276"/>
      <c r="EW31" s="276"/>
      <c r="EX31" s="276"/>
      <c r="EY31" s="276"/>
      <c r="EZ31" s="276"/>
      <c r="FA31" s="151"/>
      <c r="FB31" s="151"/>
      <c r="FC31" s="276"/>
      <c r="FD31" s="276"/>
      <c r="FE31" s="276"/>
      <c r="FF31" s="276"/>
      <c r="FG31" s="276"/>
      <c r="FH31" s="276"/>
      <c r="FI31" s="276"/>
      <c r="FJ31" s="276"/>
      <c r="FK31" s="276"/>
      <c r="FL31" s="276"/>
      <c r="FM31" s="276"/>
      <c r="FN31" s="151"/>
      <c r="FO31" s="151"/>
      <c r="FP31" s="276"/>
      <c r="FQ31" s="276"/>
      <c r="FR31" s="276"/>
      <c r="FS31" s="276"/>
      <c r="FT31" s="276"/>
      <c r="FU31" s="276"/>
      <c r="FV31" s="276"/>
      <c r="FW31" s="276"/>
      <c r="FX31" s="276"/>
      <c r="FY31" s="276"/>
      <c r="FZ31" s="276"/>
      <c r="GA31" s="151"/>
      <c r="GB31" s="151"/>
      <c r="GC31" s="276"/>
      <c r="GD31" s="276"/>
      <c r="GE31" s="276"/>
      <c r="GF31" s="276"/>
      <c r="GG31" s="276"/>
      <c r="GH31" s="276"/>
      <c r="GI31" s="276"/>
      <c r="GJ31" s="276"/>
      <c r="GK31" s="276"/>
      <c r="GL31" s="276"/>
      <c r="GM31" s="276"/>
      <c r="GN31" s="151"/>
      <c r="GO31" s="151"/>
      <c r="GP31" s="276"/>
      <c r="GQ31" s="276"/>
      <c r="GR31" s="276"/>
      <c r="GS31" s="276"/>
      <c r="GT31" s="276"/>
      <c r="GU31" s="276"/>
      <c r="GV31" s="276"/>
      <c r="GW31" s="276"/>
      <c r="GX31" s="276"/>
      <c r="GY31" s="276"/>
      <c r="GZ31" s="276"/>
      <c r="HA31" s="151"/>
      <c r="HB31" s="151"/>
      <c r="HC31" s="276"/>
      <c r="HD31" s="276"/>
      <c r="HE31" s="276"/>
      <c r="HF31" s="276"/>
      <c r="HG31" s="276"/>
      <c r="HH31" s="276"/>
      <c r="HI31" s="276"/>
      <c r="HJ31" s="276"/>
      <c r="HK31" s="276"/>
      <c r="HL31" s="276"/>
      <c r="HM31" s="276"/>
      <c r="HN31" s="151"/>
      <c r="HO31" s="151"/>
      <c r="HP31" s="276"/>
      <c r="HQ31" s="276"/>
      <c r="HR31" s="276"/>
      <c r="HS31" s="276"/>
      <c r="HT31" s="276"/>
      <c r="HU31" s="276"/>
      <c r="HV31" s="276"/>
      <c r="HW31" s="276"/>
      <c r="HX31" s="276"/>
      <c r="HY31" s="276"/>
      <c r="HZ31" s="276"/>
      <c r="IA31" s="151"/>
      <c r="IB31" s="151"/>
      <c r="IC31" s="276"/>
      <c r="ID31" s="276"/>
      <c r="IE31" s="276"/>
      <c r="IF31" s="276"/>
      <c r="IG31" s="276"/>
      <c r="IH31" s="276"/>
      <c r="II31" s="276"/>
      <c r="IJ31" s="276"/>
      <c r="IK31" s="276"/>
      <c r="IL31" s="276"/>
      <c r="IM31" s="276"/>
      <c r="IN31" s="151"/>
      <c r="IO31" s="151"/>
      <c r="IP31" s="276"/>
      <c r="IQ31" s="276"/>
      <c r="IR31" s="276"/>
      <c r="IS31" s="276"/>
      <c r="IT31" s="276"/>
      <c r="IU31" s="276"/>
      <c r="IV31" s="276"/>
    </row>
    <row r="32" spans="1:256" x14ac:dyDescent="0.2">
      <c r="A32" s="160"/>
      <c r="B32" s="151"/>
      <c r="C32" s="276"/>
      <c r="D32" s="276"/>
      <c r="E32" s="276"/>
      <c r="F32" s="276"/>
      <c r="G32" s="276"/>
      <c r="H32" s="276"/>
      <c r="I32" s="276"/>
      <c r="J32" s="276"/>
      <c r="K32" s="276"/>
      <c r="L32" s="276"/>
      <c r="M32" s="278"/>
      <c r="N32" s="154"/>
      <c r="O32" s="154"/>
      <c r="P32" s="277"/>
      <c r="Q32" s="277"/>
      <c r="R32" s="277"/>
      <c r="S32" s="277"/>
      <c r="T32" s="277"/>
      <c r="U32" s="277"/>
      <c r="V32" s="277"/>
      <c r="W32" s="277"/>
      <c r="X32" s="277"/>
      <c r="Y32" s="277"/>
      <c r="Z32" s="286"/>
      <c r="AA32" s="160"/>
      <c r="AB32" s="151"/>
      <c r="AC32" s="276"/>
      <c r="AD32" s="276"/>
      <c r="AE32" s="276"/>
      <c r="AF32" s="276"/>
      <c r="AG32" s="276"/>
      <c r="AH32" s="276"/>
      <c r="AI32" s="276"/>
      <c r="AJ32" s="276"/>
      <c r="AK32" s="276"/>
      <c r="AL32" s="276"/>
      <c r="AM32" s="278"/>
      <c r="AN32" s="160"/>
      <c r="AO32" s="151"/>
      <c r="AP32" s="276"/>
      <c r="AQ32" s="276"/>
      <c r="AR32" s="276"/>
      <c r="AS32" s="276"/>
      <c r="AT32" s="276"/>
      <c r="AU32" s="276"/>
      <c r="AV32" s="276"/>
      <c r="AW32" s="276"/>
      <c r="AX32" s="276"/>
      <c r="AY32" s="276"/>
      <c r="AZ32" s="278"/>
      <c r="BA32" s="160"/>
      <c r="BB32" s="151"/>
      <c r="BC32" s="276"/>
      <c r="BD32" s="276"/>
      <c r="BE32" s="276"/>
      <c r="BF32" s="276"/>
      <c r="BG32" s="276"/>
      <c r="BH32" s="276"/>
      <c r="BI32" s="276"/>
      <c r="BJ32" s="276"/>
      <c r="BK32" s="276"/>
      <c r="BL32" s="276"/>
      <c r="BM32" s="278"/>
      <c r="BN32" s="160"/>
      <c r="BO32" s="151"/>
      <c r="BP32" s="276"/>
      <c r="BQ32" s="276"/>
      <c r="BR32" s="276"/>
      <c r="BS32" s="276"/>
      <c r="BT32" s="276"/>
      <c r="BU32" s="276"/>
      <c r="BV32" s="276"/>
      <c r="BW32" s="276"/>
      <c r="BX32" s="276"/>
      <c r="BY32" s="276"/>
      <c r="BZ32" s="278"/>
      <c r="CA32" s="160"/>
      <c r="CB32" s="151"/>
      <c r="CC32" s="276"/>
      <c r="CD32" s="276"/>
      <c r="CE32" s="276"/>
      <c r="CF32" s="276"/>
      <c r="CG32" s="276"/>
      <c r="CH32" s="276"/>
      <c r="CI32" s="276"/>
      <c r="CJ32" s="276"/>
      <c r="CK32" s="276"/>
      <c r="CL32" s="276"/>
      <c r="CM32" s="278"/>
      <c r="CN32" s="160"/>
      <c r="CO32" s="151"/>
      <c r="CP32" s="276"/>
      <c r="CQ32" s="276"/>
      <c r="CR32" s="276"/>
      <c r="CS32" s="276"/>
      <c r="CT32" s="276"/>
      <c r="CU32" s="276"/>
      <c r="CV32" s="276"/>
      <c r="CW32" s="276"/>
      <c r="CX32" s="276"/>
      <c r="CY32" s="276"/>
      <c r="CZ32" s="278"/>
      <c r="DA32" s="160"/>
      <c r="DB32" s="151"/>
      <c r="DC32" s="276"/>
      <c r="DD32" s="276"/>
      <c r="DE32" s="276"/>
      <c r="DF32" s="276"/>
      <c r="DG32" s="276"/>
      <c r="DH32" s="276"/>
      <c r="DI32" s="276"/>
      <c r="DJ32" s="276"/>
      <c r="DK32" s="276"/>
      <c r="DL32" s="276"/>
      <c r="DM32" s="278"/>
      <c r="DN32" s="160"/>
      <c r="DO32" s="151"/>
      <c r="DP32" s="276"/>
      <c r="DQ32" s="276"/>
      <c r="DR32" s="276"/>
      <c r="DS32" s="276"/>
      <c r="DT32" s="276"/>
      <c r="DU32" s="276"/>
      <c r="DV32" s="276"/>
      <c r="DW32" s="276"/>
      <c r="DX32" s="276"/>
      <c r="DY32" s="276"/>
      <c r="DZ32" s="278"/>
      <c r="EA32" s="160"/>
      <c r="EB32" s="151"/>
      <c r="EC32" s="276"/>
      <c r="ED32" s="276"/>
      <c r="EE32" s="276"/>
      <c r="EF32" s="276"/>
      <c r="EG32" s="276"/>
      <c r="EH32" s="276"/>
      <c r="EI32" s="276"/>
      <c r="EJ32" s="276"/>
      <c r="EK32" s="276"/>
      <c r="EL32" s="276"/>
      <c r="EM32" s="278"/>
      <c r="EN32" s="160"/>
      <c r="EO32" s="151"/>
      <c r="EP32" s="276"/>
      <c r="EQ32" s="276"/>
      <c r="ER32" s="276"/>
      <c r="ES32" s="276"/>
      <c r="ET32" s="276"/>
      <c r="EU32" s="276"/>
      <c r="EV32" s="276"/>
      <c r="EW32" s="276"/>
      <c r="EX32" s="276"/>
      <c r="EY32" s="276"/>
      <c r="EZ32" s="278"/>
      <c r="FA32" s="160"/>
      <c r="FB32" s="151"/>
      <c r="FC32" s="276"/>
      <c r="FD32" s="276"/>
      <c r="FE32" s="276"/>
      <c r="FF32" s="276"/>
      <c r="FG32" s="276"/>
      <c r="FH32" s="276"/>
      <c r="FI32" s="276"/>
      <c r="FJ32" s="276"/>
      <c r="FK32" s="276"/>
      <c r="FL32" s="276"/>
      <c r="FM32" s="278"/>
      <c r="FN32" s="160"/>
      <c r="FO32" s="151"/>
      <c r="FP32" s="276"/>
      <c r="FQ32" s="276"/>
      <c r="FR32" s="276"/>
      <c r="FS32" s="276"/>
      <c r="FT32" s="276"/>
      <c r="FU32" s="276"/>
      <c r="FV32" s="276"/>
      <c r="FW32" s="276"/>
      <c r="FX32" s="276"/>
      <c r="FY32" s="276"/>
      <c r="FZ32" s="278"/>
      <c r="GA32" s="160"/>
      <c r="GB32" s="151"/>
      <c r="GC32" s="276"/>
      <c r="GD32" s="276"/>
      <c r="GE32" s="276"/>
      <c r="GF32" s="276"/>
      <c r="GG32" s="276"/>
      <c r="GH32" s="276"/>
      <c r="GI32" s="276"/>
      <c r="GJ32" s="276"/>
      <c r="GK32" s="276"/>
      <c r="GL32" s="276"/>
      <c r="GM32" s="278"/>
      <c r="GN32" s="160"/>
      <c r="GO32" s="151"/>
      <c r="GP32" s="276"/>
      <c r="GQ32" s="276"/>
      <c r="GR32" s="276"/>
      <c r="GS32" s="276"/>
      <c r="GT32" s="276"/>
      <c r="GU32" s="276"/>
      <c r="GV32" s="276"/>
      <c r="GW32" s="276"/>
      <c r="GX32" s="276"/>
      <c r="GY32" s="276"/>
      <c r="GZ32" s="278"/>
      <c r="HA32" s="160"/>
      <c r="HB32" s="151"/>
      <c r="HC32" s="276"/>
      <c r="HD32" s="276"/>
      <c r="HE32" s="276"/>
      <c r="HF32" s="276"/>
      <c r="HG32" s="276"/>
      <c r="HH32" s="276"/>
      <c r="HI32" s="276"/>
      <c r="HJ32" s="276"/>
      <c r="HK32" s="276"/>
      <c r="HL32" s="276"/>
      <c r="HM32" s="278"/>
      <c r="HN32" s="160"/>
      <c r="HO32" s="151"/>
      <c r="HP32" s="276"/>
      <c r="HQ32" s="276"/>
      <c r="HR32" s="276"/>
      <c r="HS32" s="276"/>
      <c r="HT32" s="276"/>
      <c r="HU32" s="276"/>
      <c r="HV32" s="276"/>
      <c r="HW32" s="276"/>
      <c r="HX32" s="276"/>
      <c r="HY32" s="276"/>
      <c r="HZ32" s="278"/>
      <c r="IA32" s="160"/>
      <c r="IB32" s="151"/>
      <c r="IC32" s="276"/>
      <c r="ID32" s="276"/>
      <c r="IE32" s="276"/>
      <c r="IF32" s="276"/>
      <c r="IG32" s="276"/>
      <c r="IH32" s="276"/>
      <c r="II32" s="276"/>
      <c r="IJ32" s="276"/>
      <c r="IK32" s="276"/>
      <c r="IL32" s="276"/>
      <c r="IM32" s="278"/>
      <c r="IN32" s="160"/>
      <c r="IO32" s="151"/>
      <c r="IP32" s="276"/>
      <c r="IQ32" s="276"/>
      <c r="IR32" s="276"/>
      <c r="IS32" s="276"/>
      <c r="IT32" s="276"/>
      <c r="IU32" s="276"/>
      <c r="IV32" s="276"/>
    </row>
    <row r="33" spans="1:256" x14ac:dyDescent="0.2">
      <c r="A33" s="160"/>
      <c r="B33" s="151"/>
      <c r="C33" s="276"/>
      <c r="D33" s="276"/>
      <c r="E33" s="276"/>
      <c r="F33" s="276"/>
      <c r="G33" s="276"/>
      <c r="H33" s="276"/>
      <c r="I33" s="276"/>
      <c r="J33" s="276"/>
      <c r="K33" s="276"/>
      <c r="L33" s="276"/>
      <c r="M33" s="278"/>
      <c r="N33" s="154"/>
      <c r="O33" s="154"/>
      <c r="P33" s="163"/>
      <c r="Q33" s="163"/>
      <c r="R33" s="163"/>
      <c r="S33" s="163"/>
      <c r="T33" s="163"/>
      <c r="U33" s="163"/>
      <c r="V33" s="163"/>
      <c r="W33" s="163"/>
      <c r="X33" s="163"/>
      <c r="Y33" s="163"/>
      <c r="Z33" s="163"/>
      <c r="AA33" s="151"/>
      <c r="AB33" s="151"/>
      <c r="AC33" s="155"/>
      <c r="AD33" s="155"/>
      <c r="AE33" s="155"/>
      <c r="AF33" s="155"/>
      <c r="AG33" s="155"/>
      <c r="AH33" s="155"/>
      <c r="AI33" s="155"/>
      <c r="AJ33" s="155"/>
      <c r="AK33" s="155"/>
      <c r="AL33" s="155"/>
      <c r="AM33" s="155"/>
      <c r="AN33" s="151"/>
      <c r="AO33" s="151"/>
      <c r="AP33" s="155"/>
      <c r="AQ33" s="155"/>
      <c r="AR33" s="155"/>
      <c r="AS33" s="155"/>
      <c r="AT33" s="155"/>
      <c r="AU33" s="155"/>
      <c r="AV33" s="155"/>
      <c r="AW33" s="155"/>
      <c r="AX33" s="155"/>
      <c r="AY33" s="155"/>
      <c r="AZ33" s="155"/>
      <c r="BA33" s="151"/>
      <c r="BB33" s="151"/>
      <c r="BC33" s="155"/>
      <c r="BD33" s="155"/>
      <c r="BE33" s="155"/>
      <c r="BF33" s="155"/>
      <c r="BG33" s="155"/>
      <c r="BH33" s="155"/>
      <c r="BI33" s="155"/>
      <c r="BJ33" s="155"/>
      <c r="BK33" s="155"/>
      <c r="BL33" s="155"/>
      <c r="BM33" s="155"/>
      <c r="BN33" s="151"/>
      <c r="BO33" s="151"/>
      <c r="BP33" s="155"/>
      <c r="BQ33" s="155"/>
      <c r="BR33" s="155"/>
      <c r="BS33" s="155"/>
      <c r="BT33" s="155"/>
      <c r="BU33" s="155"/>
      <c r="BV33" s="155"/>
      <c r="BW33" s="155"/>
      <c r="BX33" s="155"/>
      <c r="BY33" s="155"/>
      <c r="BZ33" s="155"/>
      <c r="CA33" s="151"/>
      <c r="CB33" s="151"/>
      <c r="CC33" s="155"/>
      <c r="CD33" s="155"/>
      <c r="CE33" s="155"/>
      <c r="CF33" s="155"/>
      <c r="CG33" s="155"/>
      <c r="CH33" s="155"/>
      <c r="CI33" s="155"/>
      <c r="CJ33" s="155"/>
      <c r="CK33" s="155"/>
      <c r="CL33" s="155"/>
      <c r="CM33" s="155"/>
      <c r="CN33" s="151"/>
      <c r="CO33" s="151"/>
      <c r="CP33" s="155"/>
      <c r="CQ33" s="155"/>
      <c r="CR33" s="155"/>
      <c r="CS33" s="155"/>
      <c r="CT33" s="155"/>
      <c r="CU33" s="155"/>
      <c r="CV33" s="155"/>
      <c r="CW33" s="155"/>
      <c r="CX33" s="155"/>
      <c r="CY33" s="155"/>
      <c r="CZ33" s="155"/>
      <c r="DA33" s="151"/>
      <c r="DB33" s="151"/>
      <c r="DC33" s="155"/>
      <c r="DD33" s="155"/>
      <c r="DE33" s="155"/>
      <c r="DF33" s="155"/>
      <c r="DG33" s="155"/>
      <c r="DH33" s="155"/>
      <c r="DI33" s="155"/>
      <c r="DJ33" s="155"/>
      <c r="DK33" s="155"/>
      <c r="DL33" s="155"/>
      <c r="DM33" s="155"/>
      <c r="DN33" s="151"/>
      <c r="DO33" s="151"/>
      <c r="DP33" s="155"/>
      <c r="DQ33" s="155"/>
      <c r="DR33" s="155"/>
      <c r="DS33" s="155"/>
      <c r="DT33" s="155"/>
      <c r="DU33" s="155"/>
      <c r="DV33" s="155"/>
      <c r="DW33" s="155"/>
      <c r="DX33" s="155"/>
      <c r="DY33" s="155"/>
      <c r="DZ33" s="155"/>
      <c r="EA33" s="151"/>
      <c r="EB33" s="151"/>
      <c r="EC33" s="155"/>
      <c r="ED33" s="155"/>
      <c r="EE33" s="155"/>
      <c r="EF33" s="155"/>
      <c r="EG33" s="155"/>
      <c r="EH33" s="155"/>
      <c r="EI33" s="155"/>
      <c r="EJ33" s="155"/>
      <c r="EK33" s="155"/>
      <c r="EL33" s="155"/>
      <c r="EM33" s="155"/>
      <c r="EN33" s="151"/>
      <c r="EO33" s="151"/>
      <c r="EP33" s="155"/>
      <c r="EQ33" s="155"/>
      <c r="ER33" s="155"/>
      <c r="ES33" s="155"/>
      <c r="ET33" s="155"/>
      <c r="EU33" s="155"/>
      <c r="EV33" s="155"/>
      <c r="EW33" s="155"/>
      <c r="EX33" s="155"/>
      <c r="EY33" s="155"/>
      <c r="EZ33" s="155"/>
      <c r="FA33" s="151"/>
      <c r="FB33" s="151"/>
      <c r="FC33" s="155"/>
      <c r="FD33" s="155"/>
      <c r="FE33" s="155"/>
      <c r="FF33" s="155"/>
      <c r="FG33" s="155"/>
      <c r="FH33" s="155"/>
      <c r="FI33" s="155"/>
      <c r="FJ33" s="155"/>
      <c r="FK33" s="155"/>
      <c r="FL33" s="155"/>
      <c r="FM33" s="155"/>
      <c r="FN33" s="151"/>
      <c r="FO33" s="151"/>
      <c r="FP33" s="155"/>
      <c r="FQ33" s="155"/>
      <c r="FR33" s="155"/>
      <c r="FS33" s="155"/>
      <c r="FT33" s="155"/>
      <c r="FU33" s="155"/>
      <c r="FV33" s="155"/>
      <c r="FW33" s="155"/>
      <c r="FX33" s="155"/>
      <c r="FY33" s="155"/>
      <c r="FZ33" s="155"/>
      <c r="GA33" s="151"/>
      <c r="GB33" s="151"/>
      <c r="GC33" s="155"/>
      <c r="GD33" s="155"/>
      <c r="GE33" s="155"/>
      <c r="GF33" s="155"/>
      <c r="GG33" s="155"/>
      <c r="GH33" s="155"/>
      <c r="GI33" s="155"/>
      <c r="GJ33" s="155"/>
      <c r="GK33" s="155"/>
      <c r="GL33" s="155"/>
      <c r="GM33" s="155"/>
      <c r="GN33" s="151"/>
      <c r="GO33" s="151"/>
      <c r="GP33" s="155"/>
      <c r="GQ33" s="155"/>
      <c r="GR33" s="155"/>
      <c r="GS33" s="155"/>
      <c r="GT33" s="155"/>
      <c r="GU33" s="155"/>
      <c r="GV33" s="155"/>
      <c r="GW33" s="155"/>
      <c r="GX33" s="155"/>
      <c r="GY33" s="155"/>
      <c r="GZ33" s="155"/>
      <c r="HA33" s="151"/>
      <c r="HB33" s="151"/>
      <c r="HC33" s="155"/>
      <c r="HD33" s="155"/>
      <c r="HE33" s="155"/>
      <c r="HF33" s="155"/>
      <c r="HG33" s="155"/>
      <c r="HH33" s="155"/>
      <c r="HI33" s="155"/>
      <c r="HJ33" s="155"/>
      <c r="HK33" s="155"/>
      <c r="HL33" s="155"/>
      <c r="HM33" s="155"/>
      <c r="HN33" s="151"/>
      <c r="HO33" s="151"/>
      <c r="HP33" s="155"/>
      <c r="HQ33" s="155"/>
      <c r="HR33" s="155"/>
      <c r="HS33" s="155"/>
      <c r="HT33" s="155"/>
      <c r="HU33" s="155"/>
      <c r="HV33" s="155"/>
      <c r="HW33" s="155"/>
      <c r="HX33" s="155"/>
      <c r="HY33" s="155"/>
      <c r="HZ33" s="155"/>
      <c r="IA33" s="151"/>
      <c r="IB33" s="151"/>
      <c r="IC33" s="155"/>
      <c r="ID33" s="155"/>
      <c r="IE33" s="155"/>
      <c r="IF33" s="155"/>
      <c r="IG33" s="155"/>
      <c r="IH33" s="155"/>
      <c r="II33" s="155"/>
      <c r="IJ33" s="155"/>
      <c r="IK33" s="155"/>
      <c r="IL33" s="155"/>
      <c r="IM33" s="155"/>
      <c r="IN33" s="151"/>
      <c r="IO33" s="151"/>
      <c r="IP33" s="155"/>
      <c r="IQ33" s="155"/>
      <c r="IR33" s="155"/>
      <c r="IS33" s="155"/>
      <c r="IT33" s="155"/>
      <c r="IU33" s="155"/>
      <c r="IV33" s="155"/>
    </row>
    <row r="34" spans="1:256" x14ac:dyDescent="0.2">
      <c r="A34" s="160"/>
      <c r="B34" s="151"/>
      <c r="C34" s="276"/>
      <c r="D34" s="276"/>
      <c r="E34" s="276"/>
      <c r="F34" s="276"/>
      <c r="G34" s="276"/>
      <c r="H34" s="276"/>
      <c r="I34" s="276"/>
      <c r="J34" s="276"/>
      <c r="K34" s="276"/>
      <c r="L34" s="276"/>
      <c r="M34" s="278"/>
      <c r="N34" s="154"/>
      <c r="O34" s="154"/>
      <c r="P34" s="163"/>
      <c r="Q34" s="163"/>
      <c r="R34" s="163"/>
      <c r="S34" s="163"/>
      <c r="T34" s="163"/>
      <c r="U34" s="163"/>
      <c r="V34" s="163"/>
      <c r="W34" s="163"/>
      <c r="X34" s="163"/>
      <c r="Y34" s="163"/>
      <c r="Z34" s="163"/>
      <c r="AA34" s="151"/>
      <c r="AB34" s="151"/>
      <c r="AC34" s="155"/>
      <c r="AD34" s="155"/>
      <c r="AE34" s="155"/>
      <c r="AF34" s="155"/>
      <c r="AG34" s="155"/>
      <c r="AH34" s="155"/>
      <c r="AI34" s="155"/>
      <c r="AJ34" s="155"/>
      <c r="AK34" s="155"/>
      <c r="AL34" s="155"/>
      <c r="AM34" s="155"/>
      <c r="AN34" s="151"/>
      <c r="AO34" s="151"/>
      <c r="AP34" s="155"/>
      <c r="AQ34" s="155"/>
      <c r="AR34" s="155"/>
      <c r="AS34" s="155"/>
      <c r="AT34" s="155"/>
      <c r="AU34" s="155"/>
      <c r="AV34" s="155"/>
      <c r="AW34" s="155"/>
      <c r="AX34" s="155"/>
      <c r="AY34" s="155"/>
      <c r="AZ34" s="155"/>
      <c r="BA34" s="151"/>
      <c r="BB34" s="151"/>
      <c r="BC34" s="155"/>
      <c r="BD34" s="155"/>
      <c r="BE34" s="155"/>
      <c r="BF34" s="155"/>
      <c r="BG34" s="155"/>
      <c r="BH34" s="155"/>
      <c r="BI34" s="155"/>
      <c r="BJ34" s="155"/>
      <c r="BK34" s="155"/>
      <c r="BL34" s="155"/>
      <c r="BM34" s="155"/>
      <c r="BN34" s="151"/>
      <c r="BO34" s="151"/>
      <c r="BP34" s="155"/>
      <c r="BQ34" s="155"/>
      <c r="BR34" s="155"/>
      <c r="BS34" s="155"/>
      <c r="BT34" s="155"/>
      <c r="BU34" s="155"/>
      <c r="BV34" s="155"/>
      <c r="BW34" s="155"/>
      <c r="BX34" s="155"/>
      <c r="BY34" s="155"/>
      <c r="BZ34" s="155"/>
      <c r="CA34" s="151"/>
      <c r="CB34" s="151"/>
      <c r="CC34" s="155"/>
      <c r="CD34" s="155"/>
      <c r="CE34" s="155"/>
      <c r="CF34" s="155"/>
      <c r="CG34" s="155"/>
      <c r="CH34" s="155"/>
      <c r="CI34" s="155"/>
      <c r="CJ34" s="155"/>
      <c r="CK34" s="155"/>
      <c r="CL34" s="155"/>
      <c r="CM34" s="155"/>
      <c r="CN34" s="151"/>
      <c r="CO34" s="151"/>
      <c r="CP34" s="155"/>
      <c r="CQ34" s="155"/>
      <c r="CR34" s="155"/>
      <c r="CS34" s="155"/>
      <c r="CT34" s="155"/>
      <c r="CU34" s="155"/>
      <c r="CV34" s="155"/>
      <c r="CW34" s="155"/>
      <c r="CX34" s="155"/>
      <c r="CY34" s="155"/>
      <c r="CZ34" s="155"/>
      <c r="DA34" s="151"/>
      <c r="DB34" s="151"/>
      <c r="DC34" s="155"/>
      <c r="DD34" s="155"/>
      <c r="DE34" s="155"/>
      <c r="DF34" s="155"/>
      <c r="DG34" s="155"/>
      <c r="DH34" s="155"/>
      <c r="DI34" s="155"/>
      <c r="DJ34" s="155"/>
      <c r="DK34" s="155"/>
      <c r="DL34" s="155"/>
      <c r="DM34" s="155"/>
      <c r="DN34" s="151"/>
      <c r="DO34" s="151"/>
      <c r="DP34" s="155"/>
      <c r="DQ34" s="155"/>
      <c r="DR34" s="155"/>
      <c r="DS34" s="155"/>
      <c r="DT34" s="155"/>
      <c r="DU34" s="155"/>
      <c r="DV34" s="155"/>
      <c r="DW34" s="155"/>
      <c r="DX34" s="155"/>
      <c r="DY34" s="155"/>
      <c r="DZ34" s="155"/>
      <c r="EA34" s="151"/>
      <c r="EB34" s="151"/>
      <c r="EC34" s="155"/>
      <c r="ED34" s="155"/>
      <c r="EE34" s="155"/>
      <c r="EF34" s="155"/>
      <c r="EG34" s="155"/>
      <c r="EH34" s="155"/>
      <c r="EI34" s="155"/>
      <c r="EJ34" s="155"/>
      <c r="EK34" s="155"/>
      <c r="EL34" s="155"/>
      <c r="EM34" s="155"/>
      <c r="EN34" s="151"/>
      <c r="EO34" s="151"/>
      <c r="EP34" s="155"/>
      <c r="EQ34" s="155"/>
      <c r="ER34" s="155"/>
      <c r="ES34" s="155"/>
      <c r="ET34" s="155"/>
      <c r="EU34" s="155"/>
      <c r="EV34" s="155"/>
      <c r="EW34" s="155"/>
      <c r="EX34" s="155"/>
      <c r="EY34" s="155"/>
      <c r="EZ34" s="155"/>
      <c r="FA34" s="151"/>
      <c r="FB34" s="151"/>
      <c r="FC34" s="155"/>
      <c r="FD34" s="155"/>
      <c r="FE34" s="155"/>
      <c r="FF34" s="155"/>
      <c r="FG34" s="155"/>
      <c r="FH34" s="155"/>
      <c r="FI34" s="155"/>
      <c r="FJ34" s="155"/>
      <c r="FK34" s="155"/>
      <c r="FL34" s="155"/>
      <c r="FM34" s="155"/>
      <c r="FN34" s="151"/>
      <c r="FO34" s="151"/>
      <c r="FP34" s="155"/>
      <c r="FQ34" s="155"/>
      <c r="FR34" s="155"/>
      <c r="FS34" s="155"/>
      <c r="FT34" s="155"/>
      <c r="FU34" s="155"/>
      <c r="FV34" s="155"/>
      <c r="FW34" s="155"/>
      <c r="FX34" s="155"/>
      <c r="FY34" s="155"/>
      <c r="FZ34" s="155"/>
      <c r="GA34" s="151"/>
      <c r="GB34" s="151"/>
      <c r="GC34" s="155"/>
      <c r="GD34" s="155"/>
      <c r="GE34" s="155"/>
      <c r="GF34" s="155"/>
      <c r="GG34" s="155"/>
      <c r="GH34" s="155"/>
      <c r="GI34" s="155"/>
      <c r="GJ34" s="155"/>
      <c r="GK34" s="155"/>
      <c r="GL34" s="155"/>
      <c r="GM34" s="155"/>
      <c r="GN34" s="151"/>
      <c r="GO34" s="151"/>
      <c r="GP34" s="155"/>
      <c r="GQ34" s="155"/>
      <c r="GR34" s="155"/>
      <c r="GS34" s="155"/>
      <c r="GT34" s="155"/>
      <c r="GU34" s="155"/>
      <c r="GV34" s="155"/>
      <c r="GW34" s="155"/>
      <c r="GX34" s="155"/>
      <c r="GY34" s="155"/>
      <c r="GZ34" s="155"/>
      <c r="HA34" s="151"/>
      <c r="HB34" s="151"/>
      <c r="HC34" s="155"/>
      <c r="HD34" s="155"/>
      <c r="HE34" s="155"/>
      <c r="HF34" s="155"/>
      <c r="HG34" s="155"/>
      <c r="HH34" s="155"/>
      <c r="HI34" s="155"/>
      <c r="HJ34" s="155"/>
      <c r="HK34" s="155"/>
      <c r="HL34" s="155"/>
      <c r="HM34" s="155"/>
      <c r="HN34" s="151"/>
      <c r="HO34" s="151"/>
      <c r="HP34" s="155"/>
      <c r="HQ34" s="155"/>
      <c r="HR34" s="155"/>
      <c r="HS34" s="155"/>
      <c r="HT34" s="155"/>
      <c r="HU34" s="155"/>
      <c r="HV34" s="155"/>
      <c r="HW34" s="155"/>
      <c r="HX34" s="155"/>
      <c r="HY34" s="155"/>
      <c r="HZ34" s="155"/>
      <c r="IA34" s="151"/>
      <c r="IB34" s="151"/>
      <c r="IC34" s="155"/>
      <c r="ID34" s="155"/>
      <c r="IE34" s="155"/>
      <c r="IF34" s="155"/>
      <c r="IG34" s="155"/>
      <c r="IH34" s="155"/>
      <c r="II34" s="155"/>
      <c r="IJ34" s="155"/>
      <c r="IK34" s="155"/>
      <c r="IL34" s="155"/>
      <c r="IM34" s="155"/>
      <c r="IN34" s="151"/>
      <c r="IO34" s="151"/>
      <c r="IP34" s="155"/>
      <c r="IQ34" s="155"/>
      <c r="IR34" s="155"/>
      <c r="IS34" s="155"/>
      <c r="IT34" s="155"/>
      <c r="IU34" s="155"/>
      <c r="IV34" s="155"/>
    </row>
    <row r="35" spans="1:256" x14ac:dyDescent="0.2">
      <c r="A35" s="160"/>
      <c r="B35" s="151"/>
      <c r="C35" s="276"/>
      <c r="D35" s="276"/>
      <c r="E35" s="276"/>
      <c r="F35" s="276"/>
      <c r="G35" s="276"/>
      <c r="H35" s="276"/>
      <c r="I35" s="276"/>
      <c r="J35" s="276"/>
      <c r="K35" s="276"/>
      <c r="L35" s="276"/>
      <c r="M35" s="278"/>
      <c r="N35" s="154"/>
      <c r="O35" s="154"/>
      <c r="P35" s="163"/>
      <c r="Q35" s="163"/>
      <c r="R35" s="163"/>
      <c r="S35" s="163"/>
      <c r="T35" s="163"/>
      <c r="U35" s="163"/>
      <c r="V35" s="163"/>
      <c r="W35" s="163"/>
      <c r="X35" s="163"/>
      <c r="Y35" s="163"/>
      <c r="Z35" s="163"/>
      <c r="AA35" s="151"/>
      <c r="AB35" s="151"/>
      <c r="AC35" s="155"/>
      <c r="AD35" s="155"/>
      <c r="AE35" s="155"/>
      <c r="AF35" s="155"/>
      <c r="AG35" s="155"/>
      <c r="AH35" s="155"/>
      <c r="AI35" s="155"/>
      <c r="AJ35" s="155"/>
      <c r="AK35" s="155"/>
      <c r="AL35" s="155"/>
      <c r="AM35" s="155"/>
      <c r="AN35" s="151"/>
      <c r="AO35" s="151"/>
      <c r="AP35" s="155"/>
      <c r="AQ35" s="155"/>
      <c r="AR35" s="155"/>
      <c r="AS35" s="155"/>
      <c r="AT35" s="155"/>
      <c r="AU35" s="155"/>
      <c r="AV35" s="155"/>
      <c r="AW35" s="155"/>
      <c r="AX35" s="155"/>
      <c r="AY35" s="155"/>
      <c r="AZ35" s="155"/>
      <c r="BA35" s="151"/>
      <c r="BB35" s="151"/>
      <c r="BC35" s="155"/>
      <c r="BD35" s="155"/>
      <c r="BE35" s="155"/>
      <c r="BF35" s="155"/>
      <c r="BG35" s="155"/>
      <c r="BH35" s="155"/>
      <c r="BI35" s="155"/>
      <c r="BJ35" s="155"/>
      <c r="BK35" s="155"/>
      <c r="BL35" s="155"/>
      <c r="BM35" s="155"/>
      <c r="BN35" s="151"/>
      <c r="BO35" s="151"/>
      <c r="BP35" s="155"/>
      <c r="BQ35" s="155"/>
      <c r="BR35" s="155"/>
      <c r="BS35" s="155"/>
      <c r="BT35" s="155"/>
      <c r="BU35" s="155"/>
      <c r="BV35" s="155"/>
      <c r="BW35" s="155"/>
      <c r="BX35" s="155"/>
      <c r="BY35" s="155"/>
      <c r="BZ35" s="155"/>
      <c r="CA35" s="151"/>
      <c r="CB35" s="151"/>
      <c r="CC35" s="155"/>
      <c r="CD35" s="155"/>
      <c r="CE35" s="155"/>
      <c r="CF35" s="155"/>
      <c r="CG35" s="155"/>
      <c r="CH35" s="155"/>
      <c r="CI35" s="155"/>
      <c r="CJ35" s="155"/>
      <c r="CK35" s="155"/>
      <c r="CL35" s="155"/>
      <c r="CM35" s="155"/>
      <c r="CN35" s="151"/>
      <c r="CO35" s="151"/>
      <c r="CP35" s="155"/>
      <c r="CQ35" s="155"/>
      <c r="CR35" s="155"/>
      <c r="CS35" s="155"/>
      <c r="CT35" s="155"/>
      <c r="CU35" s="155"/>
      <c r="CV35" s="155"/>
      <c r="CW35" s="155"/>
      <c r="CX35" s="155"/>
      <c r="CY35" s="155"/>
      <c r="CZ35" s="155"/>
      <c r="DA35" s="151"/>
      <c r="DB35" s="151"/>
      <c r="DC35" s="155"/>
      <c r="DD35" s="155"/>
      <c r="DE35" s="155"/>
      <c r="DF35" s="155"/>
      <c r="DG35" s="155"/>
      <c r="DH35" s="155"/>
      <c r="DI35" s="155"/>
      <c r="DJ35" s="155"/>
      <c r="DK35" s="155"/>
      <c r="DL35" s="155"/>
      <c r="DM35" s="155"/>
      <c r="DN35" s="151"/>
      <c r="DO35" s="151"/>
      <c r="DP35" s="155"/>
      <c r="DQ35" s="155"/>
      <c r="DR35" s="155"/>
      <c r="DS35" s="155"/>
      <c r="DT35" s="155"/>
      <c r="DU35" s="155"/>
      <c r="DV35" s="155"/>
      <c r="DW35" s="155"/>
      <c r="DX35" s="155"/>
      <c r="DY35" s="155"/>
      <c r="DZ35" s="155"/>
      <c r="EA35" s="151"/>
      <c r="EB35" s="151"/>
      <c r="EC35" s="155"/>
      <c r="ED35" s="155"/>
      <c r="EE35" s="155"/>
      <c r="EF35" s="155"/>
      <c r="EG35" s="155"/>
      <c r="EH35" s="155"/>
      <c r="EI35" s="155"/>
      <c r="EJ35" s="155"/>
      <c r="EK35" s="155"/>
      <c r="EL35" s="155"/>
      <c r="EM35" s="155"/>
      <c r="EN35" s="151"/>
      <c r="EO35" s="151"/>
      <c r="EP35" s="155"/>
      <c r="EQ35" s="155"/>
      <c r="ER35" s="155"/>
      <c r="ES35" s="155"/>
      <c r="ET35" s="155"/>
      <c r="EU35" s="155"/>
      <c r="EV35" s="155"/>
      <c r="EW35" s="155"/>
      <c r="EX35" s="155"/>
      <c r="EY35" s="155"/>
      <c r="EZ35" s="155"/>
      <c r="FA35" s="151"/>
      <c r="FB35" s="151"/>
      <c r="FC35" s="155"/>
      <c r="FD35" s="155"/>
      <c r="FE35" s="155"/>
      <c r="FF35" s="155"/>
      <c r="FG35" s="155"/>
      <c r="FH35" s="155"/>
      <c r="FI35" s="155"/>
      <c r="FJ35" s="155"/>
      <c r="FK35" s="155"/>
      <c r="FL35" s="155"/>
      <c r="FM35" s="155"/>
      <c r="FN35" s="151"/>
      <c r="FO35" s="151"/>
      <c r="FP35" s="155"/>
      <c r="FQ35" s="155"/>
      <c r="FR35" s="155"/>
      <c r="FS35" s="155"/>
      <c r="FT35" s="155"/>
      <c r="FU35" s="155"/>
      <c r="FV35" s="155"/>
      <c r="FW35" s="155"/>
      <c r="FX35" s="155"/>
      <c r="FY35" s="155"/>
      <c r="FZ35" s="155"/>
      <c r="GA35" s="151"/>
      <c r="GB35" s="151"/>
      <c r="GC35" s="155"/>
      <c r="GD35" s="155"/>
      <c r="GE35" s="155"/>
      <c r="GF35" s="155"/>
      <c r="GG35" s="155"/>
      <c r="GH35" s="155"/>
      <c r="GI35" s="155"/>
      <c r="GJ35" s="155"/>
      <c r="GK35" s="155"/>
      <c r="GL35" s="155"/>
      <c r="GM35" s="155"/>
      <c r="GN35" s="151"/>
      <c r="GO35" s="151"/>
      <c r="GP35" s="155"/>
      <c r="GQ35" s="155"/>
      <c r="GR35" s="155"/>
      <c r="GS35" s="155"/>
      <c r="GT35" s="155"/>
      <c r="GU35" s="155"/>
      <c r="GV35" s="155"/>
      <c r="GW35" s="155"/>
      <c r="GX35" s="155"/>
      <c r="GY35" s="155"/>
      <c r="GZ35" s="155"/>
      <c r="HA35" s="151"/>
      <c r="HB35" s="151"/>
      <c r="HC35" s="155"/>
      <c r="HD35" s="155"/>
      <c r="HE35" s="155"/>
      <c r="HF35" s="155"/>
      <c r="HG35" s="155"/>
      <c r="HH35" s="155"/>
      <c r="HI35" s="155"/>
      <c r="HJ35" s="155"/>
      <c r="HK35" s="155"/>
      <c r="HL35" s="155"/>
      <c r="HM35" s="155"/>
      <c r="HN35" s="151"/>
      <c r="HO35" s="151"/>
      <c r="HP35" s="155"/>
      <c r="HQ35" s="155"/>
      <c r="HR35" s="155"/>
      <c r="HS35" s="155"/>
      <c r="HT35" s="155"/>
      <c r="HU35" s="155"/>
      <c r="HV35" s="155"/>
      <c r="HW35" s="155"/>
      <c r="HX35" s="155"/>
      <c r="HY35" s="155"/>
      <c r="HZ35" s="155"/>
      <c r="IA35" s="151"/>
      <c r="IB35" s="151"/>
      <c r="IC35" s="155"/>
      <c r="ID35" s="155"/>
      <c r="IE35" s="155"/>
      <c r="IF35" s="155"/>
      <c r="IG35" s="155"/>
      <c r="IH35" s="155"/>
      <c r="II35" s="155"/>
      <c r="IJ35" s="155"/>
      <c r="IK35" s="155"/>
      <c r="IL35" s="155"/>
      <c r="IM35" s="155"/>
      <c r="IN35" s="151"/>
      <c r="IO35" s="151"/>
      <c r="IP35" s="155"/>
      <c r="IQ35" s="155"/>
      <c r="IR35" s="155"/>
      <c r="IS35" s="155"/>
      <c r="IT35" s="155"/>
      <c r="IU35" s="155"/>
      <c r="IV35" s="155"/>
    </row>
    <row r="36" spans="1:256" x14ac:dyDescent="0.2">
      <c r="A36" s="160"/>
      <c r="B36" s="151"/>
      <c r="C36" s="276"/>
      <c r="D36" s="276"/>
      <c r="E36" s="276"/>
      <c r="F36" s="276"/>
      <c r="G36" s="276"/>
      <c r="H36" s="276"/>
      <c r="I36" s="276"/>
      <c r="J36" s="276"/>
      <c r="K36" s="276"/>
      <c r="L36" s="276"/>
      <c r="M36" s="278"/>
      <c r="N36" s="154"/>
      <c r="O36" s="154"/>
      <c r="P36" s="163"/>
      <c r="Q36" s="163"/>
      <c r="R36" s="163"/>
      <c r="S36" s="163"/>
      <c r="T36" s="163"/>
      <c r="U36" s="163"/>
      <c r="V36" s="163"/>
      <c r="W36" s="163"/>
      <c r="X36" s="163"/>
      <c r="Y36" s="163"/>
      <c r="Z36" s="163"/>
      <c r="AA36" s="151"/>
      <c r="AB36" s="151"/>
      <c r="AC36" s="155"/>
      <c r="AD36" s="155"/>
      <c r="AE36" s="155"/>
      <c r="AF36" s="155"/>
      <c r="AG36" s="155"/>
      <c r="AH36" s="155"/>
      <c r="AI36" s="155"/>
      <c r="AJ36" s="155"/>
      <c r="AK36" s="155"/>
      <c r="AL36" s="155"/>
      <c r="AM36" s="155"/>
      <c r="AN36" s="151"/>
      <c r="AO36" s="151"/>
      <c r="AP36" s="155"/>
      <c r="AQ36" s="155"/>
      <c r="AR36" s="155"/>
      <c r="AS36" s="155"/>
      <c r="AT36" s="155"/>
      <c r="AU36" s="155"/>
      <c r="AV36" s="155"/>
      <c r="AW36" s="155"/>
      <c r="AX36" s="155"/>
      <c r="AY36" s="155"/>
      <c r="AZ36" s="155"/>
      <c r="BA36" s="151"/>
      <c r="BB36" s="151"/>
      <c r="BC36" s="155"/>
      <c r="BD36" s="155"/>
      <c r="BE36" s="155"/>
      <c r="BF36" s="155"/>
      <c r="BG36" s="155"/>
      <c r="BH36" s="155"/>
      <c r="BI36" s="155"/>
      <c r="BJ36" s="155"/>
      <c r="BK36" s="155"/>
      <c r="BL36" s="155"/>
      <c r="BM36" s="155"/>
      <c r="BN36" s="151"/>
      <c r="BO36" s="151"/>
      <c r="BP36" s="155"/>
      <c r="BQ36" s="155"/>
      <c r="BR36" s="155"/>
      <c r="BS36" s="155"/>
      <c r="BT36" s="155"/>
      <c r="BU36" s="155"/>
      <c r="BV36" s="155"/>
      <c r="BW36" s="155"/>
      <c r="BX36" s="155"/>
      <c r="BY36" s="155"/>
      <c r="BZ36" s="155"/>
      <c r="CA36" s="151"/>
      <c r="CB36" s="151"/>
      <c r="CC36" s="155"/>
      <c r="CD36" s="155"/>
      <c r="CE36" s="155"/>
      <c r="CF36" s="155"/>
      <c r="CG36" s="155"/>
      <c r="CH36" s="155"/>
      <c r="CI36" s="155"/>
      <c r="CJ36" s="155"/>
      <c r="CK36" s="155"/>
      <c r="CL36" s="155"/>
      <c r="CM36" s="155"/>
      <c r="CN36" s="151"/>
      <c r="CO36" s="151"/>
      <c r="CP36" s="155"/>
      <c r="CQ36" s="155"/>
      <c r="CR36" s="155"/>
      <c r="CS36" s="155"/>
      <c r="CT36" s="155"/>
      <c r="CU36" s="155"/>
      <c r="CV36" s="155"/>
      <c r="CW36" s="155"/>
      <c r="CX36" s="155"/>
      <c r="CY36" s="155"/>
      <c r="CZ36" s="155"/>
      <c r="DA36" s="151"/>
      <c r="DB36" s="151"/>
      <c r="DC36" s="155"/>
      <c r="DD36" s="155"/>
      <c r="DE36" s="155"/>
      <c r="DF36" s="155"/>
      <c r="DG36" s="155"/>
      <c r="DH36" s="155"/>
      <c r="DI36" s="155"/>
      <c r="DJ36" s="155"/>
      <c r="DK36" s="155"/>
      <c r="DL36" s="155"/>
      <c r="DM36" s="155"/>
      <c r="DN36" s="151"/>
      <c r="DO36" s="151"/>
      <c r="DP36" s="155"/>
      <c r="DQ36" s="155"/>
      <c r="DR36" s="155"/>
      <c r="DS36" s="155"/>
      <c r="DT36" s="155"/>
      <c r="DU36" s="155"/>
      <c r="DV36" s="155"/>
      <c r="DW36" s="155"/>
      <c r="DX36" s="155"/>
      <c r="DY36" s="155"/>
      <c r="DZ36" s="155"/>
      <c r="EA36" s="151"/>
      <c r="EB36" s="151"/>
      <c r="EC36" s="155"/>
      <c r="ED36" s="155"/>
      <c r="EE36" s="155"/>
      <c r="EF36" s="155"/>
      <c r="EG36" s="155"/>
      <c r="EH36" s="155"/>
      <c r="EI36" s="155"/>
      <c r="EJ36" s="155"/>
      <c r="EK36" s="155"/>
      <c r="EL36" s="155"/>
      <c r="EM36" s="155"/>
      <c r="EN36" s="151"/>
      <c r="EO36" s="151"/>
      <c r="EP36" s="155"/>
      <c r="EQ36" s="155"/>
      <c r="ER36" s="155"/>
      <c r="ES36" s="155"/>
      <c r="ET36" s="155"/>
      <c r="EU36" s="155"/>
      <c r="EV36" s="155"/>
      <c r="EW36" s="155"/>
      <c r="EX36" s="155"/>
      <c r="EY36" s="155"/>
      <c r="EZ36" s="155"/>
      <c r="FA36" s="151"/>
      <c r="FB36" s="151"/>
      <c r="FC36" s="155"/>
      <c r="FD36" s="155"/>
      <c r="FE36" s="155"/>
      <c r="FF36" s="155"/>
      <c r="FG36" s="155"/>
      <c r="FH36" s="155"/>
      <c r="FI36" s="155"/>
      <c r="FJ36" s="155"/>
      <c r="FK36" s="155"/>
      <c r="FL36" s="155"/>
      <c r="FM36" s="155"/>
      <c r="FN36" s="151"/>
      <c r="FO36" s="151"/>
      <c r="FP36" s="155"/>
      <c r="FQ36" s="155"/>
      <c r="FR36" s="155"/>
      <c r="FS36" s="155"/>
      <c r="FT36" s="155"/>
      <c r="FU36" s="155"/>
      <c r="FV36" s="155"/>
      <c r="FW36" s="155"/>
      <c r="FX36" s="155"/>
      <c r="FY36" s="155"/>
      <c r="FZ36" s="155"/>
      <c r="GA36" s="151"/>
      <c r="GB36" s="151"/>
      <c r="GC36" s="155"/>
      <c r="GD36" s="155"/>
      <c r="GE36" s="155"/>
      <c r="GF36" s="155"/>
      <c r="GG36" s="155"/>
      <c r="GH36" s="155"/>
      <c r="GI36" s="155"/>
      <c r="GJ36" s="155"/>
      <c r="GK36" s="155"/>
      <c r="GL36" s="155"/>
      <c r="GM36" s="155"/>
      <c r="GN36" s="151"/>
      <c r="GO36" s="151"/>
      <c r="GP36" s="155"/>
      <c r="GQ36" s="155"/>
      <c r="GR36" s="155"/>
      <c r="GS36" s="155"/>
      <c r="GT36" s="155"/>
      <c r="GU36" s="155"/>
      <c r="GV36" s="155"/>
      <c r="GW36" s="155"/>
      <c r="GX36" s="155"/>
      <c r="GY36" s="155"/>
      <c r="GZ36" s="155"/>
      <c r="HA36" s="151"/>
      <c r="HB36" s="151"/>
      <c r="HC36" s="155"/>
      <c r="HD36" s="155"/>
      <c r="HE36" s="155"/>
      <c r="HF36" s="155"/>
      <c r="HG36" s="155"/>
      <c r="HH36" s="155"/>
      <c r="HI36" s="155"/>
      <c r="HJ36" s="155"/>
      <c r="HK36" s="155"/>
      <c r="HL36" s="155"/>
      <c r="HM36" s="155"/>
      <c r="HN36" s="151"/>
      <c r="HO36" s="151"/>
      <c r="HP36" s="155"/>
      <c r="HQ36" s="155"/>
      <c r="HR36" s="155"/>
      <c r="HS36" s="155"/>
      <c r="HT36" s="155"/>
      <c r="HU36" s="155"/>
      <c r="HV36" s="155"/>
      <c r="HW36" s="155"/>
      <c r="HX36" s="155"/>
      <c r="HY36" s="155"/>
      <c r="HZ36" s="155"/>
      <c r="IA36" s="151"/>
      <c r="IB36" s="151"/>
      <c r="IC36" s="155"/>
      <c r="ID36" s="155"/>
      <c r="IE36" s="155"/>
      <c r="IF36" s="155"/>
      <c r="IG36" s="155"/>
      <c r="IH36" s="155"/>
      <c r="II36" s="155"/>
      <c r="IJ36" s="155"/>
      <c r="IK36" s="155"/>
      <c r="IL36" s="155"/>
      <c r="IM36" s="155"/>
      <c r="IN36" s="151"/>
      <c r="IO36" s="151"/>
      <c r="IP36" s="155"/>
      <c r="IQ36" s="155"/>
      <c r="IR36" s="155"/>
      <c r="IS36" s="155"/>
      <c r="IT36" s="155"/>
      <c r="IU36" s="155"/>
      <c r="IV36" s="155"/>
    </row>
    <row r="37" spans="1:256" x14ac:dyDescent="0.2">
      <c r="A37" s="160"/>
      <c r="B37" s="151"/>
      <c r="C37" s="276"/>
      <c r="D37" s="276"/>
      <c r="E37" s="276"/>
      <c r="F37" s="276"/>
      <c r="G37" s="276"/>
      <c r="H37" s="276"/>
      <c r="I37" s="276"/>
      <c r="J37" s="276"/>
      <c r="K37" s="276"/>
      <c r="L37" s="276"/>
      <c r="M37" s="278"/>
      <c r="N37" s="154"/>
      <c r="O37" s="154"/>
      <c r="P37" s="163"/>
      <c r="Q37" s="163"/>
      <c r="R37" s="163"/>
      <c r="S37" s="163"/>
      <c r="T37" s="163"/>
      <c r="U37" s="163"/>
      <c r="V37" s="163"/>
      <c r="W37" s="163"/>
      <c r="X37" s="163"/>
      <c r="Y37" s="163"/>
      <c r="Z37" s="163"/>
      <c r="AA37" s="151"/>
      <c r="AB37" s="151"/>
      <c r="AC37" s="155"/>
      <c r="AD37" s="155"/>
      <c r="AE37" s="155"/>
      <c r="AF37" s="155"/>
      <c r="AG37" s="155"/>
      <c r="AH37" s="155"/>
      <c r="AI37" s="155"/>
      <c r="AJ37" s="155"/>
      <c r="AK37" s="155"/>
      <c r="AL37" s="155"/>
      <c r="AM37" s="155"/>
      <c r="AN37" s="151"/>
      <c r="AO37" s="151"/>
      <c r="AP37" s="155"/>
      <c r="AQ37" s="155"/>
      <c r="AR37" s="155"/>
      <c r="AS37" s="155"/>
      <c r="AT37" s="155"/>
      <c r="AU37" s="155"/>
      <c r="AV37" s="155"/>
      <c r="AW37" s="155"/>
      <c r="AX37" s="155"/>
      <c r="AY37" s="155"/>
      <c r="AZ37" s="155"/>
      <c r="BA37" s="151"/>
      <c r="BB37" s="151"/>
      <c r="BC37" s="155"/>
      <c r="BD37" s="155"/>
      <c r="BE37" s="155"/>
      <c r="BF37" s="155"/>
      <c r="BG37" s="155"/>
      <c r="BH37" s="155"/>
      <c r="BI37" s="155"/>
      <c r="BJ37" s="155"/>
      <c r="BK37" s="155"/>
      <c r="BL37" s="155"/>
      <c r="BM37" s="155"/>
      <c r="BN37" s="151"/>
      <c r="BO37" s="151"/>
      <c r="BP37" s="155"/>
      <c r="BQ37" s="155"/>
      <c r="BR37" s="155"/>
      <c r="BS37" s="155"/>
      <c r="BT37" s="155"/>
      <c r="BU37" s="155"/>
      <c r="BV37" s="155"/>
      <c r="BW37" s="155"/>
      <c r="BX37" s="155"/>
      <c r="BY37" s="155"/>
      <c r="BZ37" s="155"/>
      <c r="CA37" s="151"/>
      <c r="CB37" s="151"/>
      <c r="CC37" s="155"/>
      <c r="CD37" s="155"/>
      <c r="CE37" s="155"/>
      <c r="CF37" s="155"/>
      <c r="CG37" s="155"/>
      <c r="CH37" s="155"/>
      <c r="CI37" s="155"/>
      <c r="CJ37" s="155"/>
      <c r="CK37" s="155"/>
      <c r="CL37" s="155"/>
      <c r="CM37" s="155"/>
      <c r="CN37" s="151"/>
      <c r="CO37" s="151"/>
      <c r="CP37" s="155"/>
      <c r="CQ37" s="155"/>
      <c r="CR37" s="155"/>
      <c r="CS37" s="155"/>
      <c r="CT37" s="155"/>
      <c r="CU37" s="155"/>
      <c r="CV37" s="155"/>
      <c r="CW37" s="155"/>
      <c r="CX37" s="155"/>
      <c r="CY37" s="155"/>
      <c r="CZ37" s="155"/>
      <c r="DA37" s="151"/>
      <c r="DB37" s="151"/>
      <c r="DC37" s="155"/>
      <c r="DD37" s="155"/>
      <c r="DE37" s="155"/>
      <c r="DF37" s="155"/>
      <c r="DG37" s="155"/>
      <c r="DH37" s="155"/>
      <c r="DI37" s="155"/>
      <c r="DJ37" s="155"/>
      <c r="DK37" s="155"/>
      <c r="DL37" s="155"/>
      <c r="DM37" s="155"/>
      <c r="DN37" s="151"/>
      <c r="DO37" s="151"/>
      <c r="DP37" s="155"/>
      <c r="DQ37" s="155"/>
      <c r="DR37" s="155"/>
      <c r="DS37" s="155"/>
      <c r="DT37" s="155"/>
      <c r="DU37" s="155"/>
      <c r="DV37" s="155"/>
      <c r="DW37" s="155"/>
      <c r="DX37" s="155"/>
      <c r="DY37" s="155"/>
      <c r="DZ37" s="155"/>
      <c r="EA37" s="151"/>
      <c r="EB37" s="151"/>
      <c r="EC37" s="155"/>
      <c r="ED37" s="155"/>
      <c r="EE37" s="155"/>
      <c r="EF37" s="155"/>
      <c r="EG37" s="155"/>
      <c r="EH37" s="155"/>
      <c r="EI37" s="155"/>
      <c r="EJ37" s="155"/>
      <c r="EK37" s="155"/>
      <c r="EL37" s="155"/>
      <c r="EM37" s="155"/>
      <c r="EN37" s="151"/>
      <c r="EO37" s="151"/>
      <c r="EP37" s="155"/>
      <c r="EQ37" s="155"/>
      <c r="ER37" s="155"/>
      <c r="ES37" s="155"/>
      <c r="ET37" s="155"/>
      <c r="EU37" s="155"/>
      <c r="EV37" s="155"/>
      <c r="EW37" s="155"/>
      <c r="EX37" s="155"/>
      <c r="EY37" s="155"/>
      <c r="EZ37" s="155"/>
      <c r="FA37" s="151"/>
      <c r="FB37" s="151"/>
      <c r="FC37" s="155"/>
      <c r="FD37" s="155"/>
      <c r="FE37" s="155"/>
      <c r="FF37" s="155"/>
      <c r="FG37" s="155"/>
      <c r="FH37" s="155"/>
      <c r="FI37" s="155"/>
      <c r="FJ37" s="155"/>
      <c r="FK37" s="155"/>
      <c r="FL37" s="155"/>
      <c r="FM37" s="155"/>
      <c r="FN37" s="151"/>
      <c r="FO37" s="151"/>
      <c r="FP37" s="155"/>
      <c r="FQ37" s="155"/>
      <c r="FR37" s="155"/>
      <c r="FS37" s="155"/>
      <c r="FT37" s="155"/>
      <c r="FU37" s="155"/>
      <c r="FV37" s="155"/>
      <c r="FW37" s="155"/>
      <c r="FX37" s="155"/>
      <c r="FY37" s="155"/>
      <c r="FZ37" s="155"/>
      <c r="GA37" s="151"/>
      <c r="GB37" s="151"/>
      <c r="GC37" s="155"/>
      <c r="GD37" s="155"/>
      <c r="GE37" s="155"/>
      <c r="GF37" s="155"/>
      <c r="GG37" s="155"/>
      <c r="GH37" s="155"/>
      <c r="GI37" s="155"/>
      <c r="GJ37" s="155"/>
      <c r="GK37" s="155"/>
      <c r="GL37" s="155"/>
      <c r="GM37" s="155"/>
      <c r="GN37" s="151"/>
      <c r="GO37" s="151"/>
      <c r="GP37" s="155"/>
      <c r="GQ37" s="155"/>
      <c r="GR37" s="155"/>
      <c r="GS37" s="155"/>
      <c r="GT37" s="155"/>
      <c r="GU37" s="155"/>
      <c r="GV37" s="155"/>
      <c r="GW37" s="155"/>
      <c r="GX37" s="155"/>
      <c r="GY37" s="155"/>
      <c r="GZ37" s="155"/>
      <c r="HA37" s="151"/>
      <c r="HB37" s="151"/>
      <c r="HC37" s="155"/>
      <c r="HD37" s="155"/>
      <c r="HE37" s="155"/>
      <c r="HF37" s="155"/>
      <c r="HG37" s="155"/>
      <c r="HH37" s="155"/>
      <c r="HI37" s="155"/>
      <c r="HJ37" s="155"/>
      <c r="HK37" s="155"/>
      <c r="HL37" s="155"/>
      <c r="HM37" s="155"/>
      <c r="HN37" s="151"/>
      <c r="HO37" s="151"/>
      <c r="HP37" s="155"/>
      <c r="HQ37" s="155"/>
      <c r="HR37" s="155"/>
      <c r="HS37" s="155"/>
      <c r="HT37" s="155"/>
      <c r="HU37" s="155"/>
      <c r="HV37" s="155"/>
      <c r="HW37" s="155"/>
      <c r="HX37" s="155"/>
      <c r="HY37" s="155"/>
      <c r="HZ37" s="155"/>
      <c r="IA37" s="151"/>
      <c r="IB37" s="151"/>
      <c r="IC37" s="155"/>
      <c r="ID37" s="155"/>
      <c r="IE37" s="155"/>
      <c r="IF37" s="155"/>
      <c r="IG37" s="155"/>
      <c r="IH37" s="155"/>
      <c r="II37" s="155"/>
      <c r="IJ37" s="155"/>
      <c r="IK37" s="155"/>
      <c r="IL37" s="155"/>
      <c r="IM37" s="155"/>
      <c r="IN37" s="151"/>
      <c r="IO37" s="151"/>
      <c r="IP37" s="155"/>
      <c r="IQ37" s="155"/>
      <c r="IR37" s="155"/>
      <c r="IS37" s="155"/>
      <c r="IT37" s="155"/>
      <c r="IU37" s="155"/>
      <c r="IV37" s="155"/>
    </row>
    <row r="38" spans="1:256" x14ac:dyDescent="0.2">
      <c r="A38" s="160"/>
      <c r="B38" s="151"/>
      <c r="C38" s="276"/>
      <c r="D38" s="276"/>
      <c r="E38" s="276"/>
      <c r="F38" s="276"/>
      <c r="G38" s="276"/>
      <c r="H38" s="276"/>
      <c r="I38" s="276"/>
      <c r="J38" s="276"/>
      <c r="K38" s="276"/>
      <c r="L38" s="276"/>
      <c r="M38" s="278"/>
      <c r="N38" s="154"/>
      <c r="O38" s="154"/>
      <c r="P38" s="277"/>
      <c r="Q38" s="277"/>
      <c r="R38" s="277"/>
      <c r="S38" s="277"/>
      <c r="T38" s="277"/>
      <c r="U38" s="277"/>
      <c r="V38" s="277"/>
      <c r="W38" s="277"/>
      <c r="X38" s="277"/>
      <c r="Y38" s="277"/>
      <c r="Z38" s="277"/>
      <c r="AA38" s="151"/>
      <c r="AB38" s="151"/>
      <c r="AC38" s="276"/>
      <c r="AD38" s="276"/>
      <c r="AE38" s="276"/>
      <c r="AF38" s="276"/>
      <c r="AG38" s="276"/>
      <c r="AH38" s="276"/>
      <c r="AI38" s="276"/>
      <c r="AJ38" s="276"/>
      <c r="AK38" s="276"/>
      <c r="AL38" s="276"/>
      <c r="AM38" s="276"/>
      <c r="AN38" s="151"/>
      <c r="AO38" s="151"/>
      <c r="AP38" s="276"/>
      <c r="AQ38" s="276"/>
      <c r="AR38" s="276"/>
      <c r="AS38" s="276"/>
      <c r="AT38" s="276"/>
      <c r="AU38" s="276"/>
      <c r="AV38" s="276"/>
      <c r="AW38" s="276"/>
      <c r="AX38" s="276"/>
      <c r="AY38" s="276"/>
      <c r="AZ38" s="276"/>
      <c r="BA38" s="151"/>
      <c r="BB38" s="151"/>
      <c r="BC38" s="276"/>
      <c r="BD38" s="276"/>
      <c r="BE38" s="276"/>
      <c r="BF38" s="276"/>
      <c r="BG38" s="276"/>
      <c r="BH38" s="276"/>
      <c r="BI38" s="276"/>
      <c r="BJ38" s="276"/>
      <c r="BK38" s="276"/>
      <c r="BL38" s="276"/>
      <c r="BM38" s="276"/>
      <c r="BN38" s="151"/>
      <c r="BO38" s="151"/>
      <c r="BP38" s="276"/>
      <c r="BQ38" s="276"/>
      <c r="BR38" s="276"/>
      <c r="BS38" s="276"/>
      <c r="BT38" s="276"/>
      <c r="BU38" s="276"/>
      <c r="BV38" s="276"/>
      <c r="BW38" s="276"/>
      <c r="BX38" s="276"/>
      <c r="BY38" s="276"/>
      <c r="BZ38" s="276"/>
      <c r="CA38" s="151"/>
      <c r="CB38" s="151"/>
      <c r="CC38" s="276"/>
      <c r="CD38" s="276"/>
      <c r="CE38" s="276"/>
      <c r="CF38" s="276"/>
      <c r="CG38" s="276"/>
      <c r="CH38" s="276"/>
      <c r="CI38" s="276"/>
      <c r="CJ38" s="276"/>
      <c r="CK38" s="276"/>
      <c r="CL38" s="276"/>
      <c r="CM38" s="276"/>
      <c r="CN38" s="151"/>
      <c r="CO38" s="151"/>
      <c r="CP38" s="276"/>
      <c r="CQ38" s="276"/>
      <c r="CR38" s="276"/>
      <c r="CS38" s="276"/>
      <c r="CT38" s="276"/>
      <c r="CU38" s="276"/>
      <c r="CV38" s="276"/>
      <c r="CW38" s="276"/>
      <c r="CX38" s="276"/>
      <c r="CY38" s="276"/>
      <c r="CZ38" s="276"/>
      <c r="DA38" s="151"/>
      <c r="DB38" s="151"/>
      <c r="DC38" s="276"/>
      <c r="DD38" s="276"/>
      <c r="DE38" s="276"/>
      <c r="DF38" s="276"/>
      <c r="DG38" s="276"/>
      <c r="DH38" s="276"/>
      <c r="DI38" s="276"/>
      <c r="DJ38" s="276"/>
      <c r="DK38" s="276"/>
      <c r="DL38" s="276"/>
      <c r="DM38" s="276"/>
      <c r="DN38" s="151"/>
      <c r="DO38" s="151"/>
      <c r="DP38" s="276"/>
      <c r="DQ38" s="276"/>
      <c r="DR38" s="276"/>
      <c r="DS38" s="276"/>
      <c r="DT38" s="276"/>
      <c r="DU38" s="276"/>
      <c r="DV38" s="276"/>
      <c r="DW38" s="276"/>
      <c r="DX38" s="276"/>
      <c r="DY38" s="276"/>
      <c r="DZ38" s="276"/>
      <c r="EA38" s="151"/>
      <c r="EB38" s="151"/>
      <c r="EC38" s="276"/>
      <c r="ED38" s="276"/>
      <c r="EE38" s="276"/>
      <c r="EF38" s="276"/>
      <c r="EG38" s="276"/>
      <c r="EH38" s="276"/>
      <c r="EI38" s="276"/>
      <c r="EJ38" s="276"/>
      <c r="EK38" s="276"/>
      <c r="EL38" s="276"/>
      <c r="EM38" s="276"/>
      <c r="EN38" s="151"/>
      <c r="EO38" s="151"/>
      <c r="EP38" s="276"/>
      <c r="EQ38" s="276"/>
      <c r="ER38" s="276"/>
      <c r="ES38" s="276"/>
      <c r="ET38" s="276"/>
      <c r="EU38" s="276"/>
      <c r="EV38" s="276"/>
      <c r="EW38" s="276"/>
      <c r="EX38" s="276"/>
      <c r="EY38" s="276"/>
      <c r="EZ38" s="276"/>
      <c r="FA38" s="151"/>
      <c r="FB38" s="151"/>
      <c r="FC38" s="276"/>
      <c r="FD38" s="276"/>
      <c r="FE38" s="276"/>
      <c r="FF38" s="276"/>
      <c r="FG38" s="276"/>
      <c r="FH38" s="276"/>
      <c r="FI38" s="276"/>
      <c r="FJ38" s="276"/>
      <c r="FK38" s="276"/>
      <c r="FL38" s="276"/>
      <c r="FM38" s="276"/>
      <c r="FN38" s="151"/>
      <c r="FO38" s="151"/>
      <c r="FP38" s="276"/>
      <c r="FQ38" s="276"/>
      <c r="FR38" s="276"/>
      <c r="FS38" s="276"/>
      <c r="FT38" s="276"/>
      <c r="FU38" s="276"/>
      <c r="FV38" s="276"/>
      <c r="FW38" s="276"/>
      <c r="FX38" s="276"/>
      <c r="FY38" s="276"/>
      <c r="FZ38" s="276"/>
      <c r="GA38" s="151"/>
      <c r="GB38" s="151"/>
      <c r="GC38" s="276"/>
      <c r="GD38" s="276"/>
      <c r="GE38" s="276"/>
      <c r="GF38" s="276"/>
      <c r="GG38" s="276"/>
      <c r="GH38" s="276"/>
      <c r="GI38" s="276"/>
      <c r="GJ38" s="276"/>
      <c r="GK38" s="276"/>
      <c r="GL38" s="276"/>
      <c r="GM38" s="276"/>
      <c r="GN38" s="151"/>
      <c r="GO38" s="151"/>
      <c r="GP38" s="276"/>
      <c r="GQ38" s="276"/>
      <c r="GR38" s="276"/>
      <c r="GS38" s="276"/>
      <c r="GT38" s="276"/>
      <c r="GU38" s="276"/>
      <c r="GV38" s="276"/>
      <c r="GW38" s="276"/>
      <c r="GX38" s="276"/>
      <c r="GY38" s="276"/>
      <c r="GZ38" s="276"/>
      <c r="HA38" s="151"/>
      <c r="HB38" s="151"/>
      <c r="HC38" s="276"/>
      <c r="HD38" s="276"/>
      <c r="HE38" s="276"/>
      <c r="HF38" s="276"/>
      <c r="HG38" s="276"/>
      <c r="HH38" s="276"/>
      <c r="HI38" s="276"/>
      <c r="HJ38" s="276"/>
      <c r="HK38" s="276"/>
      <c r="HL38" s="276"/>
      <c r="HM38" s="276"/>
      <c r="HN38" s="151"/>
      <c r="HO38" s="151"/>
      <c r="HP38" s="276"/>
      <c r="HQ38" s="276"/>
      <c r="HR38" s="276"/>
      <c r="HS38" s="276"/>
      <c r="HT38" s="276"/>
      <c r="HU38" s="276"/>
      <c r="HV38" s="276"/>
      <c r="HW38" s="276"/>
      <c r="HX38" s="276"/>
      <c r="HY38" s="276"/>
      <c r="HZ38" s="276"/>
      <c r="IA38" s="151"/>
      <c r="IB38" s="151"/>
      <c r="IC38" s="276"/>
      <c r="ID38" s="276"/>
      <c r="IE38" s="276"/>
      <c r="IF38" s="276"/>
      <c r="IG38" s="276"/>
      <c r="IH38" s="276"/>
      <c r="II38" s="276"/>
      <c r="IJ38" s="276"/>
      <c r="IK38" s="276"/>
      <c r="IL38" s="276"/>
      <c r="IM38" s="276"/>
      <c r="IN38" s="151"/>
      <c r="IO38" s="151"/>
      <c r="IP38" s="276"/>
      <c r="IQ38" s="276"/>
      <c r="IR38" s="276"/>
      <c r="IS38" s="276"/>
      <c r="IT38" s="276"/>
      <c r="IU38" s="276"/>
      <c r="IV38" s="276"/>
    </row>
    <row r="39" spans="1:256" x14ac:dyDescent="0.2">
      <c r="A39" s="160"/>
      <c r="B39" s="151"/>
      <c r="C39" s="276"/>
      <c r="D39" s="276"/>
      <c r="E39" s="276"/>
      <c r="F39" s="276"/>
      <c r="G39" s="276"/>
      <c r="H39" s="276"/>
      <c r="I39" s="276"/>
      <c r="J39" s="276"/>
      <c r="K39" s="276"/>
      <c r="L39" s="276"/>
      <c r="M39" s="278"/>
      <c r="N39" s="154"/>
      <c r="O39" s="154"/>
      <c r="P39" s="277"/>
      <c r="Q39" s="277"/>
      <c r="R39" s="277"/>
      <c r="S39" s="277"/>
      <c r="T39" s="277"/>
      <c r="U39" s="277"/>
      <c r="V39" s="277"/>
      <c r="W39" s="277"/>
      <c r="X39" s="277"/>
      <c r="Y39" s="277"/>
      <c r="Z39" s="277"/>
      <c r="AA39" s="151"/>
      <c r="AB39" s="151"/>
      <c r="AC39" s="276"/>
      <c r="AD39" s="276"/>
      <c r="AE39" s="276"/>
      <c r="AF39" s="276"/>
      <c r="AG39" s="276"/>
      <c r="AH39" s="276"/>
      <c r="AI39" s="276"/>
      <c r="AJ39" s="276"/>
      <c r="AK39" s="276"/>
      <c r="AL39" s="276"/>
      <c r="AM39" s="276"/>
      <c r="AN39" s="151"/>
      <c r="AO39" s="151"/>
      <c r="AP39" s="276"/>
      <c r="AQ39" s="276"/>
      <c r="AR39" s="276"/>
      <c r="AS39" s="276"/>
      <c r="AT39" s="276"/>
      <c r="AU39" s="276"/>
      <c r="AV39" s="276"/>
      <c r="AW39" s="276"/>
      <c r="AX39" s="276"/>
      <c r="AY39" s="276"/>
      <c r="AZ39" s="276"/>
      <c r="BA39" s="151"/>
      <c r="BB39" s="151"/>
      <c r="BC39" s="276"/>
      <c r="BD39" s="276"/>
      <c r="BE39" s="276"/>
      <c r="BF39" s="276"/>
      <c r="BG39" s="276"/>
      <c r="BH39" s="276"/>
      <c r="BI39" s="276"/>
      <c r="BJ39" s="276"/>
      <c r="BK39" s="276"/>
      <c r="BL39" s="276"/>
      <c r="BM39" s="276"/>
      <c r="BN39" s="151"/>
      <c r="BO39" s="151"/>
      <c r="BP39" s="276"/>
      <c r="BQ39" s="276"/>
      <c r="BR39" s="276"/>
      <c r="BS39" s="276"/>
      <c r="BT39" s="276"/>
      <c r="BU39" s="276"/>
      <c r="BV39" s="276"/>
      <c r="BW39" s="276"/>
      <c r="BX39" s="276"/>
      <c r="BY39" s="276"/>
      <c r="BZ39" s="276"/>
      <c r="CA39" s="151"/>
      <c r="CB39" s="151"/>
      <c r="CC39" s="276"/>
      <c r="CD39" s="276"/>
      <c r="CE39" s="276"/>
      <c r="CF39" s="276"/>
      <c r="CG39" s="276"/>
      <c r="CH39" s="276"/>
      <c r="CI39" s="276"/>
      <c r="CJ39" s="276"/>
      <c r="CK39" s="276"/>
      <c r="CL39" s="276"/>
      <c r="CM39" s="276"/>
      <c r="CN39" s="151"/>
      <c r="CO39" s="151"/>
      <c r="CP39" s="276"/>
      <c r="CQ39" s="276"/>
      <c r="CR39" s="276"/>
      <c r="CS39" s="276"/>
      <c r="CT39" s="276"/>
      <c r="CU39" s="276"/>
      <c r="CV39" s="276"/>
      <c r="CW39" s="276"/>
      <c r="CX39" s="276"/>
      <c r="CY39" s="276"/>
      <c r="CZ39" s="276"/>
      <c r="DA39" s="151"/>
      <c r="DB39" s="151"/>
      <c r="DC39" s="276"/>
      <c r="DD39" s="276"/>
      <c r="DE39" s="276"/>
      <c r="DF39" s="276"/>
      <c r="DG39" s="276"/>
      <c r="DH39" s="276"/>
      <c r="DI39" s="276"/>
      <c r="DJ39" s="276"/>
      <c r="DK39" s="276"/>
      <c r="DL39" s="276"/>
      <c r="DM39" s="276"/>
      <c r="DN39" s="151"/>
      <c r="DO39" s="151"/>
      <c r="DP39" s="276"/>
      <c r="DQ39" s="276"/>
      <c r="DR39" s="276"/>
      <c r="DS39" s="276"/>
      <c r="DT39" s="276"/>
      <c r="DU39" s="276"/>
      <c r="DV39" s="276"/>
      <c r="DW39" s="276"/>
      <c r="DX39" s="276"/>
      <c r="DY39" s="276"/>
      <c r="DZ39" s="276"/>
      <c r="EA39" s="151"/>
      <c r="EB39" s="151"/>
      <c r="EC39" s="276"/>
      <c r="ED39" s="276"/>
      <c r="EE39" s="276"/>
      <c r="EF39" s="276"/>
      <c r="EG39" s="276"/>
      <c r="EH39" s="276"/>
      <c r="EI39" s="276"/>
      <c r="EJ39" s="276"/>
      <c r="EK39" s="276"/>
      <c r="EL39" s="276"/>
      <c r="EM39" s="276"/>
      <c r="EN39" s="151"/>
      <c r="EO39" s="151"/>
      <c r="EP39" s="276"/>
      <c r="EQ39" s="276"/>
      <c r="ER39" s="276"/>
      <c r="ES39" s="276"/>
      <c r="ET39" s="276"/>
      <c r="EU39" s="276"/>
      <c r="EV39" s="276"/>
      <c r="EW39" s="276"/>
      <c r="EX39" s="276"/>
      <c r="EY39" s="276"/>
      <c r="EZ39" s="276"/>
      <c r="FA39" s="151"/>
      <c r="FB39" s="151"/>
      <c r="FC39" s="276"/>
      <c r="FD39" s="276"/>
      <c r="FE39" s="276"/>
      <c r="FF39" s="276"/>
      <c r="FG39" s="276"/>
      <c r="FH39" s="276"/>
      <c r="FI39" s="276"/>
      <c r="FJ39" s="276"/>
      <c r="FK39" s="276"/>
      <c r="FL39" s="276"/>
      <c r="FM39" s="276"/>
      <c r="FN39" s="151"/>
      <c r="FO39" s="151"/>
      <c r="FP39" s="276"/>
      <c r="FQ39" s="276"/>
      <c r="FR39" s="276"/>
      <c r="FS39" s="276"/>
      <c r="FT39" s="276"/>
      <c r="FU39" s="276"/>
      <c r="FV39" s="276"/>
      <c r="FW39" s="276"/>
      <c r="FX39" s="276"/>
      <c r="FY39" s="276"/>
      <c r="FZ39" s="276"/>
      <c r="GA39" s="151"/>
      <c r="GB39" s="151"/>
      <c r="GC39" s="276"/>
      <c r="GD39" s="276"/>
      <c r="GE39" s="276"/>
      <c r="GF39" s="276"/>
      <c r="GG39" s="276"/>
      <c r="GH39" s="276"/>
      <c r="GI39" s="276"/>
      <c r="GJ39" s="276"/>
      <c r="GK39" s="276"/>
      <c r="GL39" s="276"/>
      <c r="GM39" s="276"/>
      <c r="GN39" s="151"/>
      <c r="GO39" s="151"/>
      <c r="GP39" s="276"/>
      <c r="GQ39" s="276"/>
      <c r="GR39" s="276"/>
      <c r="GS39" s="276"/>
      <c r="GT39" s="276"/>
      <c r="GU39" s="276"/>
      <c r="GV39" s="276"/>
      <c r="GW39" s="276"/>
      <c r="GX39" s="276"/>
      <c r="GY39" s="276"/>
      <c r="GZ39" s="276"/>
      <c r="HA39" s="151"/>
      <c r="HB39" s="151"/>
      <c r="HC39" s="276"/>
      <c r="HD39" s="276"/>
      <c r="HE39" s="276"/>
      <c r="HF39" s="276"/>
      <c r="HG39" s="276"/>
      <c r="HH39" s="276"/>
      <c r="HI39" s="276"/>
      <c r="HJ39" s="276"/>
      <c r="HK39" s="276"/>
      <c r="HL39" s="276"/>
      <c r="HM39" s="276"/>
      <c r="HN39" s="151"/>
      <c r="HO39" s="151"/>
      <c r="HP39" s="276"/>
      <c r="HQ39" s="276"/>
      <c r="HR39" s="276"/>
      <c r="HS39" s="276"/>
      <c r="HT39" s="276"/>
      <c r="HU39" s="276"/>
      <c r="HV39" s="276"/>
      <c r="HW39" s="276"/>
      <c r="HX39" s="276"/>
      <c r="HY39" s="276"/>
      <c r="HZ39" s="276"/>
      <c r="IA39" s="151"/>
      <c r="IB39" s="151"/>
      <c r="IC39" s="276"/>
      <c r="ID39" s="276"/>
      <c r="IE39" s="276"/>
      <c r="IF39" s="276"/>
      <c r="IG39" s="276"/>
      <c r="IH39" s="276"/>
      <c r="II39" s="276"/>
      <c r="IJ39" s="276"/>
      <c r="IK39" s="276"/>
      <c r="IL39" s="276"/>
      <c r="IM39" s="276"/>
      <c r="IN39" s="151"/>
      <c r="IO39" s="151"/>
      <c r="IP39" s="276"/>
      <c r="IQ39" s="276"/>
      <c r="IR39" s="276"/>
      <c r="IS39" s="276"/>
      <c r="IT39" s="276"/>
      <c r="IU39" s="276"/>
      <c r="IV39" s="276"/>
    </row>
    <row r="40" spans="1:256" x14ac:dyDescent="0.2">
      <c r="A40" s="160"/>
      <c r="B40" s="151"/>
      <c r="C40" s="276"/>
      <c r="D40" s="276"/>
      <c r="E40" s="276"/>
      <c r="F40" s="276"/>
      <c r="G40" s="276"/>
      <c r="H40" s="276"/>
      <c r="I40" s="276"/>
      <c r="J40" s="276"/>
      <c r="K40" s="276"/>
      <c r="L40" s="276"/>
      <c r="M40" s="278"/>
      <c r="N40" s="154"/>
      <c r="O40" s="154"/>
      <c r="P40" s="277"/>
      <c r="Q40" s="277"/>
      <c r="R40" s="277"/>
      <c r="S40" s="277"/>
      <c r="T40" s="277"/>
      <c r="U40" s="277"/>
      <c r="V40" s="277"/>
      <c r="W40" s="277"/>
      <c r="X40" s="277"/>
      <c r="Y40" s="277"/>
      <c r="Z40" s="277"/>
      <c r="AA40" s="151"/>
      <c r="AB40" s="151"/>
      <c r="AC40" s="276"/>
      <c r="AD40" s="276"/>
      <c r="AE40" s="276"/>
      <c r="AF40" s="276"/>
      <c r="AG40" s="276"/>
      <c r="AH40" s="276"/>
      <c r="AI40" s="276"/>
      <c r="AJ40" s="276"/>
      <c r="AK40" s="276"/>
      <c r="AL40" s="276"/>
      <c r="AM40" s="276"/>
      <c r="AN40" s="151"/>
      <c r="AO40" s="151"/>
      <c r="AP40" s="276"/>
      <c r="AQ40" s="276"/>
      <c r="AR40" s="276"/>
      <c r="AS40" s="276"/>
      <c r="AT40" s="276"/>
      <c r="AU40" s="276"/>
      <c r="AV40" s="276"/>
      <c r="AW40" s="276"/>
      <c r="AX40" s="276"/>
      <c r="AY40" s="276"/>
      <c r="AZ40" s="276"/>
      <c r="BA40" s="151"/>
      <c r="BB40" s="151"/>
      <c r="BC40" s="276"/>
      <c r="BD40" s="276"/>
      <c r="BE40" s="276"/>
      <c r="BF40" s="276"/>
      <c r="BG40" s="276"/>
      <c r="BH40" s="276"/>
      <c r="BI40" s="276"/>
      <c r="BJ40" s="276"/>
      <c r="BK40" s="276"/>
      <c r="BL40" s="276"/>
      <c r="BM40" s="276"/>
      <c r="BN40" s="151"/>
      <c r="BO40" s="151"/>
      <c r="BP40" s="276"/>
      <c r="BQ40" s="276"/>
      <c r="BR40" s="276"/>
      <c r="BS40" s="276"/>
      <c r="BT40" s="276"/>
      <c r="BU40" s="276"/>
      <c r="BV40" s="276"/>
      <c r="BW40" s="276"/>
      <c r="BX40" s="276"/>
      <c r="BY40" s="276"/>
      <c r="BZ40" s="276"/>
      <c r="CA40" s="151"/>
      <c r="CB40" s="151"/>
      <c r="CC40" s="276"/>
      <c r="CD40" s="276"/>
      <c r="CE40" s="276"/>
      <c r="CF40" s="276"/>
      <c r="CG40" s="276"/>
      <c r="CH40" s="276"/>
      <c r="CI40" s="276"/>
      <c r="CJ40" s="276"/>
      <c r="CK40" s="276"/>
      <c r="CL40" s="276"/>
      <c r="CM40" s="276"/>
      <c r="CN40" s="151"/>
      <c r="CO40" s="151"/>
      <c r="CP40" s="276"/>
      <c r="CQ40" s="276"/>
      <c r="CR40" s="276"/>
      <c r="CS40" s="276"/>
      <c r="CT40" s="276"/>
      <c r="CU40" s="276"/>
      <c r="CV40" s="276"/>
      <c r="CW40" s="276"/>
      <c r="CX40" s="276"/>
      <c r="CY40" s="276"/>
      <c r="CZ40" s="276"/>
      <c r="DA40" s="151"/>
      <c r="DB40" s="151"/>
      <c r="DC40" s="276"/>
      <c r="DD40" s="276"/>
      <c r="DE40" s="276"/>
      <c r="DF40" s="276"/>
      <c r="DG40" s="276"/>
      <c r="DH40" s="276"/>
      <c r="DI40" s="276"/>
      <c r="DJ40" s="276"/>
      <c r="DK40" s="276"/>
      <c r="DL40" s="276"/>
      <c r="DM40" s="276"/>
      <c r="DN40" s="151"/>
      <c r="DO40" s="151"/>
      <c r="DP40" s="276"/>
      <c r="DQ40" s="276"/>
      <c r="DR40" s="276"/>
      <c r="DS40" s="276"/>
      <c r="DT40" s="276"/>
      <c r="DU40" s="276"/>
      <c r="DV40" s="276"/>
      <c r="DW40" s="276"/>
      <c r="DX40" s="276"/>
      <c r="DY40" s="276"/>
      <c r="DZ40" s="276"/>
      <c r="EA40" s="151"/>
      <c r="EB40" s="151"/>
      <c r="EC40" s="276"/>
      <c r="ED40" s="276"/>
      <c r="EE40" s="276"/>
      <c r="EF40" s="276"/>
      <c r="EG40" s="276"/>
      <c r="EH40" s="276"/>
      <c r="EI40" s="276"/>
      <c r="EJ40" s="276"/>
      <c r="EK40" s="276"/>
      <c r="EL40" s="276"/>
      <c r="EM40" s="276"/>
      <c r="EN40" s="151"/>
      <c r="EO40" s="151"/>
      <c r="EP40" s="276"/>
      <c r="EQ40" s="276"/>
      <c r="ER40" s="276"/>
      <c r="ES40" s="276"/>
      <c r="ET40" s="276"/>
      <c r="EU40" s="276"/>
      <c r="EV40" s="276"/>
      <c r="EW40" s="276"/>
      <c r="EX40" s="276"/>
      <c r="EY40" s="276"/>
      <c r="EZ40" s="276"/>
      <c r="FA40" s="151"/>
      <c r="FB40" s="151"/>
      <c r="FC40" s="276"/>
      <c r="FD40" s="276"/>
      <c r="FE40" s="276"/>
      <c r="FF40" s="276"/>
      <c r="FG40" s="276"/>
      <c r="FH40" s="276"/>
      <c r="FI40" s="276"/>
      <c r="FJ40" s="276"/>
      <c r="FK40" s="276"/>
      <c r="FL40" s="276"/>
      <c r="FM40" s="276"/>
      <c r="FN40" s="151"/>
      <c r="FO40" s="151"/>
      <c r="FP40" s="276"/>
      <c r="FQ40" s="276"/>
      <c r="FR40" s="276"/>
      <c r="FS40" s="276"/>
      <c r="FT40" s="276"/>
      <c r="FU40" s="276"/>
      <c r="FV40" s="276"/>
      <c r="FW40" s="276"/>
      <c r="FX40" s="276"/>
      <c r="FY40" s="276"/>
      <c r="FZ40" s="276"/>
      <c r="GA40" s="151"/>
      <c r="GB40" s="151"/>
      <c r="GC40" s="276"/>
      <c r="GD40" s="276"/>
      <c r="GE40" s="276"/>
      <c r="GF40" s="276"/>
      <c r="GG40" s="276"/>
      <c r="GH40" s="276"/>
      <c r="GI40" s="276"/>
      <c r="GJ40" s="276"/>
      <c r="GK40" s="276"/>
      <c r="GL40" s="276"/>
      <c r="GM40" s="276"/>
      <c r="GN40" s="151"/>
      <c r="GO40" s="151"/>
      <c r="GP40" s="276"/>
      <c r="GQ40" s="276"/>
      <c r="GR40" s="276"/>
      <c r="GS40" s="276"/>
      <c r="GT40" s="276"/>
      <c r="GU40" s="276"/>
      <c r="GV40" s="276"/>
      <c r="GW40" s="276"/>
      <c r="GX40" s="276"/>
      <c r="GY40" s="276"/>
      <c r="GZ40" s="276"/>
      <c r="HA40" s="151"/>
      <c r="HB40" s="151"/>
      <c r="HC40" s="276"/>
      <c r="HD40" s="276"/>
      <c r="HE40" s="276"/>
      <c r="HF40" s="276"/>
      <c r="HG40" s="276"/>
      <c r="HH40" s="276"/>
      <c r="HI40" s="276"/>
      <c r="HJ40" s="276"/>
      <c r="HK40" s="276"/>
      <c r="HL40" s="276"/>
      <c r="HM40" s="276"/>
      <c r="HN40" s="151"/>
      <c r="HO40" s="151"/>
      <c r="HP40" s="276"/>
      <c r="HQ40" s="276"/>
      <c r="HR40" s="276"/>
      <c r="HS40" s="276"/>
      <c r="HT40" s="276"/>
      <c r="HU40" s="276"/>
      <c r="HV40" s="276"/>
      <c r="HW40" s="276"/>
      <c r="HX40" s="276"/>
      <c r="HY40" s="276"/>
      <c r="HZ40" s="276"/>
      <c r="IA40" s="151"/>
      <c r="IB40" s="151"/>
      <c r="IC40" s="276"/>
      <c r="ID40" s="276"/>
      <c r="IE40" s="276"/>
      <c r="IF40" s="276"/>
      <c r="IG40" s="276"/>
      <c r="IH40" s="276"/>
      <c r="II40" s="276"/>
      <c r="IJ40" s="276"/>
      <c r="IK40" s="276"/>
      <c r="IL40" s="276"/>
      <c r="IM40" s="276"/>
      <c r="IN40" s="151"/>
      <c r="IO40" s="151"/>
      <c r="IP40" s="276"/>
      <c r="IQ40" s="276"/>
      <c r="IR40" s="276"/>
      <c r="IS40" s="276"/>
      <c r="IT40" s="276"/>
      <c r="IU40" s="276"/>
      <c r="IV40" s="276"/>
    </row>
    <row r="41" spans="1:256" x14ac:dyDescent="0.2">
      <c r="A41" s="160"/>
      <c r="B41" s="151"/>
      <c r="C41" s="276"/>
      <c r="D41" s="276"/>
      <c r="E41" s="276"/>
      <c r="F41" s="276"/>
      <c r="G41" s="276"/>
      <c r="H41" s="276"/>
      <c r="I41" s="276"/>
      <c r="J41" s="276"/>
      <c r="K41" s="276"/>
      <c r="L41" s="276"/>
      <c r="M41" s="278"/>
      <c r="N41" s="154"/>
      <c r="O41" s="154"/>
      <c r="P41" s="163"/>
      <c r="Q41" s="163"/>
      <c r="R41" s="163"/>
      <c r="S41" s="163"/>
      <c r="T41" s="163"/>
      <c r="U41" s="163"/>
      <c r="V41" s="163"/>
      <c r="W41" s="163"/>
      <c r="X41" s="163"/>
      <c r="Y41" s="163"/>
      <c r="Z41" s="163"/>
      <c r="AA41" s="151"/>
      <c r="AB41" s="151"/>
      <c r="AC41" s="155"/>
      <c r="AD41" s="155"/>
      <c r="AE41" s="155"/>
      <c r="AF41" s="155"/>
      <c r="AG41" s="155"/>
      <c r="AH41" s="155"/>
      <c r="AI41" s="155"/>
      <c r="AJ41" s="155"/>
      <c r="AK41" s="155"/>
      <c r="AL41" s="155"/>
      <c r="AM41" s="155"/>
      <c r="AN41" s="151"/>
      <c r="AO41" s="151"/>
      <c r="AP41" s="155"/>
      <c r="AQ41" s="155"/>
      <c r="AR41" s="155"/>
      <c r="AS41" s="155"/>
      <c r="AT41" s="155"/>
      <c r="AU41" s="155"/>
      <c r="AV41" s="155"/>
      <c r="AW41" s="155"/>
      <c r="AX41" s="155"/>
      <c r="AY41" s="155"/>
      <c r="AZ41" s="155"/>
      <c r="BA41" s="151"/>
      <c r="BB41" s="151"/>
      <c r="BC41" s="155"/>
      <c r="BD41" s="155"/>
      <c r="BE41" s="155"/>
      <c r="BF41" s="155"/>
      <c r="BG41" s="155"/>
      <c r="BH41" s="155"/>
      <c r="BI41" s="155"/>
      <c r="BJ41" s="155"/>
      <c r="BK41" s="155"/>
      <c r="BL41" s="155"/>
      <c r="BM41" s="155"/>
      <c r="BN41" s="151"/>
      <c r="BO41" s="151"/>
      <c r="BP41" s="155"/>
      <c r="BQ41" s="155"/>
      <c r="BR41" s="155"/>
      <c r="BS41" s="155"/>
      <c r="BT41" s="155"/>
      <c r="BU41" s="155"/>
      <c r="BV41" s="155"/>
      <c r="BW41" s="155"/>
      <c r="BX41" s="155"/>
      <c r="BY41" s="155"/>
      <c r="BZ41" s="155"/>
      <c r="CA41" s="151"/>
      <c r="CB41" s="151"/>
      <c r="CC41" s="155"/>
      <c r="CD41" s="155"/>
      <c r="CE41" s="155"/>
      <c r="CF41" s="155"/>
      <c r="CG41" s="155"/>
      <c r="CH41" s="155"/>
      <c r="CI41" s="155"/>
      <c r="CJ41" s="155"/>
      <c r="CK41" s="155"/>
      <c r="CL41" s="155"/>
      <c r="CM41" s="155"/>
      <c r="CN41" s="151"/>
      <c r="CO41" s="151"/>
      <c r="CP41" s="155"/>
      <c r="CQ41" s="155"/>
      <c r="CR41" s="155"/>
      <c r="CS41" s="155"/>
      <c r="CT41" s="155"/>
      <c r="CU41" s="155"/>
      <c r="CV41" s="155"/>
      <c r="CW41" s="155"/>
      <c r="CX41" s="155"/>
      <c r="CY41" s="155"/>
      <c r="CZ41" s="155"/>
      <c r="DA41" s="151"/>
      <c r="DB41" s="151"/>
      <c r="DC41" s="155"/>
      <c r="DD41" s="155"/>
      <c r="DE41" s="155"/>
      <c r="DF41" s="155"/>
      <c r="DG41" s="155"/>
      <c r="DH41" s="155"/>
      <c r="DI41" s="155"/>
      <c r="DJ41" s="155"/>
      <c r="DK41" s="155"/>
      <c r="DL41" s="155"/>
      <c r="DM41" s="155"/>
      <c r="DN41" s="151"/>
      <c r="DO41" s="151"/>
      <c r="DP41" s="155"/>
      <c r="DQ41" s="155"/>
      <c r="DR41" s="155"/>
      <c r="DS41" s="155"/>
      <c r="DT41" s="155"/>
      <c r="DU41" s="155"/>
      <c r="DV41" s="155"/>
      <c r="DW41" s="155"/>
      <c r="DX41" s="155"/>
      <c r="DY41" s="155"/>
      <c r="DZ41" s="155"/>
      <c r="EA41" s="151"/>
      <c r="EB41" s="151"/>
      <c r="EC41" s="155"/>
      <c r="ED41" s="155"/>
      <c r="EE41" s="155"/>
      <c r="EF41" s="155"/>
      <c r="EG41" s="155"/>
      <c r="EH41" s="155"/>
      <c r="EI41" s="155"/>
      <c r="EJ41" s="155"/>
      <c r="EK41" s="155"/>
      <c r="EL41" s="155"/>
      <c r="EM41" s="155"/>
      <c r="EN41" s="151"/>
      <c r="EO41" s="151"/>
      <c r="EP41" s="155"/>
      <c r="EQ41" s="155"/>
      <c r="ER41" s="155"/>
      <c r="ES41" s="155"/>
      <c r="ET41" s="155"/>
      <c r="EU41" s="155"/>
      <c r="EV41" s="155"/>
      <c r="EW41" s="155"/>
      <c r="EX41" s="155"/>
      <c r="EY41" s="155"/>
      <c r="EZ41" s="155"/>
      <c r="FA41" s="151"/>
      <c r="FB41" s="151"/>
      <c r="FC41" s="155"/>
      <c r="FD41" s="155"/>
      <c r="FE41" s="155"/>
      <c r="FF41" s="155"/>
      <c r="FG41" s="155"/>
      <c r="FH41" s="155"/>
      <c r="FI41" s="155"/>
      <c r="FJ41" s="155"/>
      <c r="FK41" s="155"/>
      <c r="FL41" s="155"/>
      <c r="FM41" s="155"/>
      <c r="FN41" s="151"/>
      <c r="FO41" s="151"/>
      <c r="FP41" s="155"/>
      <c r="FQ41" s="155"/>
      <c r="FR41" s="155"/>
      <c r="FS41" s="155"/>
      <c r="FT41" s="155"/>
      <c r="FU41" s="155"/>
      <c r="FV41" s="155"/>
      <c r="FW41" s="155"/>
      <c r="FX41" s="155"/>
      <c r="FY41" s="155"/>
      <c r="FZ41" s="155"/>
      <c r="GA41" s="151"/>
      <c r="GB41" s="151"/>
      <c r="GC41" s="155"/>
      <c r="GD41" s="155"/>
      <c r="GE41" s="155"/>
      <c r="GF41" s="155"/>
      <c r="GG41" s="155"/>
      <c r="GH41" s="155"/>
      <c r="GI41" s="155"/>
      <c r="GJ41" s="155"/>
      <c r="GK41" s="155"/>
      <c r="GL41" s="155"/>
      <c r="GM41" s="155"/>
      <c r="GN41" s="151"/>
      <c r="GO41" s="151"/>
      <c r="GP41" s="155"/>
      <c r="GQ41" s="155"/>
      <c r="GR41" s="155"/>
      <c r="GS41" s="155"/>
      <c r="GT41" s="155"/>
      <c r="GU41" s="155"/>
      <c r="GV41" s="155"/>
      <c r="GW41" s="155"/>
      <c r="GX41" s="155"/>
      <c r="GY41" s="155"/>
      <c r="GZ41" s="155"/>
      <c r="HA41" s="151"/>
      <c r="HB41" s="151"/>
      <c r="HC41" s="155"/>
      <c r="HD41" s="155"/>
      <c r="HE41" s="155"/>
      <c r="HF41" s="155"/>
      <c r="HG41" s="155"/>
      <c r="HH41" s="155"/>
      <c r="HI41" s="155"/>
      <c r="HJ41" s="155"/>
      <c r="HK41" s="155"/>
      <c r="HL41" s="155"/>
      <c r="HM41" s="155"/>
      <c r="HN41" s="151"/>
      <c r="HO41" s="151"/>
      <c r="HP41" s="155"/>
      <c r="HQ41" s="155"/>
      <c r="HR41" s="155"/>
      <c r="HS41" s="155"/>
      <c r="HT41" s="155"/>
      <c r="HU41" s="155"/>
      <c r="HV41" s="155"/>
      <c r="HW41" s="155"/>
      <c r="HX41" s="155"/>
      <c r="HY41" s="155"/>
      <c r="HZ41" s="155"/>
      <c r="IA41" s="151"/>
      <c r="IB41" s="151"/>
      <c r="IC41" s="155"/>
      <c r="ID41" s="155"/>
      <c r="IE41" s="155"/>
      <c r="IF41" s="155"/>
      <c r="IG41" s="155"/>
      <c r="IH41" s="155"/>
      <c r="II41" s="155"/>
      <c r="IJ41" s="155"/>
      <c r="IK41" s="155"/>
      <c r="IL41" s="155"/>
      <c r="IM41" s="155"/>
      <c r="IN41" s="151"/>
      <c r="IO41" s="151"/>
      <c r="IP41" s="155"/>
      <c r="IQ41" s="155"/>
      <c r="IR41" s="155"/>
      <c r="IS41" s="155"/>
      <c r="IT41" s="155"/>
      <c r="IU41" s="155"/>
      <c r="IV41" s="155"/>
    </row>
    <row r="42" spans="1:256" x14ac:dyDescent="0.2">
      <c r="A42" s="160"/>
      <c r="B42" s="151"/>
      <c r="C42" s="276"/>
      <c r="D42" s="276"/>
      <c r="E42" s="276"/>
      <c r="F42" s="276"/>
      <c r="G42" s="276"/>
      <c r="H42" s="276"/>
      <c r="I42" s="276"/>
      <c r="J42" s="276"/>
      <c r="K42" s="276"/>
      <c r="L42" s="276"/>
      <c r="M42" s="278"/>
      <c r="N42" s="154"/>
      <c r="O42" s="154"/>
      <c r="P42" s="163"/>
      <c r="Q42" s="163"/>
      <c r="R42" s="163"/>
      <c r="S42" s="163"/>
      <c r="T42" s="163"/>
      <c r="U42" s="163"/>
      <c r="V42" s="163"/>
      <c r="W42" s="163"/>
      <c r="X42" s="163"/>
      <c r="Y42" s="163"/>
      <c r="Z42" s="163"/>
      <c r="AA42" s="151"/>
      <c r="AB42" s="151"/>
      <c r="AC42" s="155"/>
      <c r="AD42" s="155"/>
      <c r="AE42" s="155"/>
      <c r="AF42" s="155"/>
      <c r="AG42" s="155"/>
      <c r="AH42" s="155"/>
      <c r="AI42" s="155"/>
      <c r="AJ42" s="155"/>
      <c r="AK42" s="155"/>
      <c r="AL42" s="155"/>
      <c r="AM42" s="155"/>
      <c r="AN42" s="151"/>
      <c r="AO42" s="151"/>
      <c r="AP42" s="155"/>
      <c r="AQ42" s="155"/>
      <c r="AR42" s="155"/>
      <c r="AS42" s="155"/>
      <c r="AT42" s="155"/>
      <c r="AU42" s="155"/>
      <c r="AV42" s="155"/>
      <c r="AW42" s="155"/>
      <c r="AX42" s="155"/>
      <c r="AY42" s="155"/>
      <c r="AZ42" s="155"/>
      <c r="BA42" s="151"/>
      <c r="BB42" s="151"/>
      <c r="BC42" s="155"/>
      <c r="BD42" s="155"/>
      <c r="BE42" s="155"/>
      <c r="BF42" s="155"/>
      <c r="BG42" s="155"/>
      <c r="BH42" s="155"/>
      <c r="BI42" s="155"/>
      <c r="BJ42" s="155"/>
      <c r="BK42" s="155"/>
      <c r="BL42" s="155"/>
      <c r="BM42" s="155"/>
      <c r="BN42" s="151"/>
      <c r="BO42" s="151"/>
      <c r="BP42" s="155"/>
      <c r="BQ42" s="155"/>
      <c r="BR42" s="155"/>
      <c r="BS42" s="155"/>
      <c r="BT42" s="155"/>
      <c r="BU42" s="155"/>
      <c r="BV42" s="155"/>
      <c r="BW42" s="155"/>
      <c r="BX42" s="155"/>
      <c r="BY42" s="155"/>
      <c r="BZ42" s="155"/>
      <c r="CA42" s="151"/>
      <c r="CB42" s="151"/>
      <c r="CC42" s="155"/>
      <c r="CD42" s="155"/>
      <c r="CE42" s="155"/>
      <c r="CF42" s="155"/>
      <c r="CG42" s="155"/>
      <c r="CH42" s="155"/>
      <c r="CI42" s="155"/>
      <c r="CJ42" s="155"/>
      <c r="CK42" s="155"/>
      <c r="CL42" s="155"/>
      <c r="CM42" s="155"/>
      <c r="CN42" s="151"/>
      <c r="CO42" s="151"/>
      <c r="CP42" s="155"/>
      <c r="CQ42" s="155"/>
      <c r="CR42" s="155"/>
      <c r="CS42" s="155"/>
      <c r="CT42" s="155"/>
      <c r="CU42" s="155"/>
      <c r="CV42" s="155"/>
      <c r="CW42" s="155"/>
      <c r="CX42" s="155"/>
      <c r="CY42" s="155"/>
      <c r="CZ42" s="155"/>
      <c r="DA42" s="151"/>
      <c r="DB42" s="151"/>
      <c r="DC42" s="155"/>
      <c r="DD42" s="155"/>
      <c r="DE42" s="155"/>
      <c r="DF42" s="155"/>
      <c r="DG42" s="155"/>
      <c r="DH42" s="155"/>
      <c r="DI42" s="155"/>
      <c r="DJ42" s="155"/>
      <c r="DK42" s="155"/>
      <c r="DL42" s="155"/>
      <c r="DM42" s="155"/>
      <c r="DN42" s="151"/>
      <c r="DO42" s="151"/>
      <c r="DP42" s="155"/>
      <c r="DQ42" s="155"/>
      <c r="DR42" s="155"/>
      <c r="DS42" s="155"/>
      <c r="DT42" s="155"/>
      <c r="DU42" s="155"/>
      <c r="DV42" s="155"/>
      <c r="DW42" s="155"/>
      <c r="DX42" s="155"/>
      <c r="DY42" s="155"/>
      <c r="DZ42" s="155"/>
      <c r="EA42" s="151"/>
      <c r="EB42" s="151"/>
      <c r="EC42" s="155"/>
      <c r="ED42" s="155"/>
      <c r="EE42" s="155"/>
      <c r="EF42" s="155"/>
      <c r="EG42" s="155"/>
      <c r="EH42" s="155"/>
      <c r="EI42" s="155"/>
      <c r="EJ42" s="155"/>
      <c r="EK42" s="155"/>
      <c r="EL42" s="155"/>
      <c r="EM42" s="155"/>
      <c r="EN42" s="151"/>
      <c r="EO42" s="151"/>
      <c r="EP42" s="155"/>
      <c r="EQ42" s="155"/>
      <c r="ER42" s="155"/>
      <c r="ES42" s="155"/>
      <c r="ET42" s="155"/>
      <c r="EU42" s="155"/>
      <c r="EV42" s="155"/>
      <c r="EW42" s="155"/>
      <c r="EX42" s="155"/>
      <c r="EY42" s="155"/>
      <c r="EZ42" s="155"/>
      <c r="FA42" s="151"/>
      <c r="FB42" s="151"/>
      <c r="FC42" s="155"/>
      <c r="FD42" s="155"/>
      <c r="FE42" s="155"/>
      <c r="FF42" s="155"/>
      <c r="FG42" s="155"/>
      <c r="FH42" s="155"/>
      <c r="FI42" s="155"/>
      <c r="FJ42" s="155"/>
      <c r="FK42" s="155"/>
      <c r="FL42" s="155"/>
      <c r="FM42" s="155"/>
      <c r="FN42" s="151"/>
      <c r="FO42" s="151"/>
      <c r="FP42" s="155"/>
      <c r="FQ42" s="155"/>
      <c r="FR42" s="155"/>
      <c r="FS42" s="155"/>
      <c r="FT42" s="155"/>
      <c r="FU42" s="155"/>
      <c r="FV42" s="155"/>
      <c r="FW42" s="155"/>
      <c r="FX42" s="155"/>
      <c r="FY42" s="155"/>
      <c r="FZ42" s="155"/>
      <c r="GA42" s="151"/>
      <c r="GB42" s="151"/>
      <c r="GC42" s="155"/>
      <c r="GD42" s="155"/>
      <c r="GE42" s="155"/>
      <c r="GF42" s="155"/>
      <c r="GG42" s="155"/>
      <c r="GH42" s="155"/>
      <c r="GI42" s="155"/>
      <c r="GJ42" s="155"/>
      <c r="GK42" s="155"/>
      <c r="GL42" s="155"/>
      <c r="GM42" s="155"/>
      <c r="GN42" s="151"/>
      <c r="GO42" s="151"/>
      <c r="GP42" s="155"/>
      <c r="GQ42" s="155"/>
      <c r="GR42" s="155"/>
      <c r="GS42" s="155"/>
      <c r="GT42" s="155"/>
      <c r="GU42" s="155"/>
      <c r="GV42" s="155"/>
      <c r="GW42" s="155"/>
      <c r="GX42" s="155"/>
      <c r="GY42" s="155"/>
      <c r="GZ42" s="155"/>
      <c r="HA42" s="151"/>
      <c r="HB42" s="151"/>
      <c r="HC42" s="155"/>
      <c r="HD42" s="155"/>
      <c r="HE42" s="155"/>
      <c r="HF42" s="155"/>
      <c r="HG42" s="155"/>
      <c r="HH42" s="155"/>
      <c r="HI42" s="155"/>
      <c r="HJ42" s="155"/>
      <c r="HK42" s="155"/>
      <c r="HL42" s="155"/>
      <c r="HM42" s="155"/>
      <c r="HN42" s="151"/>
      <c r="HO42" s="151"/>
      <c r="HP42" s="155"/>
      <c r="HQ42" s="155"/>
      <c r="HR42" s="155"/>
      <c r="HS42" s="155"/>
      <c r="HT42" s="155"/>
      <c r="HU42" s="155"/>
      <c r="HV42" s="155"/>
      <c r="HW42" s="155"/>
      <c r="HX42" s="155"/>
      <c r="HY42" s="155"/>
      <c r="HZ42" s="155"/>
      <c r="IA42" s="151"/>
      <c r="IB42" s="151"/>
      <c r="IC42" s="155"/>
      <c r="ID42" s="155"/>
      <c r="IE42" s="155"/>
      <c r="IF42" s="155"/>
      <c r="IG42" s="155"/>
      <c r="IH42" s="155"/>
      <c r="II42" s="155"/>
      <c r="IJ42" s="155"/>
      <c r="IK42" s="155"/>
      <c r="IL42" s="155"/>
      <c r="IM42" s="155"/>
      <c r="IN42" s="151"/>
      <c r="IO42" s="151"/>
      <c r="IP42" s="155"/>
      <c r="IQ42" s="155"/>
      <c r="IR42" s="155"/>
      <c r="IS42" s="155"/>
      <c r="IT42" s="155"/>
      <c r="IU42" s="155"/>
      <c r="IV42" s="155"/>
    </row>
    <row r="43" spans="1:256" x14ac:dyDescent="0.2">
      <c r="A43" s="160"/>
      <c r="B43" s="151"/>
      <c r="C43" s="276"/>
      <c r="D43" s="276"/>
      <c r="E43" s="276"/>
      <c r="F43" s="276"/>
      <c r="G43" s="276"/>
      <c r="H43" s="276"/>
      <c r="I43" s="276"/>
      <c r="J43" s="276"/>
      <c r="K43" s="276"/>
      <c r="L43" s="276"/>
      <c r="M43" s="278"/>
      <c r="N43" s="154"/>
      <c r="O43" s="154"/>
      <c r="P43" s="163"/>
      <c r="Q43" s="163"/>
      <c r="R43" s="163"/>
      <c r="S43" s="163"/>
      <c r="T43" s="163"/>
      <c r="U43" s="163"/>
      <c r="V43" s="163"/>
      <c r="W43" s="163"/>
      <c r="X43" s="163"/>
      <c r="Y43" s="163"/>
      <c r="Z43" s="163"/>
      <c r="AA43" s="151"/>
      <c r="AB43" s="151"/>
      <c r="AC43" s="155"/>
      <c r="AD43" s="155"/>
      <c r="AE43" s="155"/>
      <c r="AF43" s="155"/>
      <c r="AG43" s="155"/>
      <c r="AH43" s="155"/>
      <c r="AI43" s="155"/>
      <c r="AJ43" s="155"/>
      <c r="AK43" s="155"/>
      <c r="AL43" s="155"/>
      <c r="AM43" s="155"/>
      <c r="AN43" s="151"/>
      <c r="AO43" s="151"/>
      <c r="AP43" s="155"/>
      <c r="AQ43" s="155"/>
      <c r="AR43" s="155"/>
      <c r="AS43" s="155"/>
      <c r="AT43" s="155"/>
      <c r="AU43" s="155"/>
      <c r="AV43" s="155"/>
      <c r="AW43" s="155"/>
      <c r="AX43" s="155"/>
      <c r="AY43" s="155"/>
      <c r="AZ43" s="155"/>
      <c r="BA43" s="151"/>
      <c r="BB43" s="151"/>
      <c r="BC43" s="155"/>
      <c r="BD43" s="155"/>
      <c r="BE43" s="155"/>
      <c r="BF43" s="155"/>
      <c r="BG43" s="155"/>
      <c r="BH43" s="155"/>
      <c r="BI43" s="155"/>
      <c r="BJ43" s="155"/>
      <c r="BK43" s="155"/>
      <c r="BL43" s="155"/>
      <c r="BM43" s="155"/>
      <c r="BN43" s="151"/>
      <c r="BO43" s="151"/>
      <c r="BP43" s="155"/>
      <c r="BQ43" s="155"/>
      <c r="BR43" s="155"/>
      <c r="BS43" s="155"/>
      <c r="BT43" s="155"/>
      <c r="BU43" s="155"/>
      <c r="BV43" s="155"/>
      <c r="BW43" s="155"/>
      <c r="BX43" s="155"/>
      <c r="BY43" s="155"/>
      <c r="BZ43" s="155"/>
      <c r="CA43" s="151"/>
      <c r="CB43" s="151"/>
      <c r="CC43" s="155"/>
      <c r="CD43" s="155"/>
      <c r="CE43" s="155"/>
      <c r="CF43" s="155"/>
      <c r="CG43" s="155"/>
      <c r="CH43" s="155"/>
      <c r="CI43" s="155"/>
      <c r="CJ43" s="155"/>
      <c r="CK43" s="155"/>
      <c r="CL43" s="155"/>
      <c r="CM43" s="155"/>
      <c r="CN43" s="151"/>
      <c r="CO43" s="151"/>
      <c r="CP43" s="155"/>
      <c r="CQ43" s="155"/>
      <c r="CR43" s="155"/>
      <c r="CS43" s="155"/>
      <c r="CT43" s="155"/>
      <c r="CU43" s="155"/>
      <c r="CV43" s="155"/>
      <c r="CW43" s="155"/>
      <c r="CX43" s="155"/>
      <c r="CY43" s="155"/>
      <c r="CZ43" s="155"/>
      <c r="DA43" s="151"/>
      <c r="DB43" s="151"/>
      <c r="DC43" s="155"/>
      <c r="DD43" s="155"/>
      <c r="DE43" s="155"/>
      <c r="DF43" s="155"/>
      <c r="DG43" s="155"/>
      <c r="DH43" s="155"/>
      <c r="DI43" s="155"/>
      <c r="DJ43" s="155"/>
      <c r="DK43" s="155"/>
      <c r="DL43" s="155"/>
      <c r="DM43" s="155"/>
      <c r="DN43" s="151"/>
      <c r="DO43" s="151"/>
      <c r="DP43" s="155"/>
      <c r="DQ43" s="155"/>
      <c r="DR43" s="155"/>
      <c r="DS43" s="155"/>
      <c r="DT43" s="155"/>
      <c r="DU43" s="155"/>
      <c r="DV43" s="155"/>
      <c r="DW43" s="155"/>
      <c r="DX43" s="155"/>
      <c r="DY43" s="155"/>
      <c r="DZ43" s="155"/>
      <c r="EA43" s="151"/>
      <c r="EB43" s="151"/>
      <c r="EC43" s="155"/>
      <c r="ED43" s="155"/>
      <c r="EE43" s="155"/>
      <c r="EF43" s="155"/>
      <c r="EG43" s="155"/>
      <c r="EH43" s="155"/>
      <c r="EI43" s="155"/>
      <c r="EJ43" s="155"/>
      <c r="EK43" s="155"/>
      <c r="EL43" s="155"/>
      <c r="EM43" s="155"/>
      <c r="EN43" s="151"/>
      <c r="EO43" s="151"/>
      <c r="EP43" s="155"/>
      <c r="EQ43" s="155"/>
      <c r="ER43" s="155"/>
      <c r="ES43" s="155"/>
      <c r="ET43" s="155"/>
      <c r="EU43" s="155"/>
      <c r="EV43" s="155"/>
      <c r="EW43" s="155"/>
      <c r="EX43" s="155"/>
      <c r="EY43" s="155"/>
      <c r="EZ43" s="155"/>
      <c r="FA43" s="151"/>
      <c r="FB43" s="151"/>
      <c r="FC43" s="155"/>
      <c r="FD43" s="155"/>
      <c r="FE43" s="155"/>
      <c r="FF43" s="155"/>
      <c r="FG43" s="155"/>
      <c r="FH43" s="155"/>
      <c r="FI43" s="155"/>
      <c r="FJ43" s="155"/>
      <c r="FK43" s="155"/>
      <c r="FL43" s="155"/>
      <c r="FM43" s="155"/>
      <c r="FN43" s="151"/>
      <c r="FO43" s="151"/>
      <c r="FP43" s="155"/>
      <c r="FQ43" s="155"/>
      <c r="FR43" s="155"/>
      <c r="FS43" s="155"/>
      <c r="FT43" s="155"/>
      <c r="FU43" s="155"/>
      <c r="FV43" s="155"/>
      <c r="FW43" s="155"/>
      <c r="FX43" s="155"/>
      <c r="FY43" s="155"/>
      <c r="FZ43" s="155"/>
      <c r="GA43" s="151"/>
      <c r="GB43" s="151"/>
      <c r="GC43" s="155"/>
      <c r="GD43" s="155"/>
      <c r="GE43" s="155"/>
      <c r="GF43" s="155"/>
      <c r="GG43" s="155"/>
      <c r="GH43" s="155"/>
      <c r="GI43" s="155"/>
      <c r="GJ43" s="155"/>
      <c r="GK43" s="155"/>
      <c r="GL43" s="155"/>
      <c r="GM43" s="155"/>
      <c r="GN43" s="151"/>
      <c r="GO43" s="151"/>
      <c r="GP43" s="155"/>
      <c r="GQ43" s="155"/>
      <c r="GR43" s="155"/>
      <c r="GS43" s="155"/>
      <c r="GT43" s="155"/>
      <c r="GU43" s="155"/>
      <c r="GV43" s="155"/>
      <c r="GW43" s="155"/>
      <c r="GX43" s="155"/>
      <c r="GY43" s="155"/>
      <c r="GZ43" s="155"/>
      <c r="HA43" s="151"/>
      <c r="HB43" s="151"/>
      <c r="HC43" s="155"/>
      <c r="HD43" s="155"/>
      <c r="HE43" s="155"/>
      <c r="HF43" s="155"/>
      <c r="HG43" s="155"/>
      <c r="HH43" s="155"/>
      <c r="HI43" s="155"/>
      <c r="HJ43" s="155"/>
      <c r="HK43" s="155"/>
      <c r="HL43" s="155"/>
      <c r="HM43" s="155"/>
      <c r="HN43" s="151"/>
      <c r="HO43" s="151"/>
      <c r="HP43" s="155"/>
      <c r="HQ43" s="155"/>
      <c r="HR43" s="155"/>
      <c r="HS43" s="155"/>
      <c r="HT43" s="155"/>
      <c r="HU43" s="155"/>
      <c r="HV43" s="155"/>
      <c r="HW43" s="155"/>
      <c r="HX43" s="155"/>
      <c r="HY43" s="155"/>
      <c r="HZ43" s="155"/>
      <c r="IA43" s="151"/>
      <c r="IB43" s="151"/>
      <c r="IC43" s="155"/>
      <c r="ID43" s="155"/>
      <c r="IE43" s="155"/>
      <c r="IF43" s="155"/>
      <c r="IG43" s="155"/>
      <c r="IH43" s="155"/>
      <c r="II43" s="155"/>
      <c r="IJ43" s="155"/>
      <c r="IK43" s="155"/>
      <c r="IL43" s="155"/>
      <c r="IM43" s="155"/>
      <c r="IN43" s="151"/>
      <c r="IO43" s="151"/>
      <c r="IP43" s="155"/>
      <c r="IQ43" s="155"/>
      <c r="IR43" s="155"/>
      <c r="IS43" s="155"/>
      <c r="IT43" s="155"/>
      <c r="IU43" s="155"/>
      <c r="IV43" s="155"/>
    </row>
    <row r="44" spans="1:256" x14ac:dyDescent="0.2">
      <c r="A44" s="160"/>
      <c r="B44" s="151"/>
      <c r="C44" s="276"/>
      <c r="D44" s="276"/>
      <c r="E44" s="276"/>
      <c r="F44" s="276"/>
      <c r="G44" s="276"/>
      <c r="H44" s="276"/>
      <c r="I44" s="276"/>
      <c r="J44" s="276"/>
      <c r="K44" s="276"/>
      <c r="L44" s="276"/>
      <c r="M44" s="278"/>
      <c r="N44" s="154"/>
      <c r="O44" s="154"/>
      <c r="P44" s="163"/>
      <c r="Q44" s="163"/>
      <c r="R44" s="163"/>
      <c r="S44" s="163"/>
      <c r="T44" s="163"/>
      <c r="U44" s="163"/>
      <c r="V44" s="163"/>
      <c r="W44" s="163"/>
      <c r="X44" s="163"/>
      <c r="Y44" s="163"/>
      <c r="Z44" s="163"/>
      <c r="AA44" s="151"/>
      <c r="AB44" s="151"/>
      <c r="AC44" s="155"/>
      <c r="AD44" s="155"/>
      <c r="AE44" s="155"/>
      <c r="AF44" s="155"/>
      <c r="AG44" s="155"/>
      <c r="AH44" s="155"/>
      <c r="AI44" s="155"/>
      <c r="AJ44" s="155"/>
      <c r="AK44" s="155"/>
      <c r="AL44" s="155"/>
      <c r="AM44" s="155"/>
      <c r="AN44" s="151"/>
      <c r="AO44" s="151"/>
      <c r="AP44" s="155"/>
      <c r="AQ44" s="155"/>
      <c r="AR44" s="155"/>
      <c r="AS44" s="155"/>
      <c r="AT44" s="155"/>
      <c r="AU44" s="155"/>
      <c r="AV44" s="155"/>
      <c r="AW44" s="155"/>
      <c r="AX44" s="155"/>
      <c r="AY44" s="155"/>
      <c r="AZ44" s="155"/>
      <c r="BA44" s="151"/>
      <c r="BB44" s="151"/>
      <c r="BC44" s="155"/>
      <c r="BD44" s="155"/>
      <c r="BE44" s="155"/>
      <c r="BF44" s="155"/>
      <c r="BG44" s="155"/>
      <c r="BH44" s="155"/>
      <c r="BI44" s="155"/>
      <c r="BJ44" s="155"/>
      <c r="BK44" s="155"/>
      <c r="BL44" s="155"/>
      <c r="BM44" s="155"/>
      <c r="BN44" s="151"/>
      <c r="BO44" s="151"/>
      <c r="BP44" s="155"/>
      <c r="BQ44" s="155"/>
      <c r="BR44" s="155"/>
      <c r="BS44" s="155"/>
      <c r="BT44" s="155"/>
      <c r="BU44" s="155"/>
      <c r="BV44" s="155"/>
      <c r="BW44" s="155"/>
      <c r="BX44" s="155"/>
      <c r="BY44" s="155"/>
      <c r="BZ44" s="155"/>
      <c r="CA44" s="151"/>
      <c r="CB44" s="151"/>
      <c r="CC44" s="155"/>
      <c r="CD44" s="155"/>
      <c r="CE44" s="155"/>
      <c r="CF44" s="155"/>
      <c r="CG44" s="155"/>
      <c r="CH44" s="155"/>
      <c r="CI44" s="155"/>
      <c r="CJ44" s="155"/>
      <c r="CK44" s="155"/>
      <c r="CL44" s="155"/>
      <c r="CM44" s="155"/>
      <c r="CN44" s="151"/>
      <c r="CO44" s="151"/>
      <c r="CP44" s="155"/>
      <c r="CQ44" s="155"/>
      <c r="CR44" s="155"/>
      <c r="CS44" s="155"/>
      <c r="CT44" s="155"/>
      <c r="CU44" s="155"/>
      <c r="CV44" s="155"/>
      <c r="CW44" s="155"/>
      <c r="CX44" s="155"/>
      <c r="CY44" s="155"/>
      <c r="CZ44" s="155"/>
      <c r="DA44" s="151"/>
      <c r="DB44" s="151"/>
      <c r="DC44" s="155"/>
      <c r="DD44" s="155"/>
      <c r="DE44" s="155"/>
      <c r="DF44" s="155"/>
      <c r="DG44" s="155"/>
      <c r="DH44" s="155"/>
      <c r="DI44" s="155"/>
      <c r="DJ44" s="155"/>
      <c r="DK44" s="155"/>
      <c r="DL44" s="155"/>
      <c r="DM44" s="155"/>
      <c r="DN44" s="151"/>
      <c r="DO44" s="151"/>
      <c r="DP44" s="155"/>
      <c r="DQ44" s="155"/>
      <c r="DR44" s="155"/>
      <c r="DS44" s="155"/>
      <c r="DT44" s="155"/>
      <c r="DU44" s="155"/>
      <c r="DV44" s="155"/>
      <c r="DW44" s="155"/>
      <c r="DX44" s="155"/>
      <c r="DY44" s="155"/>
      <c r="DZ44" s="155"/>
      <c r="EA44" s="151"/>
      <c r="EB44" s="151"/>
      <c r="EC44" s="155"/>
      <c r="ED44" s="155"/>
      <c r="EE44" s="155"/>
      <c r="EF44" s="155"/>
      <c r="EG44" s="155"/>
      <c r="EH44" s="155"/>
      <c r="EI44" s="155"/>
      <c r="EJ44" s="155"/>
      <c r="EK44" s="155"/>
      <c r="EL44" s="155"/>
      <c r="EM44" s="155"/>
      <c r="EN44" s="151"/>
      <c r="EO44" s="151"/>
      <c r="EP44" s="155"/>
      <c r="EQ44" s="155"/>
      <c r="ER44" s="155"/>
      <c r="ES44" s="155"/>
      <c r="ET44" s="155"/>
      <c r="EU44" s="155"/>
      <c r="EV44" s="155"/>
      <c r="EW44" s="155"/>
      <c r="EX44" s="155"/>
      <c r="EY44" s="155"/>
      <c r="EZ44" s="155"/>
      <c r="FA44" s="151"/>
      <c r="FB44" s="151"/>
      <c r="FC44" s="155"/>
      <c r="FD44" s="155"/>
      <c r="FE44" s="155"/>
      <c r="FF44" s="155"/>
      <c r="FG44" s="155"/>
      <c r="FH44" s="155"/>
      <c r="FI44" s="155"/>
      <c r="FJ44" s="155"/>
      <c r="FK44" s="155"/>
      <c r="FL44" s="155"/>
      <c r="FM44" s="155"/>
      <c r="FN44" s="151"/>
      <c r="FO44" s="151"/>
      <c r="FP44" s="155"/>
      <c r="FQ44" s="155"/>
      <c r="FR44" s="155"/>
      <c r="FS44" s="155"/>
      <c r="FT44" s="155"/>
      <c r="FU44" s="155"/>
      <c r="FV44" s="155"/>
      <c r="FW44" s="155"/>
      <c r="FX44" s="155"/>
      <c r="FY44" s="155"/>
      <c r="FZ44" s="155"/>
      <c r="GA44" s="151"/>
      <c r="GB44" s="151"/>
      <c r="GC44" s="155"/>
      <c r="GD44" s="155"/>
      <c r="GE44" s="155"/>
      <c r="GF44" s="155"/>
      <c r="GG44" s="155"/>
      <c r="GH44" s="155"/>
      <c r="GI44" s="155"/>
      <c r="GJ44" s="155"/>
      <c r="GK44" s="155"/>
      <c r="GL44" s="155"/>
      <c r="GM44" s="155"/>
      <c r="GN44" s="151"/>
      <c r="GO44" s="151"/>
      <c r="GP44" s="155"/>
      <c r="GQ44" s="155"/>
      <c r="GR44" s="155"/>
      <c r="GS44" s="155"/>
      <c r="GT44" s="155"/>
      <c r="GU44" s="155"/>
      <c r="GV44" s="155"/>
      <c r="GW44" s="155"/>
      <c r="GX44" s="155"/>
      <c r="GY44" s="155"/>
      <c r="GZ44" s="155"/>
      <c r="HA44" s="151"/>
      <c r="HB44" s="151"/>
      <c r="HC44" s="155"/>
      <c r="HD44" s="155"/>
      <c r="HE44" s="155"/>
      <c r="HF44" s="155"/>
      <c r="HG44" s="155"/>
      <c r="HH44" s="155"/>
      <c r="HI44" s="155"/>
      <c r="HJ44" s="155"/>
      <c r="HK44" s="155"/>
      <c r="HL44" s="155"/>
      <c r="HM44" s="155"/>
      <c r="HN44" s="151"/>
      <c r="HO44" s="151"/>
      <c r="HP44" s="155"/>
      <c r="HQ44" s="155"/>
      <c r="HR44" s="155"/>
      <c r="HS44" s="155"/>
      <c r="HT44" s="155"/>
      <c r="HU44" s="155"/>
      <c r="HV44" s="155"/>
      <c r="HW44" s="155"/>
      <c r="HX44" s="155"/>
      <c r="HY44" s="155"/>
      <c r="HZ44" s="155"/>
      <c r="IA44" s="151"/>
      <c r="IB44" s="151"/>
      <c r="IC44" s="155"/>
      <c r="ID44" s="155"/>
      <c r="IE44" s="155"/>
      <c r="IF44" s="155"/>
      <c r="IG44" s="155"/>
      <c r="IH44" s="155"/>
      <c r="II44" s="155"/>
      <c r="IJ44" s="155"/>
      <c r="IK44" s="155"/>
      <c r="IL44" s="155"/>
      <c r="IM44" s="155"/>
      <c r="IN44" s="151"/>
      <c r="IO44" s="151"/>
      <c r="IP44" s="155"/>
      <c r="IQ44" s="155"/>
      <c r="IR44" s="155"/>
      <c r="IS44" s="155"/>
      <c r="IT44" s="155"/>
      <c r="IU44" s="155"/>
      <c r="IV44" s="155"/>
    </row>
    <row r="45" spans="1:256" x14ac:dyDescent="0.2">
      <c r="A45" s="160"/>
      <c r="B45" s="151"/>
      <c r="C45" s="276"/>
      <c r="D45" s="276"/>
      <c r="E45" s="276"/>
      <c r="F45" s="276"/>
      <c r="G45" s="276"/>
      <c r="H45" s="276"/>
      <c r="I45" s="276"/>
      <c r="J45" s="276"/>
      <c r="K45" s="276"/>
      <c r="L45" s="276"/>
      <c r="M45" s="278"/>
      <c r="N45" s="154"/>
      <c r="O45" s="154"/>
      <c r="P45" s="163"/>
      <c r="Q45" s="163"/>
      <c r="R45" s="163"/>
      <c r="S45" s="163"/>
      <c r="T45" s="163"/>
      <c r="U45" s="163"/>
      <c r="V45" s="163"/>
      <c r="W45" s="163"/>
      <c r="X45" s="163"/>
      <c r="Y45" s="163"/>
      <c r="Z45" s="163"/>
      <c r="AA45" s="151"/>
      <c r="AB45" s="151"/>
      <c r="AC45" s="155"/>
      <c r="AD45" s="155"/>
      <c r="AE45" s="155"/>
      <c r="AF45" s="155"/>
      <c r="AG45" s="155"/>
      <c r="AH45" s="155"/>
      <c r="AI45" s="155"/>
      <c r="AJ45" s="155"/>
      <c r="AK45" s="155"/>
      <c r="AL45" s="155"/>
      <c r="AM45" s="155"/>
      <c r="AN45" s="151"/>
      <c r="AO45" s="151"/>
      <c r="AP45" s="155"/>
      <c r="AQ45" s="155"/>
      <c r="AR45" s="155"/>
      <c r="AS45" s="155"/>
      <c r="AT45" s="155"/>
      <c r="AU45" s="155"/>
      <c r="AV45" s="155"/>
      <c r="AW45" s="155"/>
      <c r="AX45" s="155"/>
      <c r="AY45" s="155"/>
      <c r="AZ45" s="155"/>
      <c r="BA45" s="151"/>
      <c r="BB45" s="151"/>
      <c r="BC45" s="155"/>
      <c r="BD45" s="155"/>
      <c r="BE45" s="155"/>
      <c r="BF45" s="155"/>
      <c r="BG45" s="155"/>
      <c r="BH45" s="155"/>
      <c r="BI45" s="155"/>
      <c r="BJ45" s="155"/>
      <c r="BK45" s="155"/>
      <c r="BL45" s="155"/>
      <c r="BM45" s="155"/>
      <c r="BN45" s="151"/>
      <c r="BO45" s="151"/>
      <c r="BP45" s="155"/>
      <c r="BQ45" s="155"/>
      <c r="BR45" s="155"/>
      <c r="BS45" s="155"/>
      <c r="BT45" s="155"/>
      <c r="BU45" s="155"/>
      <c r="BV45" s="155"/>
      <c r="BW45" s="155"/>
      <c r="BX45" s="155"/>
      <c r="BY45" s="155"/>
      <c r="BZ45" s="155"/>
      <c r="CA45" s="151"/>
      <c r="CB45" s="151"/>
      <c r="CC45" s="155"/>
      <c r="CD45" s="155"/>
      <c r="CE45" s="155"/>
      <c r="CF45" s="155"/>
      <c r="CG45" s="155"/>
      <c r="CH45" s="155"/>
      <c r="CI45" s="155"/>
      <c r="CJ45" s="155"/>
      <c r="CK45" s="155"/>
      <c r="CL45" s="155"/>
      <c r="CM45" s="155"/>
      <c r="CN45" s="151"/>
      <c r="CO45" s="151"/>
      <c r="CP45" s="155"/>
      <c r="CQ45" s="155"/>
      <c r="CR45" s="155"/>
      <c r="CS45" s="155"/>
      <c r="CT45" s="155"/>
      <c r="CU45" s="155"/>
      <c r="CV45" s="155"/>
      <c r="CW45" s="155"/>
      <c r="CX45" s="155"/>
      <c r="CY45" s="155"/>
      <c r="CZ45" s="155"/>
      <c r="DA45" s="151"/>
      <c r="DB45" s="151"/>
      <c r="DC45" s="155"/>
      <c r="DD45" s="155"/>
      <c r="DE45" s="155"/>
      <c r="DF45" s="155"/>
      <c r="DG45" s="155"/>
      <c r="DH45" s="155"/>
      <c r="DI45" s="155"/>
      <c r="DJ45" s="155"/>
      <c r="DK45" s="155"/>
      <c r="DL45" s="155"/>
      <c r="DM45" s="155"/>
      <c r="DN45" s="151"/>
      <c r="DO45" s="151"/>
      <c r="DP45" s="155"/>
      <c r="DQ45" s="155"/>
      <c r="DR45" s="155"/>
      <c r="DS45" s="155"/>
      <c r="DT45" s="155"/>
      <c r="DU45" s="155"/>
      <c r="DV45" s="155"/>
      <c r="DW45" s="155"/>
      <c r="DX45" s="155"/>
      <c r="DY45" s="155"/>
      <c r="DZ45" s="155"/>
      <c r="EA45" s="151"/>
      <c r="EB45" s="151"/>
      <c r="EC45" s="155"/>
      <c r="ED45" s="155"/>
      <c r="EE45" s="155"/>
      <c r="EF45" s="155"/>
      <c r="EG45" s="155"/>
      <c r="EH45" s="155"/>
      <c r="EI45" s="155"/>
      <c r="EJ45" s="155"/>
      <c r="EK45" s="155"/>
      <c r="EL45" s="155"/>
      <c r="EM45" s="155"/>
      <c r="EN45" s="151"/>
      <c r="EO45" s="151"/>
      <c r="EP45" s="155"/>
      <c r="EQ45" s="155"/>
      <c r="ER45" s="155"/>
      <c r="ES45" s="155"/>
      <c r="ET45" s="155"/>
      <c r="EU45" s="155"/>
      <c r="EV45" s="155"/>
      <c r="EW45" s="155"/>
      <c r="EX45" s="155"/>
      <c r="EY45" s="155"/>
      <c r="EZ45" s="155"/>
      <c r="FA45" s="151"/>
      <c r="FB45" s="151"/>
      <c r="FC45" s="155"/>
      <c r="FD45" s="155"/>
      <c r="FE45" s="155"/>
      <c r="FF45" s="155"/>
      <c r="FG45" s="155"/>
      <c r="FH45" s="155"/>
      <c r="FI45" s="155"/>
      <c r="FJ45" s="155"/>
      <c r="FK45" s="155"/>
      <c r="FL45" s="155"/>
      <c r="FM45" s="155"/>
      <c r="FN45" s="151"/>
      <c r="FO45" s="151"/>
      <c r="FP45" s="155"/>
      <c r="FQ45" s="155"/>
      <c r="FR45" s="155"/>
      <c r="FS45" s="155"/>
      <c r="FT45" s="155"/>
      <c r="FU45" s="155"/>
      <c r="FV45" s="155"/>
      <c r="FW45" s="155"/>
      <c r="FX45" s="155"/>
      <c r="FY45" s="155"/>
      <c r="FZ45" s="155"/>
      <c r="GA45" s="151"/>
      <c r="GB45" s="151"/>
      <c r="GC45" s="155"/>
      <c r="GD45" s="155"/>
      <c r="GE45" s="155"/>
      <c r="GF45" s="155"/>
      <c r="GG45" s="155"/>
      <c r="GH45" s="155"/>
      <c r="GI45" s="155"/>
      <c r="GJ45" s="155"/>
      <c r="GK45" s="155"/>
      <c r="GL45" s="155"/>
      <c r="GM45" s="155"/>
      <c r="GN45" s="151"/>
      <c r="GO45" s="151"/>
      <c r="GP45" s="155"/>
      <c r="GQ45" s="155"/>
      <c r="GR45" s="155"/>
      <c r="GS45" s="155"/>
      <c r="GT45" s="155"/>
      <c r="GU45" s="155"/>
      <c r="GV45" s="155"/>
      <c r="GW45" s="155"/>
      <c r="GX45" s="155"/>
      <c r="GY45" s="155"/>
      <c r="GZ45" s="155"/>
      <c r="HA45" s="151"/>
      <c r="HB45" s="151"/>
      <c r="HC45" s="155"/>
      <c r="HD45" s="155"/>
      <c r="HE45" s="155"/>
      <c r="HF45" s="155"/>
      <c r="HG45" s="155"/>
      <c r="HH45" s="155"/>
      <c r="HI45" s="155"/>
      <c r="HJ45" s="155"/>
      <c r="HK45" s="155"/>
      <c r="HL45" s="155"/>
      <c r="HM45" s="155"/>
      <c r="HN45" s="151"/>
      <c r="HO45" s="151"/>
      <c r="HP45" s="155"/>
      <c r="HQ45" s="155"/>
      <c r="HR45" s="155"/>
      <c r="HS45" s="155"/>
      <c r="HT45" s="155"/>
      <c r="HU45" s="155"/>
      <c r="HV45" s="155"/>
      <c r="HW45" s="155"/>
      <c r="HX45" s="155"/>
      <c r="HY45" s="155"/>
      <c r="HZ45" s="155"/>
      <c r="IA45" s="151"/>
      <c r="IB45" s="151"/>
      <c r="IC45" s="155"/>
      <c r="ID45" s="155"/>
      <c r="IE45" s="155"/>
      <c r="IF45" s="155"/>
      <c r="IG45" s="155"/>
      <c r="IH45" s="155"/>
      <c r="II45" s="155"/>
      <c r="IJ45" s="155"/>
      <c r="IK45" s="155"/>
      <c r="IL45" s="155"/>
      <c r="IM45" s="155"/>
      <c r="IN45" s="151"/>
      <c r="IO45" s="151"/>
      <c r="IP45" s="155"/>
      <c r="IQ45" s="155"/>
      <c r="IR45" s="155"/>
      <c r="IS45" s="155"/>
      <c r="IT45" s="155"/>
      <c r="IU45" s="155"/>
      <c r="IV45" s="155"/>
    </row>
    <row r="46" spans="1:256" x14ac:dyDescent="0.2">
      <c r="A46" s="160"/>
      <c r="B46" s="151"/>
      <c r="C46" s="276"/>
      <c r="D46" s="276"/>
      <c r="E46" s="276"/>
      <c r="F46" s="276"/>
      <c r="G46" s="276"/>
      <c r="H46" s="276"/>
      <c r="I46" s="276"/>
      <c r="J46" s="276"/>
      <c r="K46" s="276"/>
      <c r="L46" s="276"/>
      <c r="M46" s="278"/>
      <c r="N46" s="154"/>
      <c r="O46" s="154"/>
      <c r="P46" s="163"/>
      <c r="Q46" s="163"/>
      <c r="R46" s="163"/>
      <c r="S46" s="163"/>
      <c r="T46" s="163"/>
      <c r="U46" s="163"/>
      <c r="V46" s="163"/>
      <c r="W46" s="163"/>
      <c r="X46" s="163"/>
      <c r="Y46" s="163"/>
      <c r="Z46" s="163"/>
      <c r="AA46" s="151"/>
      <c r="AB46" s="151"/>
      <c r="AC46" s="155"/>
      <c r="AD46" s="155"/>
      <c r="AE46" s="155"/>
      <c r="AF46" s="155"/>
      <c r="AG46" s="155"/>
      <c r="AH46" s="155"/>
      <c r="AI46" s="155"/>
      <c r="AJ46" s="155"/>
      <c r="AK46" s="155"/>
      <c r="AL46" s="155"/>
      <c r="AM46" s="155"/>
      <c r="AN46" s="151"/>
      <c r="AO46" s="151"/>
      <c r="AP46" s="155"/>
      <c r="AQ46" s="155"/>
      <c r="AR46" s="155"/>
      <c r="AS46" s="155"/>
      <c r="AT46" s="155"/>
      <c r="AU46" s="155"/>
      <c r="AV46" s="155"/>
      <c r="AW46" s="155"/>
      <c r="AX46" s="155"/>
      <c r="AY46" s="155"/>
      <c r="AZ46" s="155"/>
      <c r="BA46" s="151"/>
      <c r="BB46" s="151"/>
      <c r="BC46" s="155"/>
      <c r="BD46" s="155"/>
      <c r="BE46" s="155"/>
      <c r="BF46" s="155"/>
      <c r="BG46" s="155"/>
      <c r="BH46" s="155"/>
      <c r="BI46" s="155"/>
      <c r="BJ46" s="155"/>
      <c r="BK46" s="155"/>
      <c r="BL46" s="155"/>
      <c r="BM46" s="155"/>
      <c r="BN46" s="151"/>
      <c r="BO46" s="151"/>
      <c r="BP46" s="155"/>
      <c r="BQ46" s="155"/>
      <c r="BR46" s="155"/>
      <c r="BS46" s="155"/>
      <c r="BT46" s="155"/>
      <c r="BU46" s="155"/>
      <c r="BV46" s="155"/>
      <c r="BW46" s="155"/>
      <c r="BX46" s="155"/>
      <c r="BY46" s="155"/>
      <c r="BZ46" s="155"/>
      <c r="CA46" s="151"/>
      <c r="CB46" s="151"/>
      <c r="CC46" s="155"/>
      <c r="CD46" s="155"/>
      <c r="CE46" s="155"/>
      <c r="CF46" s="155"/>
      <c r="CG46" s="155"/>
      <c r="CH46" s="155"/>
      <c r="CI46" s="155"/>
      <c r="CJ46" s="155"/>
      <c r="CK46" s="155"/>
      <c r="CL46" s="155"/>
      <c r="CM46" s="155"/>
      <c r="CN46" s="151"/>
      <c r="CO46" s="151"/>
      <c r="CP46" s="155"/>
      <c r="CQ46" s="155"/>
      <c r="CR46" s="155"/>
      <c r="CS46" s="155"/>
      <c r="CT46" s="155"/>
      <c r="CU46" s="155"/>
      <c r="CV46" s="155"/>
      <c r="CW46" s="155"/>
      <c r="CX46" s="155"/>
      <c r="CY46" s="155"/>
      <c r="CZ46" s="155"/>
      <c r="DA46" s="151"/>
      <c r="DB46" s="151"/>
      <c r="DC46" s="155"/>
      <c r="DD46" s="155"/>
      <c r="DE46" s="155"/>
      <c r="DF46" s="155"/>
      <c r="DG46" s="155"/>
      <c r="DH46" s="155"/>
      <c r="DI46" s="155"/>
      <c r="DJ46" s="155"/>
      <c r="DK46" s="155"/>
      <c r="DL46" s="155"/>
      <c r="DM46" s="155"/>
      <c r="DN46" s="151"/>
      <c r="DO46" s="151"/>
      <c r="DP46" s="155"/>
      <c r="DQ46" s="155"/>
      <c r="DR46" s="155"/>
      <c r="DS46" s="155"/>
      <c r="DT46" s="155"/>
      <c r="DU46" s="155"/>
      <c r="DV46" s="155"/>
      <c r="DW46" s="155"/>
      <c r="DX46" s="155"/>
      <c r="DY46" s="155"/>
      <c r="DZ46" s="155"/>
      <c r="EA46" s="151"/>
      <c r="EB46" s="151"/>
      <c r="EC46" s="155"/>
      <c r="ED46" s="155"/>
      <c r="EE46" s="155"/>
      <c r="EF46" s="155"/>
      <c r="EG46" s="155"/>
      <c r="EH46" s="155"/>
      <c r="EI46" s="155"/>
      <c r="EJ46" s="155"/>
      <c r="EK46" s="155"/>
      <c r="EL46" s="155"/>
      <c r="EM46" s="155"/>
      <c r="EN46" s="151"/>
      <c r="EO46" s="151"/>
      <c r="EP46" s="155"/>
      <c r="EQ46" s="155"/>
      <c r="ER46" s="155"/>
      <c r="ES46" s="155"/>
      <c r="ET46" s="155"/>
      <c r="EU46" s="155"/>
      <c r="EV46" s="155"/>
      <c r="EW46" s="155"/>
      <c r="EX46" s="155"/>
      <c r="EY46" s="155"/>
      <c r="EZ46" s="155"/>
      <c r="FA46" s="151"/>
      <c r="FB46" s="151"/>
      <c r="FC46" s="155"/>
      <c r="FD46" s="155"/>
      <c r="FE46" s="155"/>
      <c r="FF46" s="155"/>
      <c r="FG46" s="155"/>
      <c r="FH46" s="155"/>
      <c r="FI46" s="155"/>
      <c r="FJ46" s="155"/>
      <c r="FK46" s="155"/>
      <c r="FL46" s="155"/>
      <c r="FM46" s="155"/>
      <c r="FN46" s="151"/>
      <c r="FO46" s="151"/>
      <c r="FP46" s="155"/>
      <c r="FQ46" s="155"/>
      <c r="FR46" s="155"/>
      <c r="FS46" s="155"/>
      <c r="FT46" s="155"/>
      <c r="FU46" s="155"/>
      <c r="FV46" s="155"/>
      <c r="FW46" s="155"/>
      <c r="FX46" s="155"/>
      <c r="FY46" s="155"/>
      <c r="FZ46" s="155"/>
      <c r="GA46" s="151"/>
      <c r="GB46" s="151"/>
      <c r="GC46" s="155"/>
      <c r="GD46" s="155"/>
      <c r="GE46" s="155"/>
      <c r="GF46" s="155"/>
      <c r="GG46" s="155"/>
      <c r="GH46" s="155"/>
      <c r="GI46" s="155"/>
      <c r="GJ46" s="155"/>
      <c r="GK46" s="155"/>
      <c r="GL46" s="155"/>
      <c r="GM46" s="155"/>
      <c r="GN46" s="151"/>
      <c r="GO46" s="151"/>
      <c r="GP46" s="155"/>
      <c r="GQ46" s="155"/>
      <c r="GR46" s="155"/>
      <c r="GS46" s="155"/>
      <c r="GT46" s="155"/>
      <c r="GU46" s="155"/>
      <c r="GV46" s="155"/>
      <c r="GW46" s="155"/>
      <c r="GX46" s="155"/>
      <c r="GY46" s="155"/>
      <c r="GZ46" s="155"/>
      <c r="HA46" s="151"/>
      <c r="HB46" s="151"/>
      <c r="HC46" s="155"/>
      <c r="HD46" s="155"/>
      <c r="HE46" s="155"/>
      <c r="HF46" s="155"/>
      <c r="HG46" s="155"/>
      <c r="HH46" s="155"/>
      <c r="HI46" s="155"/>
      <c r="HJ46" s="155"/>
      <c r="HK46" s="155"/>
      <c r="HL46" s="155"/>
      <c r="HM46" s="155"/>
      <c r="HN46" s="151"/>
      <c r="HO46" s="151"/>
      <c r="HP46" s="155"/>
      <c r="HQ46" s="155"/>
      <c r="HR46" s="155"/>
      <c r="HS46" s="155"/>
      <c r="HT46" s="155"/>
      <c r="HU46" s="155"/>
      <c r="HV46" s="155"/>
      <c r="HW46" s="155"/>
      <c r="HX46" s="155"/>
      <c r="HY46" s="155"/>
      <c r="HZ46" s="155"/>
      <c r="IA46" s="151"/>
      <c r="IB46" s="151"/>
      <c r="IC46" s="155"/>
      <c r="ID46" s="155"/>
      <c r="IE46" s="155"/>
      <c r="IF46" s="155"/>
      <c r="IG46" s="155"/>
      <c r="IH46" s="155"/>
      <c r="II46" s="155"/>
      <c r="IJ46" s="155"/>
      <c r="IK46" s="155"/>
      <c r="IL46" s="155"/>
      <c r="IM46" s="155"/>
      <c r="IN46" s="151"/>
      <c r="IO46" s="151"/>
      <c r="IP46" s="155"/>
      <c r="IQ46" s="155"/>
      <c r="IR46" s="155"/>
      <c r="IS46" s="155"/>
      <c r="IT46" s="155"/>
      <c r="IU46" s="155"/>
      <c r="IV46" s="155"/>
    </row>
    <row r="47" spans="1:256" x14ac:dyDescent="0.2">
      <c r="A47" s="160"/>
      <c r="B47" s="151"/>
      <c r="C47" s="276"/>
      <c r="D47" s="276"/>
      <c r="E47" s="276"/>
      <c r="F47" s="276"/>
      <c r="G47" s="276"/>
      <c r="H47" s="276"/>
      <c r="I47" s="276"/>
      <c r="J47" s="276"/>
      <c r="K47" s="276"/>
      <c r="L47" s="276"/>
      <c r="M47" s="278"/>
      <c r="N47" s="154"/>
      <c r="O47" s="154"/>
      <c r="P47" s="163"/>
      <c r="Q47" s="163"/>
      <c r="R47" s="163"/>
      <c r="S47" s="163"/>
      <c r="T47" s="163"/>
      <c r="U47" s="163"/>
      <c r="V47" s="163"/>
      <c r="W47" s="163"/>
      <c r="X47" s="163"/>
      <c r="Y47" s="163"/>
      <c r="Z47" s="163"/>
      <c r="AA47" s="151"/>
      <c r="AB47" s="151"/>
      <c r="AC47" s="155"/>
      <c r="AD47" s="155"/>
      <c r="AE47" s="155"/>
      <c r="AF47" s="155"/>
      <c r="AG47" s="155"/>
      <c r="AH47" s="155"/>
      <c r="AI47" s="155"/>
      <c r="AJ47" s="155"/>
      <c r="AK47" s="155"/>
      <c r="AL47" s="155"/>
      <c r="AM47" s="155"/>
      <c r="AN47" s="151"/>
      <c r="AO47" s="151"/>
      <c r="AP47" s="155"/>
      <c r="AQ47" s="155"/>
      <c r="AR47" s="155"/>
      <c r="AS47" s="155"/>
      <c r="AT47" s="155"/>
      <c r="AU47" s="155"/>
      <c r="AV47" s="155"/>
      <c r="AW47" s="155"/>
      <c r="AX47" s="155"/>
      <c r="AY47" s="155"/>
      <c r="AZ47" s="155"/>
      <c r="BA47" s="151"/>
      <c r="BB47" s="151"/>
      <c r="BC47" s="155"/>
      <c r="BD47" s="155"/>
      <c r="BE47" s="155"/>
      <c r="BF47" s="155"/>
      <c r="BG47" s="155"/>
      <c r="BH47" s="155"/>
      <c r="BI47" s="155"/>
      <c r="BJ47" s="155"/>
      <c r="BK47" s="155"/>
      <c r="BL47" s="155"/>
      <c r="BM47" s="155"/>
      <c r="BN47" s="151"/>
      <c r="BO47" s="151"/>
      <c r="BP47" s="155"/>
      <c r="BQ47" s="155"/>
      <c r="BR47" s="155"/>
      <c r="BS47" s="155"/>
      <c r="BT47" s="155"/>
      <c r="BU47" s="155"/>
      <c r="BV47" s="155"/>
      <c r="BW47" s="155"/>
      <c r="BX47" s="155"/>
      <c r="BY47" s="155"/>
      <c r="BZ47" s="155"/>
      <c r="CA47" s="151"/>
      <c r="CB47" s="151"/>
      <c r="CC47" s="155"/>
      <c r="CD47" s="155"/>
      <c r="CE47" s="155"/>
      <c r="CF47" s="155"/>
      <c r="CG47" s="155"/>
      <c r="CH47" s="155"/>
      <c r="CI47" s="155"/>
      <c r="CJ47" s="155"/>
      <c r="CK47" s="155"/>
      <c r="CL47" s="155"/>
      <c r="CM47" s="155"/>
      <c r="CN47" s="151"/>
      <c r="CO47" s="151"/>
      <c r="CP47" s="155"/>
      <c r="CQ47" s="155"/>
      <c r="CR47" s="155"/>
      <c r="CS47" s="155"/>
      <c r="CT47" s="155"/>
      <c r="CU47" s="155"/>
      <c r="CV47" s="155"/>
      <c r="CW47" s="155"/>
      <c r="CX47" s="155"/>
      <c r="CY47" s="155"/>
      <c r="CZ47" s="155"/>
      <c r="DA47" s="151"/>
      <c r="DB47" s="151"/>
      <c r="DC47" s="155"/>
      <c r="DD47" s="155"/>
      <c r="DE47" s="155"/>
      <c r="DF47" s="155"/>
      <c r="DG47" s="155"/>
      <c r="DH47" s="155"/>
      <c r="DI47" s="155"/>
      <c r="DJ47" s="155"/>
      <c r="DK47" s="155"/>
      <c r="DL47" s="155"/>
      <c r="DM47" s="155"/>
      <c r="DN47" s="151"/>
      <c r="DO47" s="151"/>
      <c r="DP47" s="155"/>
      <c r="DQ47" s="155"/>
      <c r="DR47" s="155"/>
      <c r="DS47" s="155"/>
      <c r="DT47" s="155"/>
      <c r="DU47" s="155"/>
      <c r="DV47" s="155"/>
      <c r="DW47" s="155"/>
      <c r="DX47" s="155"/>
      <c r="DY47" s="155"/>
      <c r="DZ47" s="155"/>
      <c r="EA47" s="151"/>
      <c r="EB47" s="151"/>
      <c r="EC47" s="155"/>
      <c r="ED47" s="155"/>
      <c r="EE47" s="155"/>
      <c r="EF47" s="155"/>
      <c r="EG47" s="155"/>
      <c r="EH47" s="155"/>
      <c r="EI47" s="155"/>
      <c r="EJ47" s="155"/>
      <c r="EK47" s="155"/>
      <c r="EL47" s="155"/>
      <c r="EM47" s="155"/>
      <c r="EN47" s="151"/>
      <c r="EO47" s="151"/>
      <c r="EP47" s="155"/>
      <c r="EQ47" s="155"/>
      <c r="ER47" s="155"/>
      <c r="ES47" s="155"/>
      <c r="ET47" s="155"/>
      <c r="EU47" s="155"/>
      <c r="EV47" s="155"/>
      <c r="EW47" s="155"/>
      <c r="EX47" s="155"/>
      <c r="EY47" s="155"/>
      <c r="EZ47" s="155"/>
      <c r="FA47" s="151"/>
      <c r="FB47" s="151"/>
      <c r="FC47" s="155"/>
      <c r="FD47" s="155"/>
      <c r="FE47" s="155"/>
      <c r="FF47" s="155"/>
      <c r="FG47" s="155"/>
      <c r="FH47" s="155"/>
      <c r="FI47" s="155"/>
      <c r="FJ47" s="155"/>
      <c r="FK47" s="155"/>
      <c r="FL47" s="155"/>
      <c r="FM47" s="155"/>
      <c r="FN47" s="151"/>
      <c r="FO47" s="151"/>
      <c r="FP47" s="155"/>
      <c r="FQ47" s="155"/>
      <c r="FR47" s="155"/>
      <c r="FS47" s="155"/>
      <c r="FT47" s="155"/>
      <c r="FU47" s="155"/>
      <c r="FV47" s="155"/>
      <c r="FW47" s="155"/>
      <c r="FX47" s="155"/>
      <c r="FY47" s="155"/>
      <c r="FZ47" s="155"/>
      <c r="GA47" s="151"/>
      <c r="GB47" s="151"/>
      <c r="GC47" s="155"/>
      <c r="GD47" s="155"/>
      <c r="GE47" s="155"/>
      <c r="GF47" s="155"/>
      <c r="GG47" s="155"/>
      <c r="GH47" s="155"/>
      <c r="GI47" s="155"/>
      <c r="GJ47" s="155"/>
      <c r="GK47" s="155"/>
      <c r="GL47" s="155"/>
      <c r="GM47" s="155"/>
      <c r="GN47" s="151"/>
      <c r="GO47" s="151"/>
      <c r="GP47" s="155"/>
      <c r="GQ47" s="155"/>
      <c r="GR47" s="155"/>
      <c r="GS47" s="155"/>
      <c r="GT47" s="155"/>
      <c r="GU47" s="155"/>
      <c r="GV47" s="155"/>
      <c r="GW47" s="155"/>
      <c r="GX47" s="155"/>
      <c r="GY47" s="155"/>
      <c r="GZ47" s="155"/>
      <c r="HA47" s="151"/>
      <c r="HB47" s="151"/>
      <c r="HC47" s="155"/>
      <c r="HD47" s="155"/>
      <c r="HE47" s="155"/>
      <c r="HF47" s="155"/>
      <c r="HG47" s="155"/>
      <c r="HH47" s="155"/>
      <c r="HI47" s="155"/>
      <c r="HJ47" s="155"/>
      <c r="HK47" s="155"/>
      <c r="HL47" s="155"/>
      <c r="HM47" s="155"/>
      <c r="HN47" s="151"/>
      <c r="HO47" s="151"/>
      <c r="HP47" s="155"/>
      <c r="HQ47" s="155"/>
      <c r="HR47" s="155"/>
      <c r="HS47" s="155"/>
      <c r="HT47" s="155"/>
      <c r="HU47" s="155"/>
      <c r="HV47" s="155"/>
      <c r="HW47" s="155"/>
      <c r="HX47" s="155"/>
      <c r="HY47" s="155"/>
      <c r="HZ47" s="155"/>
      <c r="IA47" s="151"/>
      <c r="IB47" s="151"/>
      <c r="IC47" s="155"/>
      <c r="ID47" s="155"/>
      <c r="IE47" s="155"/>
      <c r="IF47" s="155"/>
      <c r="IG47" s="155"/>
      <c r="IH47" s="155"/>
      <c r="II47" s="155"/>
      <c r="IJ47" s="155"/>
      <c r="IK47" s="155"/>
      <c r="IL47" s="155"/>
      <c r="IM47" s="155"/>
      <c r="IN47" s="151"/>
      <c r="IO47" s="151"/>
      <c r="IP47" s="155"/>
      <c r="IQ47" s="155"/>
      <c r="IR47" s="155"/>
      <c r="IS47" s="155"/>
      <c r="IT47" s="155"/>
      <c r="IU47" s="155"/>
      <c r="IV47" s="155"/>
    </row>
    <row r="48" spans="1:256" x14ac:dyDescent="0.2">
      <c r="A48" s="160"/>
      <c r="B48" s="151"/>
      <c r="C48" s="276"/>
      <c r="D48" s="276"/>
      <c r="E48" s="276"/>
      <c r="F48" s="276"/>
      <c r="G48" s="276"/>
      <c r="H48" s="276"/>
      <c r="I48" s="276"/>
      <c r="J48" s="276"/>
      <c r="K48" s="276"/>
      <c r="L48" s="276"/>
      <c r="M48" s="278"/>
      <c r="N48" s="154"/>
      <c r="O48" s="154"/>
      <c r="P48" s="163"/>
      <c r="Q48" s="163"/>
      <c r="R48" s="163"/>
      <c r="S48" s="163"/>
      <c r="T48" s="163"/>
      <c r="U48" s="163"/>
      <c r="V48" s="163"/>
      <c r="W48" s="163"/>
      <c r="X48" s="163"/>
      <c r="Y48" s="163"/>
      <c r="Z48" s="163"/>
      <c r="AA48" s="151"/>
      <c r="AB48" s="151"/>
      <c r="AC48" s="155"/>
      <c r="AD48" s="155"/>
      <c r="AE48" s="155"/>
      <c r="AF48" s="155"/>
      <c r="AG48" s="155"/>
      <c r="AH48" s="155"/>
      <c r="AI48" s="155"/>
      <c r="AJ48" s="155"/>
      <c r="AK48" s="155"/>
      <c r="AL48" s="155"/>
      <c r="AM48" s="155"/>
      <c r="AN48" s="151"/>
      <c r="AO48" s="151"/>
      <c r="AP48" s="155"/>
      <c r="AQ48" s="155"/>
      <c r="AR48" s="155"/>
      <c r="AS48" s="155"/>
      <c r="AT48" s="155"/>
      <c r="AU48" s="155"/>
      <c r="AV48" s="155"/>
      <c r="AW48" s="155"/>
      <c r="AX48" s="155"/>
      <c r="AY48" s="155"/>
      <c r="AZ48" s="155"/>
      <c r="BA48" s="151"/>
      <c r="BB48" s="151"/>
      <c r="BC48" s="155"/>
      <c r="BD48" s="155"/>
      <c r="BE48" s="155"/>
      <c r="BF48" s="155"/>
      <c r="BG48" s="155"/>
      <c r="BH48" s="155"/>
      <c r="BI48" s="155"/>
      <c r="BJ48" s="155"/>
      <c r="BK48" s="155"/>
      <c r="BL48" s="155"/>
      <c r="BM48" s="155"/>
      <c r="BN48" s="151"/>
      <c r="BO48" s="151"/>
      <c r="BP48" s="155"/>
      <c r="BQ48" s="155"/>
      <c r="BR48" s="155"/>
      <c r="BS48" s="155"/>
      <c r="BT48" s="155"/>
      <c r="BU48" s="155"/>
      <c r="BV48" s="155"/>
      <c r="BW48" s="155"/>
      <c r="BX48" s="155"/>
      <c r="BY48" s="155"/>
      <c r="BZ48" s="155"/>
      <c r="CA48" s="151"/>
      <c r="CB48" s="151"/>
      <c r="CC48" s="155"/>
      <c r="CD48" s="155"/>
      <c r="CE48" s="155"/>
      <c r="CF48" s="155"/>
      <c r="CG48" s="155"/>
      <c r="CH48" s="155"/>
      <c r="CI48" s="155"/>
      <c r="CJ48" s="155"/>
      <c r="CK48" s="155"/>
      <c r="CL48" s="155"/>
      <c r="CM48" s="155"/>
      <c r="CN48" s="151"/>
      <c r="CO48" s="151"/>
      <c r="CP48" s="155"/>
      <c r="CQ48" s="155"/>
      <c r="CR48" s="155"/>
      <c r="CS48" s="155"/>
      <c r="CT48" s="155"/>
      <c r="CU48" s="155"/>
      <c r="CV48" s="155"/>
      <c r="CW48" s="155"/>
      <c r="CX48" s="155"/>
      <c r="CY48" s="155"/>
      <c r="CZ48" s="155"/>
      <c r="DA48" s="151"/>
      <c r="DB48" s="151"/>
      <c r="DC48" s="155"/>
      <c r="DD48" s="155"/>
      <c r="DE48" s="155"/>
      <c r="DF48" s="155"/>
      <c r="DG48" s="155"/>
      <c r="DH48" s="155"/>
      <c r="DI48" s="155"/>
      <c r="DJ48" s="155"/>
      <c r="DK48" s="155"/>
      <c r="DL48" s="155"/>
      <c r="DM48" s="155"/>
      <c r="DN48" s="151"/>
      <c r="DO48" s="151"/>
      <c r="DP48" s="155"/>
      <c r="DQ48" s="155"/>
      <c r="DR48" s="155"/>
      <c r="DS48" s="155"/>
      <c r="DT48" s="155"/>
      <c r="DU48" s="155"/>
      <c r="DV48" s="155"/>
      <c r="DW48" s="155"/>
      <c r="DX48" s="155"/>
      <c r="DY48" s="155"/>
      <c r="DZ48" s="155"/>
      <c r="EA48" s="151"/>
      <c r="EB48" s="151"/>
      <c r="EC48" s="155"/>
      <c r="ED48" s="155"/>
      <c r="EE48" s="155"/>
      <c r="EF48" s="155"/>
      <c r="EG48" s="155"/>
      <c r="EH48" s="155"/>
      <c r="EI48" s="155"/>
      <c r="EJ48" s="155"/>
      <c r="EK48" s="155"/>
      <c r="EL48" s="155"/>
      <c r="EM48" s="155"/>
      <c r="EN48" s="151"/>
      <c r="EO48" s="151"/>
      <c r="EP48" s="155"/>
      <c r="EQ48" s="155"/>
      <c r="ER48" s="155"/>
      <c r="ES48" s="155"/>
      <c r="ET48" s="155"/>
      <c r="EU48" s="155"/>
      <c r="EV48" s="155"/>
      <c r="EW48" s="155"/>
      <c r="EX48" s="155"/>
      <c r="EY48" s="155"/>
      <c r="EZ48" s="155"/>
      <c r="FA48" s="151"/>
      <c r="FB48" s="151"/>
      <c r="FC48" s="155"/>
      <c r="FD48" s="155"/>
      <c r="FE48" s="155"/>
      <c r="FF48" s="155"/>
      <c r="FG48" s="155"/>
      <c r="FH48" s="155"/>
      <c r="FI48" s="155"/>
      <c r="FJ48" s="155"/>
      <c r="FK48" s="155"/>
      <c r="FL48" s="155"/>
      <c r="FM48" s="155"/>
      <c r="FN48" s="151"/>
      <c r="FO48" s="151"/>
      <c r="FP48" s="155"/>
      <c r="FQ48" s="155"/>
      <c r="FR48" s="155"/>
      <c r="FS48" s="155"/>
      <c r="FT48" s="155"/>
      <c r="FU48" s="155"/>
      <c r="FV48" s="155"/>
      <c r="FW48" s="155"/>
      <c r="FX48" s="155"/>
      <c r="FY48" s="155"/>
      <c r="FZ48" s="155"/>
      <c r="GA48" s="151"/>
      <c r="GB48" s="151"/>
      <c r="GC48" s="155"/>
      <c r="GD48" s="155"/>
      <c r="GE48" s="155"/>
      <c r="GF48" s="155"/>
      <c r="GG48" s="155"/>
      <c r="GH48" s="155"/>
      <c r="GI48" s="155"/>
      <c r="GJ48" s="155"/>
      <c r="GK48" s="155"/>
      <c r="GL48" s="155"/>
      <c r="GM48" s="155"/>
      <c r="GN48" s="151"/>
      <c r="GO48" s="151"/>
      <c r="GP48" s="155"/>
      <c r="GQ48" s="155"/>
      <c r="GR48" s="155"/>
      <c r="GS48" s="155"/>
      <c r="GT48" s="155"/>
      <c r="GU48" s="155"/>
      <c r="GV48" s="155"/>
      <c r="GW48" s="155"/>
      <c r="GX48" s="155"/>
      <c r="GY48" s="155"/>
      <c r="GZ48" s="155"/>
      <c r="HA48" s="151"/>
      <c r="HB48" s="151"/>
      <c r="HC48" s="155"/>
      <c r="HD48" s="155"/>
      <c r="HE48" s="155"/>
      <c r="HF48" s="155"/>
      <c r="HG48" s="155"/>
      <c r="HH48" s="155"/>
      <c r="HI48" s="155"/>
      <c r="HJ48" s="155"/>
      <c r="HK48" s="155"/>
      <c r="HL48" s="155"/>
      <c r="HM48" s="155"/>
      <c r="HN48" s="151"/>
      <c r="HO48" s="151"/>
      <c r="HP48" s="155"/>
      <c r="HQ48" s="155"/>
      <c r="HR48" s="155"/>
      <c r="HS48" s="155"/>
      <c r="HT48" s="155"/>
      <c r="HU48" s="155"/>
      <c r="HV48" s="155"/>
      <c r="HW48" s="155"/>
      <c r="HX48" s="155"/>
      <c r="HY48" s="155"/>
      <c r="HZ48" s="155"/>
      <c r="IA48" s="151"/>
      <c r="IB48" s="151"/>
      <c r="IC48" s="155"/>
      <c r="ID48" s="155"/>
      <c r="IE48" s="155"/>
      <c r="IF48" s="155"/>
      <c r="IG48" s="155"/>
      <c r="IH48" s="155"/>
      <c r="II48" s="155"/>
      <c r="IJ48" s="155"/>
      <c r="IK48" s="155"/>
      <c r="IL48" s="155"/>
      <c r="IM48" s="155"/>
      <c r="IN48" s="151"/>
      <c r="IO48" s="151"/>
      <c r="IP48" s="155"/>
      <c r="IQ48" s="155"/>
      <c r="IR48" s="155"/>
      <c r="IS48" s="155"/>
      <c r="IT48" s="155"/>
      <c r="IU48" s="155"/>
      <c r="IV48" s="155"/>
    </row>
    <row r="49" spans="1:256" x14ac:dyDescent="0.2">
      <c r="A49" s="160"/>
      <c r="B49" s="151"/>
      <c r="C49" s="276"/>
      <c r="D49" s="276"/>
      <c r="E49" s="276"/>
      <c r="F49" s="276"/>
      <c r="G49" s="276"/>
      <c r="H49" s="276"/>
      <c r="I49" s="276"/>
      <c r="J49" s="276"/>
      <c r="K49" s="276"/>
      <c r="L49" s="276"/>
      <c r="M49" s="278"/>
      <c r="N49" s="154"/>
      <c r="O49" s="154"/>
      <c r="P49" s="163"/>
      <c r="Q49" s="163"/>
      <c r="R49" s="163"/>
      <c r="S49" s="163"/>
      <c r="T49" s="163"/>
      <c r="U49" s="163"/>
      <c r="V49" s="163"/>
      <c r="W49" s="163"/>
      <c r="X49" s="163"/>
      <c r="Y49" s="163"/>
      <c r="Z49" s="163"/>
      <c r="AA49" s="151"/>
      <c r="AB49" s="151"/>
      <c r="AC49" s="155"/>
      <c r="AD49" s="155"/>
      <c r="AE49" s="155"/>
      <c r="AF49" s="155"/>
      <c r="AG49" s="155"/>
      <c r="AH49" s="155"/>
      <c r="AI49" s="155"/>
      <c r="AJ49" s="155"/>
      <c r="AK49" s="155"/>
      <c r="AL49" s="155"/>
      <c r="AM49" s="155"/>
      <c r="AN49" s="151"/>
      <c r="AO49" s="151"/>
      <c r="AP49" s="155"/>
      <c r="AQ49" s="155"/>
      <c r="AR49" s="155"/>
      <c r="AS49" s="155"/>
      <c r="AT49" s="155"/>
      <c r="AU49" s="155"/>
      <c r="AV49" s="155"/>
      <c r="AW49" s="155"/>
      <c r="AX49" s="155"/>
      <c r="AY49" s="155"/>
      <c r="AZ49" s="155"/>
      <c r="BA49" s="151"/>
      <c r="BB49" s="151"/>
      <c r="BC49" s="155"/>
      <c r="BD49" s="155"/>
      <c r="BE49" s="155"/>
      <c r="BF49" s="155"/>
      <c r="BG49" s="155"/>
      <c r="BH49" s="155"/>
      <c r="BI49" s="155"/>
      <c r="BJ49" s="155"/>
      <c r="BK49" s="155"/>
      <c r="BL49" s="155"/>
      <c r="BM49" s="155"/>
      <c r="BN49" s="151"/>
      <c r="BO49" s="151"/>
      <c r="BP49" s="155"/>
      <c r="BQ49" s="155"/>
      <c r="BR49" s="155"/>
      <c r="BS49" s="155"/>
      <c r="BT49" s="155"/>
      <c r="BU49" s="155"/>
      <c r="BV49" s="155"/>
      <c r="BW49" s="155"/>
      <c r="BX49" s="155"/>
      <c r="BY49" s="155"/>
      <c r="BZ49" s="155"/>
      <c r="CA49" s="151"/>
      <c r="CB49" s="151"/>
      <c r="CC49" s="155"/>
      <c r="CD49" s="155"/>
      <c r="CE49" s="155"/>
      <c r="CF49" s="155"/>
      <c r="CG49" s="155"/>
      <c r="CH49" s="155"/>
      <c r="CI49" s="155"/>
      <c r="CJ49" s="155"/>
      <c r="CK49" s="155"/>
      <c r="CL49" s="155"/>
      <c r="CM49" s="155"/>
      <c r="CN49" s="151"/>
      <c r="CO49" s="151"/>
      <c r="CP49" s="155"/>
      <c r="CQ49" s="155"/>
      <c r="CR49" s="155"/>
      <c r="CS49" s="155"/>
      <c r="CT49" s="155"/>
      <c r="CU49" s="155"/>
      <c r="CV49" s="155"/>
      <c r="CW49" s="155"/>
      <c r="CX49" s="155"/>
      <c r="CY49" s="155"/>
      <c r="CZ49" s="155"/>
      <c r="DA49" s="151"/>
      <c r="DB49" s="151"/>
      <c r="DC49" s="155"/>
      <c r="DD49" s="155"/>
      <c r="DE49" s="155"/>
      <c r="DF49" s="155"/>
      <c r="DG49" s="155"/>
      <c r="DH49" s="155"/>
      <c r="DI49" s="155"/>
      <c r="DJ49" s="155"/>
      <c r="DK49" s="155"/>
      <c r="DL49" s="155"/>
      <c r="DM49" s="155"/>
      <c r="DN49" s="151"/>
      <c r="DO49" s="151"/>
      <c r="DP49" s="155"/>
      <c r="DQ49" s="155"/>
      <c r="DR49" s="155"/>
      <c r="DS49" s="155"/>
      <c r="DT49" s="155"/>
      <c r="DU49" s="155"/>
      <c r="DV49" s="155"/>
      <c r="DW49" s="155"/>
      <c r="DX49" s="155"/>
      <c r="DY49" s="155"/>
      <c r="DZ49" s="155"/>
      <c r="EA49" s="151"/>
      <c r="EB49" s="151"/>
      <c r="EC49" s="155"/>
      <c r="ED49" s="155"/>
      <c r="EE49" s="155"/>
      <c r="EF49" s="155"/>
      <c r="EG49" s="155"/>
      <c r="EH49" s="155"/>
      <c r="EI49" s="155"/>
      <c r="EJ49" s="155"/>
      <c r="EK49" s="155"/>
      <c r="EL49" s="155"/>
      <c r="EM49" s="155"/>
      <c r="EN49" s="151"/>
      <c r="EO49" s="151"/>
      <c r="EP49" s="155"/>
      <c r="EQ49" s="155"/>
      <c r="ER49" s="155"/>
      <c r="ES49" s="155"/>
      <c r="ET49" s="155"/>
      <c r="EU49" s="155"/>
      <c r="EV49" s="155"/>
      <c r="EW49" s="155"/>
      <c r="EX49" s="155"/>
      <c r="EY49" s="155"/>
      <c r="EZ49" s="155"/>
      <c r="FA49" s="151"/>
      <c r="FB49" s="151"/>
      <c r="FC49" s="155"/>
      <c r="FD49" s="155"/>
      <c r="FE49" s="155"/>
      <c r="FF49" s="155"/>
      <c r="FG49" s="155"/>
      <c r="FH49" s="155"/>
      <c r="FI49" s="155"/>
      <c r="FJ49" s="155"/>
      <c r="FK49" s="155"/>
      <c r="FL49" s="155"/>
      <c r="FM49" s="155"/>
      <c r="FN49" s="151"/>
      <c r="FO49" s="151"/>
      <c r="FP49" s="155"/>
      <c r="FQ49" s="155"/>
      <c r="FR49" s="155"/>
      <c r="FS49" s="155"/>
      <c r="FT49" s="155"/>
      <c r="FU49" s="155"/>
      <c r="FV49" s="155"/>
      <c r="FW49" s="155"/>
      <c r="FX49" s="155"/>
      <c r="FY49" s="155"/>
      <c r="FZ49" s="155"/>
      <c r="GA49" s="151"/>
      <c r="GB49" s="151"/>
      <c r="GC49" s="155"/>
      <c r="GD49" s="155"/>
      <c r="GE49" s="155"/>
      <c r="GF49" s="155"/>
      <c r="GG49" s="155"/>
      <c r="GH49" s="155"/>
      <c r="GI49" s="155"/>
      <c r="GJ49" s="155"/>
      <c r="GK49" s="155"/>
      <c r="GL49" s="155"/>
      <c r="GM49" s="155"/>
      <c r="GN49" s="151"/>
      <c r="GO49" s="151"/>
      <c r="GP49" s="155"/>
      <c r="GQ49" s="155"/>
      <c r="GR49" s="155"/>
      <c r="GS49" s="155"/>
      <c r="GT49" s="155"/>
      <c r="GU49" s="155"/>
      <c r="GV49" s="155"/>
      <c r="GW49" s="155"/>
      <c r="GX49" s="155"/>
      <c r="GY49" s="155"/>
      <c r="GZ49" s="155"/>
      <c r="HA49" s="151"/>
      <c r="HB49" s="151"/>
      <c r="HC49" s="155"/>
      <c r="HD49" s="155"/>
      <c r="HE49" s="155"/>
      <c r="HF49" s="155"/>
      <c r="HG49" s="155"/>
      <c r="HH49" s="155"/>
      <c r="HI49" s="155"/>
      <c r="HJ49" s="155"/>
      <c r="HK49" s="155"/>
      <c r="HL49" s="155"/>
      <c r="HM49" s="155"/>
      <c r="HN49" s="151"/>
      <c r="HO49" s="151"/>
      <c r="HP49" s="155"/>
      <c r="HQ49" s="155"/>
      <c r="HR49" s="155"/>
      <c r="HS49" s="155"/>
      <c r="HT49" s="155"/>
      <c r="HU49" s="155"/>
      <c r="HV49" s="155"/>
      <c r="HW49" s="155"/>
      <c r="HX49" s="155"/>
      <c r="HY49" s="155"/>
      <c r="HZ49" s="155"/>
      <c r="IA49" s="151"/>
      <c r="IB49" s="151"/>
      <c r="IC49" s="155"/>
      <c r="ID49" s="155"/>
      <c r="IE49" s="155"/>
      <c r="IF49" s="155"/>
      <c r="IG49" s="155"/>
      <c r="IH49" s="155"/>
      <c r="II49" s="155"/>
      <c r="IJ49" s="155"/>
      <c r="IK49" s="155"/>
      <c r="IL49" s="155"/>
      <c r="IM49" s="155"/>
      <c r="IN49" s="151"/>
      <c r="IO49" s="151"/>
      <c r="IP49" s="155"/>
      <c r="IQ49" s="155"/>
      <c r="IR49" s="155"/>
      <c r="IS49" s="155"/>
      <c r="IT49" s="155"/>
      <c r="IU49" s="155"/>
      <c r="IV49" s="155"/>
    </row>
    <row r="50" spans="1:256" x14ac:dyDescent="0.2">
      <c r="A50" s="160"/>
      <c r="B50" s="151"/>
      <c r="C50" s="276"/>
      <c r="D50" s="276"/>
      <c r="E50" s="276"/>
      <c r="F50" s="276"/>
      <c r="G50" s="276"/>
      <c r="H50" s="276"/>
      <c r="I50" s="276"/>
      <c r="J50" s="276"/>
      <c r="K50" s="276"/>
      <c r="L50" s="276"/>
      <c r="M50" s="278"/>
    </row>
    <row r="51" spans="1:256" x14ac:dyDescent="0.2">
      <c r="A51" s="160"/>
      <c r="B51" s="151"/>
      <c r="C51" s="276"/>
      <c r="D51" s="276"/>
      <c r="E51" s="276"/>
      <c r="F51" s="276"/>
      <c r="G51" s="276"/>
      <c r="H51" s="276"/>
      <c r="I51" s="276"/>
      <c r="J51" s="276"/>
      <c r="K51" s="276"/>
      <c r="L51" s="276"/>
      <c r="M51" s="278"/>
    </row>
    <row r="52" spans="1:256" x14ac:dyDescent="0.2">
      <c r="A52" s="160"/>
      <c r="B52" s="151"/>
      <c r="C52" s="276"/>
      <c r="D52" s="276"/>
      <c r="E52" s="276"/>
      <c r="F52" s="276"/>
      <c r="G52" s="276"/>
      <c r="H52" s="276"/>
      <c r="I52" s="276"/>
      <c r="J52" s="276"/>
      <c r="K52" s="276"/>
      <c r="L52" s="276"/>
      <c r="M52" s="278"/>
    </row>
    <row r="53" spans="1:256" x14ac:dyDescent="0.2">
      <c r="A53" s="160"/>
      <c r="B53" s="151"/>
      <c r="C53" s="276"/>
      <c r="D53" s="276"/>
      <c r="E53" s="276"/>
      <c r="F53" s="276"/>
      <c r="G53" s="276"/>
      <c r="H53" s="276"/>
      <c r="I53" s="276"/>
      <c r="J53" s="276"/>
      <c r="K53" s="276"/>
      <c r="L53" s="276"/>
      <c r="M53" s="278"/>
    </row>
    <row r="54" spans="1:256" x14ac:dyDescent="0.2">
      <c r="A54" s="160"/>
      <c r="B54" s="151"/>
      <c r="C54" s="276"/>
      <c r="D54" s="276"/>
      <c r="E54" s="276"/>
      <c r="F54" s="276"/>
      <c r="G54" s="276"/>
      <c r="H54" s="276"/>
      <c r="I54" s="276"/>
      <c r="J54" s="276"/>
      <c r="K54" s="276"/>
      <c r="L54" s="276"/>
      <c r="M54" s="278"/>
    </row>
    <row r="55" spans="1:256" x14ac:dyDescent="0.2">
      <c r="A55" s="160"/>
      <c r="B55" s="151"/>
      <c r="C55" s="276"/>
      <c r="D55" s="276"/>
      <c r="E55" s="276"/>
      <c r="F55" s="276"/>
      <c r="G55" s="276"/>
      <c r="H55" s="276"/>
      <c r="I55" s="276"/>
      <c r="J55" s="276"/>
      <c r="K55" s="276"/>
      <c r="L55" s="276"/>
      <c r="M55" s="278"/>
    </row>
    <row r="56" spans="1:256" x14ac:dyDescent="0.2">
      <c r="A56" s="160"/>
      <c r="B56" s="151"/>
      <c r="C56" s="276"/>
      <c r="D56" s="276"/>
      <c r="E56" s="276"/>
      <c r="F56" s="276"/>
      <c r="G56" s="276"/>
      <c r="H56" s="276"/>
      <c r="I56" s="276"/>
      <c r="J56" s="276"/>
      <c r="K56" s="276"/>
      <c r="L56" s="276"/>
      <c r="M56" s="278"/>
    </row>
    <row r="57" spans="1:256" x14ac:dyDescent="0.2">
      <c r="A57" s="160"/>
      <c r="B57" s="151"/>
      <c r="C57" s="276"/>
      <c r="D57" s="276"/>
      <c r="E57" s="276"/>
      <c r="F57" s="276"/>
      <c r="G57" s="276"/>
      <c r="H57" s="276"/>
      <c r="I57" s="276"/>
      <c r="J57" s="276"/>
      <c r="K57" s="276"/>
      <c r="L57" s="276"/>
      <c r="M57" s="278"/>
    </row>
    <row r="58" spans="1:256" x14ac:dyDescent="0.2">
      <c r="A58" s="160"/>
      <c r="B58" s="151"/>
      <c r="C58" s="276"/>
      <c r="D58" s="276"/>
      <c r="E58" s="276"/>
      <c r="F58" s="276"/>
      <c r="G58" s="276"/>
      <c r="H58" s="276"/>
      <c r="I58" s="276"/>
      <c r="J58" s="276"/>
      <c r="K58" s="276"/>
      <c r="L58" s="276"/>
      <c r="M58" s="278"/>
    </row>
    <row r="59" spans="1:256" x14ac:dyDescent="0.2">
      <c r="A59" s="160"/>
      <c r="B59" s="151"/>
      <c r="C59" s="276"/>
      <c r="D59" s="276"/>
      <c r="E59" s="276"/>
      <c r="F59" s="276"/>
      <c r="G59" s="276"/>
      <c r="H59" s="276"/>
      <c r="I59" s="276"/>
      <c r="J59" s="276"/>
      <c r="K59" s="276"/>
      <c r="L59" s="276"/>
      <c r="M59" s="278"/>
    </row>
    <row r="60" spans="1:256" x14ac:dyDescent="0.2">
      <c r="A60" s="160"/>
      <c r="B60" s="151"/>
      <c r="C60" s="276"/>
      <c r="D60" s="276"/>
      <c r="E60" s="276"/>
      <c r="F60" s="276"/>
      <c r="G60" s="276"/>
      <c r="H60" s="276"/>
      <c r="I60" s="276"/>
      <c r="J60" s="276"/>
      <c r="K60" s="276"/>
      <c r="L60" s="276"/>
      <c r="M60" s="278"/>
    </row>
    <row r="61" spans="1:256" x14ac:dyDescent="0.2">
      <c r="A61" s="160"/>
      <c r="B61" s="151"/>
      <c r="C61" s="276"/>
      <c r="D61" s="276"/>
      <c r="E61" s="276"/>
      <c r="F61" s="276"/>
      <c r="G61" s="276"/>
      <c r="H61" s="276"/>
      <c r="I61" s="276"/>
      <c r="J61" s="276"/>
      <c r="K61" s="276"/>
      <c r="L61" s="276"/>
      <c r="M61" s="278"/>
    </row>
    <row r="62" spans="1:256" x14ac:dyDescent="0.2">
      <c r="A62" s="160"/>
      <c r="B62" s="151"/>
      <c r="C62" s="276"/>
      <c r="D62" s="276"/>
      <c r="E62" s="276"/>
      <c r="F62" s="276"/>
      <c r="G62" s="276"/>
      <c r="H62" s="276"/>
      <c r="I62" s="276"/>
      <c r="J62" s="276"/>
      <c r="K62" s="276"/>
      <c r="L62" s="276"/>
      <c r="M62" s="278"/>
    </row>
    <row r="63" spans="1:256" x14ac:dyDescent="0.2">
      <c r="A63" s="160"/>
      <c r="B63" s="151"/>
      <c r="C63" s="276"/>
      <c r="D63" s="276"/>
      <c r="E63" s="276"/>
      <c r="F63" s="276"/>
      <c r="G63" s="276"/>
      <c r="H63" s="276"/>
      <c r="I63" s="276"/>
      <c r="J63" s="276"/>
      <c r="K63" s="276"/>
      <c r="L63" s="276"/>
      <c r="M63" s="278"/>
    </row>
    <row r="64" spans="1:256" x14ac:dyDescent="0.2">
      <c r="A64" s="160"/>
      <c r="B64" s="151"/>
      <c r="C64" s="276"/>
      <c r="D64" s="276"/>
      <c r="E64" s="276"/>
      <c r="F64" s="276"/>
      <c r="G64" s="276"/>
      <c r="H64" s="276"/>
      <c r="I64" s="276"/>
      <c r="J64" s="276"/>
      <c r="K64" s="276"/>
      <c r="L64" s="276"/>
      <c r="M64" s="278"/>
    </row>
    <row r="65" spans="1:13" x14ac:dyDescent="0.2">
      <c r="A65" s="160"/>
      <c r="B65" s="151"/>
      <c r="C65" s="276"/>
      <c r="D65" s="276"/>
      <c r="E65" s="276"/>
      <c r="F65" s="276"/>
      <c r="G65" s="276"/>
      <c r="H65" s="276"/>
      <c r="I65" s="276"/>
      <c r="J65" s="276"/>
      <c r="K65" s="276"/>
      <c r="L65" s="276"/>
      <c r="M65" s="278"/>
    </row>
    <row r="66" spans="1:13" x14ac:dyDescent="0.2">
      <c r="A66" s="160"/>
      <c r="B66" s="151"/>
      <c r="C66" s="276"/>
      <c r="D66" s="276"/>
      <c r="E66" s="276"/>
      <c r="F66" s="276"/>
      <c r="G66" s="276"/>
      <c r="H66" s="276"/>
      <c r="I66" s="276"/>
      <c r="J66" s="276"/>
      <c r="K66" s="276"/>
      <c r="L66" s="276"/>
      <c r="M66" s="278"/>
    </row>
    <row r="67" spans="1:13" x14ac:dyDescent="0.2">
      <c r="A67" s="160"/>
      <c r="B67" s="151"/>
      <c r="C67" s="276"/>
      <c r="D67" s="276"/>
      <c r="E67" s="276"/>
      <c r="F67" s="276"/>
      <c r="G67" s="276"/>
      <c r="H67" s="276"/>
      <c r="I67" s="276"/>
      <c r="J67" s="276"/>
      <c r="K67" s="276"/>
      <c r="L67" s="276"/>
      <c r="M67" s="278"/>
    </row>
    <row r="68" spans="1:13" x14ac:dyDescent="0.2">
      <c r="A68" s="160"/>
      <c r="B68" s="151"/>
      <c r="C68" s="276"/>
      <c r="D68" s="276"/>
      <c r="E68" s="276"/>
      <c r="F68" s="276"/>
      <c r="G68" s="276"/>
      <c r="H68" s="276"/>
      <c r="I68" s="276"/>
      <c r="J68" s="276"/>
      <c r="K68" s="276"/>
      <c r="L68" s="276"/>
      <c r="M68" s="278"/>
    </row>
    <row r="69" spans="1:13" x14ac:dyDescent="0.2">
      <c r="A69" s="160"/>
      <c r="B69" s="151"/>
      <c r="C69" s="276"/>
      <c r="D69" s="276"/>
      <c r="E69" s="276"/>
      <c r="F69" s="276"/>
      <c r="G69" s="276"/>
      <c r="H69" s="276"/>
      <c r="I69" s="276"/>
      <c r="J69" s="276"/>
      <c r="K69" s="276"/>
      <c r="L69" s="276"/>
      <c r="M69" s="278"/>
    </row>
    <row r="70" spans="1:13" ht="12" thickBot="1" x14ac:dyDescent="0.25">
      <c r="A70" s="161"/>
      <c r="B70" s="162"/>
      <c r="C70" s="287"/>
      <c r="D70" s="287"/>
      <c r="E70" s="287"/>
      <c r="F70" s="287"/>
      <c r="G70" s="287"/>
      <c r="H70" s="287"/>
      <c r="I70" s="287"/>
      <c r="J70" s="287"/>
      <c r="K70" s="287"/>
      <c r="L70" s="287"/>
      <c r="M70" s="288"/>
    </row>
    <row r="71" spans="1:13" ht="12" thickTop="1" x14ac:dyDescent="0.2">
      <c r="A71" s="152"/>
      <c r="B71" s="152"/>
      <c r="C71" s="153"/>
      <c r="D71" s="153"/>
      <c r="E71" s="153"/>
      <c r="F71" s="153"/>
      <c r="G71" s="153"/>
      <c r="H71" s="153"/>
      <c r="I71" s="153"/>
      <c r="J71" s="153"/>
      <c r="K71" s="153"/>
      <c r="L71" s="153"/>
    </row>
    <row r="72" spans="1:13" ht="12.75" x14ac:dyDescent="0.2">
      <c r="A72" s="289" t="s">
        <v>832</v>
      </c>
      <c r="B72" s="289"/>
      <c r="C72" s="289"/>
      <c r="D72" s="289"/>
      <c r="E72" s="289"/>
    </row>
    <row r="73" spans="1:13" x14ac:dyDescent="0.2">
      <c r="A73" s="132" t="s">
        <v>764</v>
      </c>
      <c r="B73" s="132" t="s">
        <v>765</v>
      </c>
      <c r="C73" s="270"/>
      <c r="D73" s="270"/>
      <c r="E73" s="270"/>
      <c r="F73" s="270"/>
      <c r="G73" s="270"/>
      <c r="H73" s="270"/>
      <c r="I73" s="270"/>
      <c r="J73" s="270"/>
      <c r="K73" s="270"/>
      <c r="L73" s="270"/>
      <c r="M73" s="270"/>
    </row>
    <row r="74" spans="1:13" x14ac:dyDescent="0.2">
      <c r="A74" s="154"/>
      <c r="B74" s="154"/>
      <c r="C74" s="270"/>
      <c r="D74" s="270"/>
      <c r="E74" s="270"/>
      <c r="F74" s="270"/>
      <c r="G74" s="270"/>
      <c r="H74" s="270"/>
      <c r="I74" s="270"/>
      <c r="J74" s="270"/>
      <c r="K74" s="270"/>
      <c r="L74" s="270"/>
      <c r="M74" s="270"/>
    </row>
    <row r="75" spans="1:13" x14ac:dyDescent="0.2">
      <c r="A75" s="154"/>
      <c r="B75" s="154"/>
      <c r="C75" s="270"/>
      <c r="D75" s="270"/>
      <c r="E75" s="270"/>
      <c r="F75" s="270"/>
      <c r="G75" s="270"/>
      <c r="H75" s="270"/>
      <c r="I75" s="270"/>
      <c r="J75" s="270"/>
      <c r="K75" s="270"/>
      <c r="L75" s="270"/>
      <c r="M75" s="270"/>
    </row>
    <row r="76" spans="1:13" x14ac:dyDescent="0.2">
      <c r="A76" s="154"/>
      <c r="B76" s="154"/>
      <c r="C76" s="270"/>
      <c r="D76" s="270"/>
      <c r="E76" s="270"/>
      <c r="F76" s="270"/>
      <c r="G76" s="270"/>
      <c r="H76" s="270"/>
      <c r="I76" s="270"/>
      <c r="J76" s="270"/>
      <c r="K76" s="270"/>
      <c r="L76" s="270"/>
      <c r="M76" s="270"/>
    </row>
    <row r="77" spans="1:13" x14ac:dyDescent="0.2">
      <c r="A77" s="154"/>
      <c r="B77" s="154"/>
      <c r="C77" s="270"/>
      <c r="D77" s="270"/>
      <c r="E77" s="270"/>
      <c r="F77" s="270"/>
      <c r="G77" s="270"/>
      <c r="H77" s="270"/>
      <c r="I77" s="270"/>
      <c r="J77" s="270"/>
      <c r="K77" s="270"/>
      <c r="L77" s="270"/>
      <c r="M77" s="270"/>
    </row>
    <row r="78" spans="1:13" x14ac:dyDescent="0.2">
      <c r="A78" s="154"/>
      <c r="B78" s="154"/>
      <c r="C78" s="270"/>
      <c r="D78" s="270"/>
      <c r="E78" s="270"/>
      <c r="F78" s="270"/>
      <c r="G78" s="270"/>
      <c r="H78" s="270"/>
      <c r="I78" s="270"/>
      <c r="J78" s="270"/>
      <c r="K78" s="270"/>
      <c r="L78" s="270"/>
      <c r="M78" s="270"/>
    </row>
    <row r="79" spans="1:13" x14ac:dyDescent="0.2">
      <c r="A79" s="154"/>
      <c r="B79" s="154"/>
      <c r="C79" s="270"/>
      <c r="D79" s="270"/>
      <c r="E79" s="270"/>
      <c r="F79" s="270"/>
      <c r="G79" s="270"/>
      <c r="H79" s="270"/>
      <c r="I79" s="270"/>
      <c r="J79" s="270"/>
      <c r="K79" s="270"/>
      <c r="L79" s="270"/>
      <c r="M79" s="270"/>
    </row>
    <row r="80" spans="1:13" x14ac:dyDescent="0.2">
      <c r="A80" s="154"/>
      <c r="B80" s="154"/>
      <c r="C80" s="270"/>
      <c r="D80" s="270"/>
      <c r="E80" s="270"/>
      <c r="F80" s="270"/>
      <c r="G80" s="270"/>
      <c r="H80" s="270"/>
      <c r="I80" s="270"/>
      <c r="J80" s="270"/>
      <c r="K80" s="270"/>
      <c r="L80" s="270"/>
      <c r="M80" s="270"/>
    </row>
    <row r="81" spans="1:13" x14ac:dyDescent="0.2">
      <c r="A81" s="154"/>
      <c r="B81" s="154"/>
      <c r="C81" s="270"/>
      <c r="D81" s="270"/>
      <c r="E81" s="270"/>
      <c r="F81" s="270"/>
      <c r="G81" s="270"/>
      <c r="H81" s="270"/>
      <c r="I81" s="270"/>
      <c r="J81" s="270"/>
      <c r="K81" s="270"/>
      <c r="L81" s="270"/>
      <c r="M81" s="270"/>
    </row>
    <row r="82" spans="1:13" x14ac:dyDescent="0.2">
      <c r="A82" s="154"/>
      <c r="B82" s="154"/>
      <c r="C82" s="270"/>
      <c r="D82" s="270"/>
      <c r="E82" s="270"/>
      <c r="F82" s="270"/>
      <c r="G82" s="270"/>
      <c r="H82" s="270"/>
      <c r="I82" s="270"/>
      <c r="J82" s="270"/>
      <c r="K82" s="270"/>
      <c r="L82" s="270"/>
      <c r="M82" s="270"/>
    </row>
    <row r="83" spans="1:13" x14ac:dyDescent="0.2">
      <c r="A83" s="154"/>
      <c r="B83" s="154"/>
      <c r="C83" s="270"/>
      <c r="D83" s="270"/>
      <c r="E83" s="270"/>
      <c r="F83" s="270"/>
      <c r="G83" s="270"/>
      <c r="H83" s="270"/>
      <c r="I83" s="270"/>
      <c r="J83" s="270"/>
      <c r="K83" s="270"/>
      <c r="L83" s="270"/>
      <c r="M83" s="270"/>
    </row>
    <row r="84" spans="1:13" x14ac:dyDescent="0.2">
      <c r="A84" s="154"/>
      <c r="B84" s="154"/>
      <c r="C84" s="270"/>
      <c r="D84" s="270"/>
      <c r="E84" s="270"/>
      <c r="F84" s="270"/>
      <c r="G84" s="270"/>
      <c r="H84" s="270"/>
      <c r="I84" s="270"/>
      <c r="J84" s="270"/>
      <c r="K84" s="270"/>
      <c r="L84" s="270"/>
      <c r="M84" s="270"/>
    </row>
    <row r="85" spans="1:13" x14ac:dyDescent="0.2">
      <c r="A85" s="154"/>
      <c r="B85" s="154"/>
      <c r="C85" s="270"/>
      <c r="D85" s="270"/>
      <c r="E85" s="270"/>
      <c r="F85" s="270"/>
      <c r="G85" s="270"/>
      <c r="H85" s="270"/>
      <c r="I85" s="270"/>
      <c r="J85" s="270"/>
      <c r="K85" s="270"/>
      <c r="L85" s="270"/>
      <c r="M85" s="270"/>
    </row>
    <row r="86" spans="1:13" x14ac:dyDescent="0.2">
      <c r="A86" s="154"/>
      <c r="B86" s="154"/>
      <c r="C86" s="270"/>
      <c r="D86" s="270"/>
      <c r="E86" s="270"/>
      <c r="F86" s="270"/>
      <c r="G86" s="270"/>
      <c r="H86" s="270"/>
      <c r="I86" s="270"/>
      <c r="J86" s="270"/>
      <c r="K86" s="270"/>
      <c r="L86" s="270"/>
      <c r="M86" s="270"/>
    </row>
    <row r="87" spans="1:13" x14ac:dyDescent="0.2">
      <c r="A87" s="154"/>
      <c r="B87" s="154"/>
      <c r="C87" s="270"/>
      <c r="D87" s="270"/>
      <c r="E87" s="270"/>
      <c r="F87" s="270"/>
      <c r="G87" s="270"/>
      <c r="H87" s="270"/>
      <c r="I87" s="270"/>
      <c r="J87" s="270"/>
      <c r="K87" s="270"/>
      <c r="L87" s="270"/>
      <c r="M87" s="270"/>
    </row>
    <row r="88" spans="1:13" x14ac:dyDescent="0.2">
      <c r="A88" s="154"/>
      <c r="B88" s="154"/>
      <c r="C88" s="270"/>
      <c r="D88" s="270"/>
      <c r="E88" s="270"/>
      <c r="F88" s="270"/>
      <c r="G88" s="270"/>
      <c r="H88" s="270"/>
      <c r="I88" s="270"/>
      <c r="J88" s="270"/>
      <c r="K88" s="270"/>
      <c r="L88" s="270"/>
      <c r="M88" s="270"/>
    </row>
    <row r="89" spans="1:13" x14ac:dyDescent="0.2">
      <c r="A89" s="154"/>
      <c r="B89" s="154"/>
      <c r="C89" s="270"/>
      <c r="D89" s="270"/>
      <c r="E89" s="270"/>
      <c r="F89" s="270"/>
      <c r="G89" s="270"/>
      <c r="H89" s="270"/>
      <c r="I89" s="270"/>
      <c r="J89" s="270"/>
      <c r="K89" s="270"/>
      <c r="L89" s="270"/>
      <c r="M89" s="270"/>
    </row>
    <row r="90" spans="1:13" x14ac:dyDescent="0.2">
      <c r="A90" s="154"/>
      <c r="B90" s="154"/>
      <c r="C90" s="270"/>
      <c r="D90" s="270"/>
      <c r="E90" s="270"/>
      <c r="F90" s="270"/>
      <c r="G90" s="270"/>
      <c r="H90" s="270"/>
      <c r="I90" s="270"/>
      <c r="J90" s="270"/>
      <c r="K90" s="270"/>
      <c r="L90" s="270"/>
      <c r="M90" s="27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17" t="s">
        <v>910</v>
      </c>
      <c r="B2" s="217" t="s">
        <v>911</v>
      </c>
      <c r="C2" s="217" t="s">
        <v>913</v>
      </c>
      <c r="D2" s="217" t="s">
        <v>912</v>
      </c>
      <c r="E2" s="218" t="s">
        <v>1545</v>
      </c>
      <c r="G2" s="217" t="s">
        <v>910</v>
      </c>
      <c r="H2" s="217" t="s">
        <v>911</v>
      </c>
      <c r="I2" s="217" t="s">
        <v>913</v>
      </c>
      <c r="J2" s="217" t="s">
        <v>912</v>
      </c>
      <c r="K2" s="218" t="s">
        <v>1545</v>
      </c>
      <c r="M2" s="217" t="s">
        <v>910</v>
      </c>
      <c r="N2" s="217" t="s">
        <v>911</v>
      </c>
      <c r="O2" s="217" t="s">
        <v>913</v>
      </c>
      <c r="P2" s="217" t="s">
        <v>912</v>
      </c>
      <c r="Q2" s="218" t="s">
        <v>1545</v>
      </c>
    </row>
    <row r="3" spans="1:18" ht="15" x14ac:dyDescent="0.25">
      <c r="A3" s="242">
        <v>999</v>
      </c>
      <c r="B3" s="243" t="s">
        <v>1562</v>
      </c>
      <c r="C3" s="243" t="s">
        <v>1562</v>
      </c>
      <c r="D3" s="243">
        <v>99999</v>
      </c>
      <c r="E3" s="243" t="s">
        <v>61</v>
      </c>
      <c r="F3" s="221" t="b">
        <f t="shared" ref="F3:F66" si="0">D3=D4</f>
        <v>0</v>
      </c>
      <c r="G3" s="242">
        <v>999</v>
      </c>
      <c r="H3" s="242" t="s">
        <v>1562</v>
      </c>
      <c r="I3" s="243" t="s">
        <v>1562</v>
      </c>
      <c r="J3" s="243">
        <v>99999</v>
      </c>
      <c r="K3" s="243" t="s">
        <v>1546</v>
      </c>
      <c r="L3" s="221" t="b">
        <f>I3=I4</f>
        <v>0</v>
      </c>
      <c r="M3" s="242">
        <v>999</v>
      </c>
      <c r="N3" s="243" t="s">
        <v>1562</v>
      </c>
      <c r="O3" s="243" t="s">
        <v>1562</v>
      </c>
      <c r="P3" s="243">
        <v>99999</v>
      </c>
      <c r="Q3" s="243" t="s">
        <v>1547</v>
      </c>
      <c r="R3" s="221" t="b">
        <f>P3=P4</f>
        <v>0</v>
      </c>
    </row>
    <row r="4" spans="1:18" ht="15" x14ac:dyDescent="0.25">
      <c r="A4" s="258">
        <v>111</v>
      </c>
      <c r="B4" s="258" t="s">
        <v>973</v>
      </c>
      <c r="C4" s="258" t="s">
        <v>975</v>
      </c>
      <c r="D4" s="258">
        <v>20240</v>
      </c>
      <c r="E4" s="243" t="s">
        <v>61</v>
      </c>
      <c r="F4" s="221" t="b">
        <f t="shared" si="0"/>
        <v>0</v>
      </c>
      <c r="G4" s="258">
        <v>725</v>
      </c>
      <c r="H4" s="258" t="s">
        <v>1519</v>
      </c>
      <c r="I4" s="258" t="s">
        <v>1521</v>
      </c>
      <c r="J4" s="258">
        <v>28580</v>
      </c>
      <c r="K4" s="243" t="s">
        <v>1546</v>
      </c>
      <c r="L4" s="221" t="b">
        <f t="shared" ref="L4:L67" si="1">I4=I5</f>
        <v>0</v>
      </c>
      <c r="M4" s="259">
        <v>725</v>
      </c>
      <c r="N4" s="259" t="s">
        <v>1519</v>
      </c>
      <c r="O4" s="259" t="s">
        <v>1520</v>
      </c>
      <c r="P4" s="259">
        <v>28615</v>
      </c>
      <c r="Q4" s="243" t="s">
        <v>1547</v>
      </c>
      <c r="R4" s="221" t="b">
        <f t="shared" ref="R4:R67" si="2">P4=P5</f>
        <v>0</v>
      </c>
    </row>
    <row r="5" spans="1:18" ht="15" x14ac:dyDescent="0.25">
      <c r="A5" s="259">
        <v>174</v>
      </c>
      <c r="B5" s="259" t="s">
        <v>1038</v>
      </c>
      <c r="C5" s="259" t="s">
        <v>1039</v>
      </c>
      <c r="D5" s="259">
        <v>22960</v>
      </c>
      <c r="E5" s="243" t="s">
        <v>61</v>
      </c>
      <c r="F5" s="221" t="b">
        <f t="shared" si="0"/>
        <v>0</v>
      </c>
      <c r="G5" s="259">
        <v>17</v>
      </c>
      <c r="H5" s="259" t="s">
        <v>919</v>
      </c>
      <c r="I5" s="259" t="s">
        <v>920</v>
      </c>
      <c r="J5" s="259">
        <v>21745</v>
      </c>
      <c r="K5" s="243" t="s">
        <v>1546</v>
      </c>
      <c r="L5" s="221" t="b">
        <f t="shared" si="1"/>
        <v>0</v>
      </c>
      <c r="M5" s="258">
        <v>267</v>
      </c>
      <c r="N5" s="258" t="s">
        <v>1135</v>
      </c>
      <c r="O5" s="258" t="s">
        <v>1137</v>
      </c>
      <c r="P5" s="258">
        <v>21050</v>
      </c>
      <c r="Q5" s="243" t="s">
        <v>1547</v>
      </c>
      <c r="R5" s="221" t="b">
        <f t="shared" si="2"/>
        <v>0</v>
      </c>
    </row>
    <row r="6" spans="1:18" ht="15" x14ac:dyDescent="0.25">
      <c r="A6" s="258">
        <v>225</v>
      </c>
      <c r="B6" s="258" t="s">
        <v>1093</v>
      </c>
      <c r="C6" s="258" t="s">
        <v>1095</v>
      </c>
      <c r="D6" s="258">
        <v>20795</v>
      </c>
      <c r="E6" s="243" t="s">
        <v>61</v>
      </c>
      <c r="F6" s="221" t="b">
        <f t="shared" si="0"/>
        <v>0</v>
      </c>
      <c r="G6" s="258">
        <v>33</v>
      </c>
      <c r="H6" s="258" t="s">
        <v>930</v>
      </c>
      <c r="I6" s="258" t="s">
        <v>931</v>
      </c>
      <c r="J6" s="258">
        <v>22030</v>
      </c>
      <c r="K6" s="243" t="s">
        <v>1546</v>
      </c>
      <c r="L6" s="221" t="b">
        <f t="shared" si="1"/>
        <v>0</v>
      </c>
      <c r="M6" s="259">
        <v>41</v>
      </c>
      <c r="N6" s="259" t="s">
        <v>938</v>
      </c>
      <c r="O6" s="259" t="s">
        <v>942</v>
      </c>
      <c r="P6" s="259">
        <v>28555</v>
      </c>
      <c r="Q6" s="243" t="s">
        <v>1547</v>
      </c>
      <c r="R6" s="221" t="b">
        <f t="shared" si="2"/>
        <v>0</v>
      </c>
    </row>
    <row r="7" spans="1:18" ht="15" x14ac:dyDescent="0.25">
      <c r="A7" s="259">
        <v>9</v>
      </c>
      <c r="B7" s="259" t="s">
        <v>914</v>
      </c>
      <c r="C7" s="259" t="s">
        <v>916</v>
      </c>
      <c r="D7" s="259">
        <v>22580</v>
      </c>
      <c r="E7" s="243" t="s">
        <v>61</v>
      </c>
      <c r="F7" s="221" t="b">
        <f t="shared" si="0"/>
        <v>0</v>
      </c>
      <c r="G7" s="259">
        <v>486</v>
      </c>
      <c r="H7" s="259" t="s">
        <v>1416</v>
      </c>
      <c r="I7" s="259" t="s">
        <v>1420</v>
      </c>
      <c r="J7" s="259">
        <v>22150</v>
      </c>
      <c r="K7" s="243" t="s">
        <v>1546</v>
      </c>
      <c r="L7" s="221" t="b">
        <f t="shared" si="1"/>
        <v>0</v>
      </c>
      <c r="M7" s="258">
        <v>486</v>
      </c>
      <c r="N7" s="258" t="s">
        <v>1416</v>
      </c>
      <c r="O7" s="258" t="s">
        <v>1419</v>
      </c>
      <c r="P7" s="258">
        <v>22145</v>
      </c>
      <c r="Q7" s="243" t="s">
        <v>1547</v>
      </c>
      <c r="R7" s="221" t="b">
        <f t="shared" si="2"/>
        <v>0</v>
      </c>
    </row>
    <row r="8" spans="1:18" ht="15" x14ac:dyDescent="0.25">
      <c r="A8" s="258">
        <v>174</v>
      </c>
      <c r="B8" s="258" t="s">
        <v>1038</v>
      </c>
      <c r="C8" s="258" t="s">
        <v>1040</v>
      </c>
      <c r="D8" s="258">
        <v>22965</v>
      </c>
      <c r="E8" s="243" t="s">
        <v>61</v>
      </c>
      <c r="F8" s="221" t="b">
        <f t="shared" si="0"/>
        <v>0</v>
      </c>
      <c r="G8" s="258">
        <v>51</v>
      </c>
      <c r="H8" s="258" t="s">
        <v>944</v>
      </c>
      <c r="I8" s="258" t="s">
        <v>945</v>
      </c>
      <c r="J8" s="258">
        <v>20045</v>
      </c>
      <c r="K8" s="243" t="s">
        <v>1546</v>
      </c>
      <c r="L8" s="221" t="b">
        <f t="shared" si="1"/>
        <v>0</v>
      </c>
      <c r="M8" s="259">
        <v>51</v>
      </c>
      <c r="N8" s="259" t="s">
        <v>944</v>
      </c>
      <c r="O8" s="259" t="s">
        <v>946</v>
      </c>
      <c r="P8" s="259">
        <v>20050</v>
      </c>
      <c r="Q8" s="243" t="s">
        <v>1547</v>
      </c>
      <c r="R8" s="221" t="b">
        <f t="shared" si="2"/>
        <v>0</v>
      </c>
    </row>
    <row r="9" spans="1:18" ht="15" x14ac:dyDescent="0.25">
      <c r="A9" s="259">
        <v>15</v>
      </c>
      <c r="B9" s="259" t="s">
        <v>917</v>
      </c>
      <c r="C9" s="259" t="s">
        <v>918</v>
      </c>
      <c r="D9" s="259">
        <v>22480</v>
      </c>
      <c r="E9" s="243" t="s">
        <v>61</v>
      </c>
      <c r="F9" s="221" t="b">
        <f t="shared" si="0"/>
        <v>0</v>
      </c>
      <c r="G9" s="259">
        <v>57</v>
      </c>
      <c r="H9" s="259" t="s">
        <v>949</v>
      </c>
      <c r="I9" s="259" t="s">
        <v>950</v>
      </c>
      <c r="J9" s="259">
        <v>20675</v>
      </c>
      <c r="K9" s="243" t="s">
        <v>1546</v>
      </c>
      <c r="L9" s="221" t="b">
        <f t="shared" si="1"/>
        <v>0</v>
      </c>
      <c r="M9" s="258">
        <v>57</v>
      </c>
      <c r="N9" s="258" t="s">
        <v>949</v>
      </c>
      <c r="O9" s="258" t="s">
        <v>952</v>
      </c>
      <c r="P9" s="258">
        <v>27375</v>
      </c>
      <c r="Q9" s="243" t="s">
        <v>1547</v>
      </c>
      <c r="R9" s="221" t="b">
        <f t="shared" si="2"/>
        <v>0</v>
      </c>
    </row>
    <row r="10" spans="1:18" ht="15" x14ac:dyDescent="0.25">
      <c r="A10" s="258">
        <v>371</v>
      </c>
      <c r="B10" s="258" t="s">
        <v>1289</v>
      </c>
      <c r="C10" s="258" t="s">
        <v>1305</v>
      </c>
      <c r="D10" s="258">
        <v>21940</v>
      </c>
      <c r="E10" s="243" t="s">
        <v>61</v>
      </c>
      <c r="F10" s="221" t="b">
        <f t="shared" si="0"/>
        <v>0</v>
      </c>
      <c r="G10" s="258">
        <v>342</v>
      </c>
      <c r="H10" s="258" t="s">
        <v>1238</v>
      </c>
      <c r="I10" s="258" t="s">
        <v>1239</v>
      </c>
      <c r="J10" s="258">
        <v>26685</v>
      </c>
      <c r="K10" s="243" t="s">
        <v>1546</v>
      </c>
      <c r="L10" s="221" t="b">
        <f t="shared" si="1"/>
        <v>0</v>
      </c>
      <c r="M10" s="259">
        <v>461</v>
      </c>
      <c r="N10" s="259" t="s">
        <v>1382</v>
      </c>
      <c r="O10" s="259" t="s">
        <v>1386</v>
      </c>
      <c r="P10" s="259">
        <v>22675</v>
      </c>
      <c r="Q10" s="243" t="s">
        <v>1547</v>
      </c>
      <c r="R10" s="221" t="b">
        <f t="shared" si="2"/>
        <v>0</v>
      </c>
    </row>
    <row r="11" spans="1:18" ht="15" x14ac:dyDescent="0.25">
      <c r="A11" s="259">
        <v>19</v>
      </c>
      <c r="B11" s="259" t="s">
        <v>922</v>
      </c>
      <c r="C11" s="259" t="s">
        <v>923</v>
      </c>
      <c r="D11" s="259">
        <v>22130</v>
      </c>
      <c r="E11" s="243" t="s">
        <v>61</v>
      </c>
      <c r="F11" s="221" t="b">
        <f t="shared" si="0"/>
        <v>0</v>
      </c>
      <c r="G11" s="259">
        <v>101</v>
      </c>
      <c r="H11" s="259" t="s">
        <v>967</v>
      </c>
      <c r="I11" s="259" t="s">
        <v>968</v>
      </c>
      <c r="J11" s="259">
        <v>20115</v>
      </c>
      <c r="K11" s="243" t="s">
        <v>1546</v>
      </c>
      <c r="L11" s="221" t="b">
        <f t="shared" si="1"/>
        <v>0</v>
      </c>
      <c r="M11" s="258">
        <v>315</v>
      </c>
      <c r="N11" s="258" t="s">
        <v>1196</v>
      </c>
      <c r="O11" s="258" t="s">
        <v>1198</v>
      </c>
      <c r="P11" s="258">
        <v>27715</v>
      </c>
      <c r="Q11" s="243" t="s">
        <v>1547</v>
      </c>
      <c r="R11" s="221" t="b">
        <f t="shared" si="2"/>
        <v>0</v>
      </c>
    </row>
    <row r="12" spans="1:18" ht="15" x14ac:dyDescent="0.25">
      <c r="A12" s="258">
        <v>112</v>
      </c>
      <c r="B12" s="258" t="s">
        <v>981</v>
      </c>
      <c r="C12" s="258" t="s">
        <v>983</v>
      </c>
      <c r="D12" s="258">
        <v>22215</v>
      </c>
      <c r="E12" s="243" t="s">
        <v>61</v>
      </c>
      <c r="F12" s="221" t="b">
        <f t="shared" si="0"/>
        <v>0</v>
      </c>
      <c r="G12" s="258">
        <v>172</v>
      </c>
      <c r="H12" s="258" t="s">
        <v>1032</v>
      </c>
      <c r="I12" s="258" t="s">
        <v>1033</v>
      </c>
      <c r="J12" s="258">
        <v>20590</v>
      </c>
      <c r="K12" s="243" t="s">
        <v>1546</v>
      </c>
      <c r="L12" s="221" t="b">
        <f t="shared" si="1"/>
        <v>0</v>
      </c>
      <c r="M12" s="259">
        <v>710</v>
      </c>
      <c r="N12" s="259" t="s">
        <v>1511</v>
      </c>
      <c r="O12" s="259" t="s">
        <v>1513</v>
      </c>
      <c r="P12" s="259">
        <v>29195</v>
      </c>
      <c r="Q12" s="243" t="s">
        <v>1547</v>
      </c>
      <c r="R12" s="221" t="b">
        <f t="shared" si="2"/>
        <v>0</v>
      </c>
    </row>
    <row r="13" spans="1:18" ht="15" x14ac:dyDescent="0.25">
      <c r="A13" s="259">
        <v>9</v>
      </c>
      <c r="B13" s="259" t="s">
        <v>914</v>
      </c>
      <c r="C13" s="259" t="s">
        <v>915</v>
      </c>
      <c r="D13" s="259">
        <v>22575</v>
      </c>
      <c r="E13" s="243" t="s">
        <v>61</v>
      </c>
      <c r="F13" s="221" t="b">
        <f t="shared" si="0"/>
        <v>0</v>
      </c>
      <c r="G13" s="259">
        <v>317</v>
      </c>
      <c r="H13" s="259" t="s">
        <v>1200</v>
      </c>
      <c r="I13" s="259" t="s">
        <v>1201</v>
      </c>
      <c r="J13" s="259">
        <v>21440</v>
      </c>
      <c r="K13" s="243" t="s">
        <v>1546</v>
      </c>
      <c r="L13" s="221" t="b">
        <f t="shared" si="1"/>
        <v>0</v>
      </c>
      <c r="M13" s="258">
        <v>707</v>
      </c>
      <c r="N13" s="258" t="s">
        <v>1504</v>
      </c>
      <c r="O13" s="258" t="s">
        <v>1504</v>
      </c>
      <c r="P13" s="258">
        <v>28455</v>
      </c>
      <c r="Q13" s="243" t="s">
        <v>1547</v>
      </c>
      <c r="R13" s="221" t="b">
        <f t="shared" si="2"/>
        <v>0</v>
      </c>
    </row>
    <row r="14" spans="1:18" ht="15" x14ac:dyDescent="0.25">
      <c r="A14" s="258">
        <v>23</v>
      </c>
      <c r="B14" s="258" t="s">
        <v>924</v>
      </c>
      <c r="C14" s="258" t="s">
        <v>925</v>
      </c>
      <c r="D14" s="258">
        <v>20010</v>
      </c>
      <c r="E14" s="243" t="s">
        <v>61</v>
      </c>
      <c r="F14" s="221" t="b">
        <f t="shared" si="0"/>
        <v>0</v>
      </c>
      <c r="G14" s="258">
        <v>261</v>
      </c>
      <c r="H14" s="258" t="s">
        <v>1126</v>
      </c>
      <c r="I14" s="258" t="s">
        <v>1129</v>
      </c>
      <c r="J14" s="258">
        <v>28050</v>
      </c>
      <c r="K14" s="243" t="s">
        <v>1546</v>
      </c>
      <c r="L14" s="221" t="b">
        <f t="shared" si="1"/>
        <v>0</v>
      </c>
      <c r="M14" s="259">
        <v>105</v>
      </c>
      <c r="N14" s="259" t="s">
        <v>972</v>
      </c>
      <c r="O14" s="259" t="s">
        <v>1634</v>
      </c>
      <c r="P14" s="259">
        <v>20185</v>
      </c>
      <c r="Q14" s="243" t="s">
        <v>1547</v>
      </c>
      <c r="R14" s="221" t="b">
        <f t="shared" si="2"/>
        <v>0</v>
      </c>
    </row>
    <row r="15" spans="1:18" ht="15" x14ac:dyDescent="0.25">
      <c r="A15" s="259">
        <v>534</v>
      </c>
      <c r="B15" s="259" t="s">
        <v>1449</v>
      </c>
      <c r="C15" s="259" t="s">
        <v>1451</v>
      </c>
      <c r="D15" s="259">
        <v>22740</v>
      </c>
      <c r="E15" s="243" t="s">
        <v>61</v>
      </c>
      <c r="F15" s="221" t="b">
        <f t="shared" si="0"/>
        <v>0</v>
      </c>
      <c r="G15" s="259">
        <v>141</v>
      </c>
      <c r="H15" s="259" t="s">
        <v>1012</v>
      </c>
      <c r="I15" s="259" t="s">
        <v>1014</v>
      </c>
      <c r="J15" s="259">
        <v>20435</v>
      </c>
      <c r="K15" s="243" t="s">
        <v>1546</v>
      </c>
      <c r="L15" s="221" t="b">
        <f t="shared" si="1"/>
        <v>0</v>
      </c>
      <c r="M15" s="258">
        <v>274</v>
      </c>
      <c r="N15" s="258" t="s">
        <v>1148</v>
      </c>
      <c r="O15" s="258" t="s">
        <v>1150</v>
      </c>
      <c r="P15" s="258">
        <v>22265</v>
      </c>
      <c r="Q15" s="243" t="s">
        <v>1547</v>
      </c>
      <c r="R15" s="221" t="b">
        <f t="shared" si="2"/>
        <v>0</v>
      </c>
    </row>
    <row r="16" spans="1:18" ht="15" x14ac:dyDescent="0.25">
      <c r="A16" s="258">
        <v>29</v>
      </c>
      <c r="B16" s="258" t="s">
        <v>926</v>
      </c>
      <c r="C16" s="258" t="s">
        <v>927</v>
      </c>
      <c r="D16" s="258">
        <v>20530</v>
      </c>
      <c r="E16" s="243" t="s">
        <v>61</v>
      </c>
      <c r="F16" s="221" t="b">
        <f t="shared" si="0"/>
        <v>0</v>
      </c>
      <c r="G16" s="258">
        <v>371</v>
      </c>
      <c r="H16" s="258" t="s">
        <v>1289</v>
      </c>
      <c r="I16" s="258" t="s">
        <v>1299</v>
      </c>
      <c r="J16" s="258">
        <v>21890</v>
      </c>
      <c r="K16" s="243" t="s">
        <v>1546</v>
      </c>
      <c r="L16" s="221" t="b">
        <f t="shared" si="1"/>
        <v>0</v>
      </c>
      <c r="M16" s="259">
        <v>111</v>
      </c>
      <c r="N16" s="259" t="s">
        <v>973</v>
      </c>
      <c r="O16" s="259" t="s">
        <v>979</v>
      </c>
      <c r="P16" s="259">
        <v>20285</v>
      </c>
      <c r="Q16" s="243" t="s">
        <v>1547</v>
      </c>
      <c r="R16" s="221" t="b">
        <f t="shared" si="2"/>
        <v>0</v>
      </c>
    </row>
    <row r="17" spans="1:18" ht="15" x14ac:dyDescent="0.25">
      <c r="A17" s="259">
        <v>335</v>
      </c>
      <c r="B17" s="259" t="s">
        <v>909</v>
      </c>
      <c r="C17" s="259" t="s">
        <v>1221</v>
      </c>
      <c r="D17" s="259">
        <v>21545</v>
      </c>
      <c r="E17" s="243" t="s">
        <v>61</v>
      </c>
      <c r="F17" s="221" t="b">
        <f t="shared" si="0"/>
        <v>0</v>
      </c>
      <c r="G17" s="259">
        <v>165</v>
      </c>
      <c r="H17" s="259" t="s">
        <v>1025</v>
      </c>
      <c r="I17" s="259" t="s">
        <v>1026</v>
      </c>
      <c r="J17" s="259">
        <v>26505</v>
      </c>
      <c r="K17" s="243" t="s">
        <v>1546</v>
      </c>
      <c r="L17" s="221" t="b">
        <f t="shared" si="1"/>
        <v>0</v>
      </c>
      <c r="M17" s="258">
        <v>112</v>
      </c>
      <c r="N17" s="258" t="s">
        <v>981</v>
      </c>
      <c r="O17" s="258" t="s">
        <v>989</v>
      </c>
      <c r="P17" s="258">
        <v>22290</v>
      </c>
      <c r="Q17" s="243" t="s">
        <v>1547</v>
      </c>
      <c r="R17" s="221" t="b">
        <f t="shared" si="2"/>
        <v>0</v>
      </c>
    </row>
    <row r="18" spans="1:18" ht="15" x14ac:dyDescent="0.25">
      <c r="A18" s="258">
        <v>31</v>
      </c>
      <c r="B18" s="258" t="s">
        <v>928</v>
      </c>
      <c r="C18" s="258" t="s">
        <v>929</v>
      </c>
      <c r="D18" s="258">
        <v>22485</v>
      </c>
      <c r="E18" s="243" t="s">
        <v>61</v>
      </c>
      <c r="F18" s="221" t="b">
        <f t="shared" si="0"/>
        <v>0</v>
      </c>
      <c r="G18" s="258">
        <v>371</v>
      </c>
      <c r="H18" s="258" t="s">
        <v>1289</v>
      </c>
      <c r="I18" s="258" t="s">
        <v>1297</v>
      </c>
      <c r="J18" s="258">
        <v>21875</v>
      </c>
      <c r="K18" s="243" t="s">
        <v>1546</v>
      </c>
      <c r="L18" s="221" t="b">
        <f t="shared" si="1"/>
        <v>0</v>
      </c>
      <c r="M18" s="259">
        <v>723</v>
      </c>
      <c r="N18" s="259" t="s">
        <v>1518</v>
      </c>
      <c r="O18" s="259" t="s">
        <v>1518</v>
      </c>
      <c r="P18" s="259">
        <v>28575</v>
      </c>
      <c r="Q18" s="243" t="s">
        <v>1547</v>
      </c>
      <c r="R18" s="221" t="b">
        <f t="shared" si="2"/>
        <v>0</v>
      </c>
    </row>
    <row r="19" spans="1:18" ht="15" x14ac:dyDescent="0.25">
      <c r="A19" s="259">
        <v>33</v>
      </c>
      <c r="B19" s="259" t="s">
        <v>930</v>
      </c>
      <c r="C19" s="259" t="s">
        <v>932</v>
      </c>
      <c r="D19" s="259">
        <v>22045</v>
      </c>
      <c r="E19" s="243" t="s">
        <v>61</v>
      </c>
      <c r="F19" s="221" t="b">
        <f t="shared" si="0"/>
        <v>0</v>
      </c>
      <c r="G19" s="259">
        <v>131</v>
      </c>
      <c r="H19" s="259" t="s">
        <v>1004</v>
      </c>
      <c r="I19" s="259" t="s">
        <v>1011</v>
      </c>
      <c r="J19" s="259">
        <v>20420</v>
      </c>
      <c r="K19" s="243" t="s">
        <v>1546</v>
      </c>
      <c r="L19" s="221" t="b">
        <f t="shared" si="1"/>
        <v>0</v>
      </c>
      <c r="M19" s="259">
        <v>141</v>
      </c>
      <c r="N19" s="259" t="s">
        <v>1012</v>
      </c>
      <c r="O19" s="259" t="s">
        <v>1016</v>
      </c>
      <c r="P19" s="259">
        <v>20455</v>
      </c>
      <c r="Q19" s="243" t="s">
        <v>1547</v>
      </c>
      <c r="R19" s="221" t="b">
        <f t="shared" si="2"/>
        <v>0</v>
      </c>
    </row>
    <row r="20" spans="1:18" ht="15" x14ac:dyDescent="0.25">
      <c r="A20" s="258">
        <v>199</v>
      </c>
      <c r="B20" s="258" t="s">
        <v>1068</v>
      </c>
      <c r="C20" s="258" t="s">
        <v>1071</v>
      </c>
      <c r="D20" s="258">
        <v>20695</v>
      </c>
      <c r="E20" s="243" t="s">
        <v>61</v>
      </c>
      <c r="F20" s="221" t="b">
        <f t="shared" si="0"/>
        <v>0</v>
      </c>
      <c r="G20" s="258">
        <v>191</v>
      </c>
      <c r="H20" s="258" t="s">
        <v>1062</v>
      </c>
      <c r="I20" s="258" t="s">
        <v>1065</v>
      </c>
      <c r="J20" s="258">
        <v>26995</v>
      </c>
      <c r="K20" s="243" t="s">
        <v>1546</v>
      </c>
      <c r="L20" s="221" t="b">
        <f t="shared" si="1"/>
        <v>0</v>
      </c>
      <c r="M20" s="258">
        <v>165</v>
      </c>
      <c r="N20" s="258" t="s">
        <v>1025</v>
      </c>
      <c r="O20" s="258" t="s">
        <v>1549</v>
      </c>
      <c r="P20" s="258">
        <v>20515</v>
      </c>
      <c r="Q20" s="243" t="s">
        <v>1547</v>
      </c>
      <c r="R20" s="221" t="b">
        <f t="shared" si="2"/>
        <v>0</v>
      </c>
    </row>
    <row r="21" spans="1:18" ht="15" x14ac:dyDescent="0.25">
      <c r="A21" s="259">
        <v>39</v>
      </c>
      <c r="B21" s="259" t="s">
        <v>936</v>
      </c>
      <c r="C21" s="259" t="s">
        <v>937</v>
      </c>
      <c r="D21" s="259">
        <v>20860</v>
      </c>
      <c r="E21" s="243" t="s">
        <v>61</v>
      </c>
      <c r="F21" s="221" t="b">
        <f t="shared" si="0"/>
        <v>0</v>
      </c>
      <c r="G21" s="259">
        <v>203</v>
      </c>
      <c r="H21" s="259" t="s">
        <v>1073</v>
      </c>
      <c r="I21" s="259" t="s">
        <v>1076</v>
      </c>
      <c r="J21" s="259">
        <v>27005</v>
      </c>
      <c r="K21" s="243" t="s">
        <v>1546</v>
      </c>
      <c r="L21" s="221" t="b">
        <f t="shared" si="1"/>
        <v>0</v>
      </c>
      <c r="M21" s="259">
        <v>172</v>
      </c>
      <c r="N21" s="259" t="s">
        <v>1032</v>
      </c>
      <c r="O21" s="259" t="s">
        <v>1034</v>
      </c>
      <c r="P21" s="259">
        <v>20600</v>
      </c>
      <c r="Q21" s="243" t="s">
        <v>1547</v>
      </c>
      <c r="R21" s="221" t="b">
        <f t="shared" si="2"/>
        <v>0</v>
      </c>
    </row>
    <row r="22" spans="1:18" ht="15" x14ac:dyDescent="0.25">
      <c r="A22" s="258">
        <v>111</v>
      </c>
      <c r="B22" s="258" t="s">
        <v>973</v>
      </c>
      <c r="C22" s="258" t="s">
        <v>974</v>
      </c>
      <c r="D22" s="258">
        <v>26490</v>
      </c>
      <c r="E22" s="243" t="s">
        <v>61</v>
      </c>
      <c r="F22" s="221" t="b">
        <f t="shared" si="0"/>
        <v>0</v>
      </c>
      <c r="G22" s="258">
        <v>709</v>
      </c>
      <c r="H22" s="258" t="s">
        <v>1508</v>
      </c>
      <c r="I22" s="258" t="s">
        <v>1510</v>
      </c>
      <c r="J22" s="258">
        <v>28620</v>
      </c>
      <c r="K22" s="243" t="s">
        <v>1546</v>
      </c>
      <c r="L22" s="221" t="b">
        <f t="shared" si="1"/>
        <v>0</v>
      </c>
      <c r="M22" s="258">
        <v>174</v>
      </c>
      <c r="N22" s="258" t="s">
        <v>1038</v>
      </c>
      <c r="O22" s="258" t="s">
        <v>1045</v>
      </c>
      <c r="P22" s="258">
        <v>22990</v>
      </c>
      <c r="Q22" s="243" t="s">
        <v>1547</v>
      </c>
      <c r="R22" s="221" t="b">
        <f t="shared" si="2"/>
        <v>0</v>
      </c>
    </row>
    <row r="23" spans="1:18" ht="15" x14ac:dyDescent="0.25">
      <c r="A23" s="259">
        <v>335</v>
      </c>
      <c r="B23" s="259" t="s">
        <v>909</v>
      </c>
      <c r="C23" s="259" t="s">
        <v>1227</v>
      </c>
      <c r="D23" s="259">
        <v>21600</v>
      </c>
      <c r="E23" s="243" t="s">
        <v>61</v>
      </c>
      <c r="F23" s="221" t="b">
        <f t="shared" si="0"/>
        <v>0</v>
      </c>
      <c r="G23" s="259">
        <v>112</v>
      </c>
      <c r="H23" s="259" t="s">
        <v>981</v>
      </c>
      <c r="I23" s="259" t="s">
        <v>982</v>
      </c>
      <c r="J23" s="259">
        <v>22210</v>
      </c>
      <c r="K23" s="243" t="s">
        <v>1546</v>
      </c>
      <c r="L23" s="221" t="b">
        <f t="shared" si="1"/>
        <v>0</v>
      </c>
      <c r="M23" s="259">
        <v>175</v>
      </c>
      <c r="N23" s="259" t="s">
        <v>1050</v>
      </c>
      <c r="O23" s="259" t="s">
        <v>1052</v>
      </c>
      <c r="P23" s="259">
        <v>22050</v>
      </c>
      <c r="Q23" s="243" t="s">
        <v>1547</v>
      </c>
      <c r="R23" s="221" t="b">
        <f t="shared" si="2"/>
        <v>0</v>
      </c>
    </row>
    <row r="24" spans="1:18" ht="15" x14ac:dyDescent="0.25">
      <c r="A24" s="258">
        <v>486</v>
      </c>
      <c r="B24" s="258" t="s">
        <v>1416</v>
      </c>
      <c r="C24" s="258" t="s">
        <v>1418</v>
      </c>
      <c r="D24" s="258">
        <v>22135</v>
      </c>
      <c r="E24" s="243" t="s">
        <v>61</v>
      </c>
      <c r="F24" s="221" t="b">
        <f t="shared" si="0"/>
        <v>0</v>
      </c>
      <c r="G24" s="258">
        <v>223</v>
      </c>
      <c r="H24" s="258" t="s">
        <v>1090</v>
      </c>
      <c r="I24" s="258" t="s">
        <v>1091</v>
      </c>
      <c r="J24" s="258">
        <v>22750</v>
      </c>
      <c r="K24" s="243" t="s">
        <v>1546</v>
      </c>
      <c r="L24" s="221" t="b">
        <f t="shared" si="1"/>
        <v>0</v>
      </c>
      <c r="M24" s="258">
        <v>185</v>
      </c>
      <c r="N24" s="258" t="s">
        <v>1054</v>
      </c>
      <c r="O24" s="258" t="s">
        <v>1056</v>
      </c>
      <c r="P24" s="258">
        <v>20660</v>
      </c>
      <c r="Q24" s="243" t="s">
        <v>1547</v>
      </c>
      <c r="R24" s="221" t="b">
        <f t="shared" si="2"/>
        <v>0</v>
      </c>
    </row>
    <row r="25" spans="1:18" ht="15" x14ac:dyDescent="0.25">
      <c r="A25" s="259">
        <v>51</v>
      </c>
      <c r="B25" s="259" t="s">
        <v>944</v>
      </c>
      <c r="C25" s="259" t="s">
        <v>1620</v>
      </c>
      <c r="D25" s="259">
        <v>27035</v>
      </c>
      <c r="E25" s="243" t="s">
        <v>61</v>
      </c>
      <c r="F25" s="221" t="b">
        <f t="shared" si="0"/>
        <v>0</v>
      </c>
      <c r="G25" s="259">
        <v>238</v>
      </c>
      <c r="H25" s="259" t="s">
        <v>1102</v>
      </c>
      <c r="I25" s="259" t="s">
        <v>1105</v>
      </c>
      <c r="J25" s="259">
        <v>26875</v>
      </c>
      <c r="K25" s="243" t="s">
        <v>1546</v>
      </c>
      <c r="L25" s="221" t="b">
        <f t="shared" si="1"/>
        <v>0</v>
      </c>
      <c r="M25" s="259">
        <v>191</v>
      </c>
      <c r="N25" s="259" t="s">
        <v>1062</v>
      </c>
      <c r="O25" s="259" t="s">
        <v>1063</v>
      </c>
      <c r="P25" s="259">
        <v>21240</v>
      </c>
      <c r="Q25" s="243" t="s">
        <v>1547</v>
      </c>
      <c r="R25" s="221" t="b">
        <f t="shared" si="2"/>
        <v>0</v>
      </c>
    </row>
    <row r="26" spans="1:18" ht="15" x14ac:dyDescent="0.25">
      <c r="A26" s="258">
        <v>233</v>
      </c>
      <c r="B26" s="258" t="s">
        <v>1098</v>
      </c>
      <c r="C26" s="258" t="s">
        <v>1099</v>
      </c>
      <c r="D26" s="258">
        <v>20830</v>
      </c>
      <c r="E26" s="243" t="s">
        <v>61</v>
      </c>
      <c r="F26" s="221" t="b">
        <f t="shared" si="0"/>
        <v>0</v>
      </c>
      <c r="G26" s="258">
        <v>335</v>
      </c>
      <c r="H26" s="258" t="s">
        <v>909</v>
      </c>
      <c r="I26" s="258" t="s">
        <v>1632</v>
      </c>
      <c r="J26" s="258">
        <v>27595</v>
      </c>
      <c r="K26" s="243" t="s">
        <v>1546</v>
      </c>
      <c r="L26" s="221" t="b">
        <f t="shared" si="1"/>
        <v>0</v>
      </c>
      <c r="M26" s="258">
        <v>199</v>
      </c>
      <c r="N26" s="258" t="s">
        <v>1068</v>
      </c>
      <c r="O26" s="258" t="s">
        <v>1072</v>
      </c>
      <c r="P26" s="258">
        <v>20700</v>
      </c>
      <c r="Q26" s="243" t="s">
        <v>1547</v>
      </c>
      <c r="R26" s="221" t="b">
        <f t="shared" si="2"/>
        <v>0</v>
      </c>
    </row>
    <row r="27" spans="1:18" ht="15" x14ac:dyDescent="0.25">
      <c r="A27" s="259">
        <v>53</v>
      </c>
      <c r="B27" s="259" t="s">
        <v>947</v>
      </c>
      <c r="C27" s="259" t="s">
        <v>948</v>
      </c>
      <c r="D27" s="259">
        <v>21400</v>
      </c>
      <c r="E27" s="243" t="s">
        <v>61</v>
      </c>
      <c r="F27" s="221" t="b">
        <f t="shared" si="0"/>
        <v>0</v>
      </c>
      <c r="G27" s="259">
        <v>251</v>
      </c>
      <c r="H27" s="259" t="s">
        <v>1110</v>
      </c>
      <c r="I27" s="259" t="s">
        <v>1113</v>
      </c>
      <c r="J27" s="259">
        <v>20960</v>
      </c>
      <c r="K27" s="243" t="s">
        <v>1546</v>
      </c>
      <c r="L27" s="221" t="b">
        <f t="shared" si="1"/>
        <v>0</v>
      </c>
      <c r="M27" s="259">
        <v>203</v>
      </c>
      <c r="N27" s="259" t="s">
        <v>1073</v>
      </c>
      <c r="O27" s="259" t="s">
        <v>1075</v>
      </c>
      <c r="P27" s="259">
        <v>20750</v>
      </c>
      <c r="Q27" s="243" t="s">
        <v>1547</v>
      </c>
      <c r="R27" s="221" t="b">
        <f t="shared" si="2"/>
        <v>0</v>
      </c>
    </row>
    <row r="28" spans="1:18" ht="15" x14ac:dyDescent="0.25">
      <c r="A28" s="258">
        <v>371</v>
      </c>
      <c r="B28" s="258" t="s">
        <v>1289</v>
      </c>
      <c r="C28" s="258" t="s">
        <v>1296</v>
      </c>
      <c r="D28" s="258">
        <v>21865</v>
      </c>
      <c r="E28" s="243" t="s">
        <v>61</v>
      </c>
      <c r="F28" s="221" t="b">
        <f t="shared" si="0"/>
        <v>0</v>
      </c>
      <c r="G28" s="258">
        <v>335</v>
      </c>
      <c r="H28" s="258" t="s">
        <v>909</v>
      </c>
      <c r="I28" s="258" t="s">
        <v>1217</v>
      </c>
      <c r="J28" s="258">
        <v>21520</v>
      </c>
      <c r="K28" s="243" t="s">
        <v>1546</v>
      </c>
      <c r="L28" s="221" t="b">
        <f t="shared" si="1"/>
        <v>0</v>
      </c>
      <c r="M28" s="258">
        <v>702</v>
      </c>
      <c r="N28" s="258" t="s">
        <v>1497</v>
      </c>
      <c r="O28" s="258" t="s">
        <v>1497</v>
      </c>
      <c r="P28" s="258">
        <v>29153</v>
      </c>
      <c r="Q28" s="243" t="s">
        <v>1547</v>
      </c>
      <c r="R28" s="221" t="b">
        <f t="shared" si="2"/>
        <v>0</v>
      </c>
    </row>
    <row r="29" spans="1:18" ht="15" x14ac:dyDescent="0.25">
      <c r="A29" s="259">
        <v>371</v>
      </c>
      <c r="B29" s="259" t="s">
        <v>1289</v>
      </c>
      <c r="C29" s="259" t="s">
        <v>1300</v>
      </c>
      <c r="D29" s="259">
        <v>21895</v>
      </c>
      <c r="E29" s="243" t="s">
        <v>61</v>
      </c>
      <c r="F29" s="221" t="b">
        <f t="shared" si="0"/>
        <v>0</v>
      </c>
      <c r="G29" s="259">
        <v>255</v>
      </c>
      <c r="H29" s="259" t="s">
        <v>1114</v>
      </c>
      <c r="I29" s="259" t="s">
        <v>1117</v>
      </c>
      <c r="J29" s="259">
        <v>26985</v>
      </c>
      <c r="K29" s="243" t="s">
        <v>1546</v>
      </c>
      <c r="L29" s="221" t="b">
        <f t="shared" si="1"/>
        <v>0</v>
      </c>
      <c r="M29" s="259">
        <v>709</v>
      </c>
      <c r="N29" s="259" t="s">
        <v>1508</v>
      </c>
      <c r="O29" s="259" t="s">
        <v>1509</v>
      </c>
      <c r="P29" s="259">
        <v>28445</v>
      </c>
      <c r="Q29" s="243" t="s">
        <v>1547</v>
      </c>
      <c r="R29" s="221" t="b">
        <f t="shared" si="2"/>
        <v>0</v>
      </c>
    </row>
    <row r="30" spans="1:18" ht="15" x14ac:dyDescent="0.25">
      <c r="A30" s="258">
        <v>101</v>
      </c>
      <c r="B30" s="258" t="s">
        <v>967</v>
      </c>
      <c r="C30" s="258" t="s">
        <v>970</v>
      </c>
      <c r="D30" s="258">
        <v>20145</v>
      </c>
      <c r="E30" s="243" t="s">
        <v>61</v>
      </c>
      <c r="F30" s="221" t="b">
        <f t="shared" si="0"/>
        <v>0</v>
      </c>
      <c r="G30" s="258">
        <v>260</v>
      </c>
      <c r="H30" s="258" t="s">
        <v>1123</v>
      </c>
      <c r="I30" s="258" t="s">
        <v>1124</v>
      </c>
      <c r="J30" s="258">
        <v>21805</v>
      </c>
      <c r="K30" s="243" t="s">
        <v>1546</v>
      </c>
      <c r="L30" s="221" t="b">
        <f t="shared" si="1"/>
        <v>0</v>
      </c>
      <c r="M30" s="258">
        <v>407</v>
      </c>
      <c r="N30" s="258" t="s">
        <v>1333</v>
      </c>
      <c r="O30" s="258" t="s">
        <v>1334</v>
      </c>
      <c r="P30" s="258">
        <v>22900</v>
      </c>
      <c r="Q30" s="243" t="s">
        <v>1547</v>
      </c>
      <c r="R30" s="221" t="b">
        <f t="shared" si="2"/>
        <v>0</v>
      </c>
    </row>
    <row r="31" spans="1:18" ht="15" x14ac:dyDescent="0.25">
      <c r="A31" s="259">
        <v>352</v>
      </c>
      <c r="B31" s="259" t="s">
        <v>1256</v>
      </c>
      <c r="C31" s="259" t="s">
        <v>1258</v>
      </c>
      <c r="D31" s="259">
        <v>22155</v>
      </c>
      <c r="E31" s="243" t="s">
        <v>61</v>
      </c>
      <c r="F31" s="221" t="b">
        <f t="shared" si="0"/>
        <v>0</v>
      </c>
      <c r="G31" s="259">
        <v>263</v>
      </c>
      <c r="H31" s="259" t="s">
        <v>1130</v>
      </c>
      <c r="I31" s="259" t="s">
        <v>1131</v>
      </c>
      <c r="J31" s="259">
        <v>27000</v>
      </c>
      <c r="K31" s="243" t="s">
        <v>1546</v>
      </c>
      <c r="L31" s="221" t="b">
        <f t="shared" si="1"/>
        <v>0</v>
      </c>
      <c r="M31" s="259">
        <v>142</v>
      </c>
      <c r="N31" s="259" t="s">
        <v>1018</v>
      </c>
      <c r="O31" s="259" t="s">
        <v>1019</v>
      </c>
      <c r="P31" s="259">
        <v>20820</v>
      </c>
      <c r="Q31" s="243" t="s">
        <v>1547</v>
      </c>
      <c r="R31" s="221" t="b">
        <f t="shared" si="2"/>
        <v>0</v>
      </c>
    </row>
    <row r="32" spans="1:18" ht="15" x14ac:dyDescent="0.25">
      <c r="A32" s="258">
        <v>57</v>
      </c>
      <c r="B32" s="258" t="s">
        <v>949</v>
      </c>
      <c r="C32" s="258" t="s">
        <v>951</v>
      </c>
      <c r="D32" s="258">
        <v>20680</v>
      </c>
      <c r="E32" s="243" t="s">
        <v>61</v>
      </c>
      <c r="F32" s="221" t="b">
        <f t="shared" si="0"/>
        <v>0</v>
      </c>
      <c r="G32" s="258">
        <v>267</v>
      </c>
      <c r="H32" s="258" t="s">
        <v>1135</v>
      </c>
      <c r="I32" s="258" t="s">
        <v>1138</v>
      </c>
      <c r="J32" s="258">
        <v>21060</v>
      </c>
      <c r="K32" s="243" t="s">
        <v>1546</v>
      </c>
      <c r="L32" s="221" t="b">
        <f t="shared" si="1"/>
        <v>0</v>
      </c>
      <c r="M32" s="258">
        <v>251</v>
      </c>
      <c r="N32" s="258" t="s">
        <v>1110</v>
      </c>
      <c r="O32" s="258" t="s">
        <v>1111</v>
      </c>
      <c r="P32" s="258">
        <v>20950</v>
      </c>
      <c r="Q32" s="243" t="s">
        <v>1547</v>
      </c>
      <c r="R32" s="221" t="b">
        <f t="shared" si="2"/>
        <v>0</v>
      </c>
    </row>
    <row r="33" spans="1:18" ht="15" x14ac:dyDescent="0.25">
      <c r="A33" s="259">
        <v>388</v>
      </c>
      <c r="B33" s="259" t="s">
        <v>1551</v>
      </c>
      <c r="C33" s="259" t="s">
        <v>1315</v>
      </c>
      <c r="D33" s="259">
        <v>27685</v>
      </c>
      <c r="E33" s="243" t="s">
        <v>61</v>
      </c>
      <c r="F33" s="221" t="b">
        <f t="shared" si="0"/>
        <v>0</v>
      </c>
      <c r="G33" s="259">
        <v>453</v>
      </c>
      <c r="H33" s="259" t="s">
        <v>1378</v>
      </c>
      <c r="I33" s="259" t="s">
        <v>1381</v>
      </c>
      <c r="J33" s="259">
        <v>26525</v>
      </c>
      <c r="K33" s="243" t="s">
        <v>1546</v>
      </c>
      <c r="L33" s="221" t="b">
        <f t="shared" si="1"/>
        <v>0</v>
      </c>
      <c r="M33" s="259">
        <v>255</v>
      </c>
      <c r="N33" s="259" t="s">
        <v>1114</v>
      </c>
      <c r="O33" s="259" t="s">
        <v>1115</v>
      </c>
      <c r="P33" s="259">
        <v>21675</v>
      </c>
      <c r="Q33" s="243" t="s">
        <v>1547</v>
      </c>
      <c r="R33" s="221" t="b">
        <f t="shared" si="2"/>
        <v>0</v>
      </c>
    </row>
    <row r="34" spans="1:18" ht="15" x14ac:dyDescent="0.25">
      <c r="A34" s="258">
        <v>388</v>
      </c>
      <c r="B34" s="258" t="s">
        <v>1551</v>
      </c>
      <c r="C34" s="258" t="s">
        <v>1318</v>
      </c>
      <c r="D34" s="258">
        <v>20090</v>
      </c>
      <c r="E34" s="243" t="s">
        <v>61</v>
      </c>
      <c r="F34" s="221" t="b">
        <f t="shared" si="0"/>
        <v>0</v>
      </c>
      <c r="G34" s="258">
        <v>274</v>
      </c>
      <c r="H34" s="258" t="s">
        <v>1148</v>
      </c>
      <c r="I34" s="258" t="s">
        <v>1152</v>
      </c>
      <c r="J34" s="258">
        <v>22280</v>
      </c>
      <c r="K34" s="243" t="s">
        <v>1546</v>
      </c>
      <c r="L34" s="221" t="b">
        <f t="shared" si="1"/>
        <v>0</v>
      </c>
      <c r="M34" s="258">
        <v>260</v>
      </c>
      <c r="N34" s="258" t="s">
        <v>1123</v>
      </c>
      <c r="O34" s="258" t="s">
        <v>1125</v>
      </c>
      <c r="P34" s="258">
        <v>21810</v>
      </c>
      <c r="Q34" s="243" t="s">
        <v>1547</v>
      </c>
      <c r="R34" s="221" t="b">
        <f t="shared" si="2"/>
        <v>0</v>
      </c>
    </row>
    <row r="35" spans="1:18" ht="15" x14ac:dyDescent="0.25">
      <c r="A35" s="259">
        <v>371</v>
      </c>
      <c r="B35" s="259" t="s">
        <v>1289</v>
      </c>
      <c r="C35" s="259" t="s">
        <v>1302</v>
      </c>
      <c r="D35" s="259">
        <v>21925</v>
      </c>
      <c r="E35" s="243" t="s">
        <v>61</v>
      </c>
      <c r="F35" s="221" t="b">
        <f t="shared" si="0"/>
        <v>0</v>
      </c>
      <c r="G35" s="259">
        <v>276</v>
      </c>
      <c r="H35" s="259" t="s">
        <v>1155</v>
      </c>
      <c r="I35" s="259" t="s">
        <v>1161</v>
      </c>
      <c r="J35" s="259">
        <v>26535</v>
      </c>
      <c r="K35" s="243" t="s">
        <v>1546</v>
      </c>
      <c r="L35" s="221" t="b">
        <f t="shared" si="1"/>
        <v>0</v>
      </c>
      <c r="M35" s="259">
        <v>263</v>
      </c>
      <c r="N35" s="259" t="s">
        <v>1130</v>
      </c>
      <c r="O35" s="259" t="s">
        <v>1133</v>
      </c>
      <c r="P35" s="259">
        <v>20970</v>
      </c>
      <c r="Q35" s="243" t="s">
        <v>1547</v>
      </c>
      <c r="R35" s="221" t="b">
        <f t="shared" si="2"/>
        <v>0</v>
      </c>
    </row>
    <row r="36" spans="1:18" ht="15" x14ac:dyDescent="0.25">
      <c r="A36" s="258">
        <v>111</v>
      </c>
      <c r="B36" s="258" t="s">
        <v>973</v>
      </c>
      <c r="C36" s="258" t="s">
        <v>977</v>
      </c>
      <c r="D36" s="258">
        <v>20260</v>
      </c>
      <c r="E36" s="243" t="s">
        <v>61</v>
      </c>
      <c r="F36" s="221" t="b">
        <f t="shared" si="0"/>
        <v>0</v>
      </c>
      <c r="G36" s="258">
        <v>279</v>
      </c>
      <c r="H36" s="258" t="s">
        <v>1162</v>
      </c>
      <c r="I36" s="258" t="s">
        <v>1165</v>
      </c>
      <c r="J36" s="258">
        <v>21185</v>
      </c>
      <c r="K36" s="243" t="s">
        <v>1546</v>
      </c>
      <c r="L36" s="221" t="b">
        <f t="shared" si="1"/>
        <v>0</v>
      </c>
      <c r="M36" s="258">
        <v>269</v>
      </c>
      <c r="N36" s="258" t="s">
        <v>1141</v>
      </c>
      <c r="O36" s="258" t="s">
        <v>1144</v>
      </c>
      <c r="P36" s="258">
        <v>20035</v>
      </c>
      <c r="Q36" s="243" t="s">
        <v>1547</v>
      </c>
      <c r="R36" s="221" t="b">
        <f t="shared" si="2"/>
        <v>0</v>
      </c>
    </row>
    <row r="37" spans="1:18" ht="15" x14ac:dyDescent="0.25">
      <c r="A37" s="259">
        <v>75</v>
      </c>
      <c r="B37" s="259" t="s">
        <v>957</v>
      </c>
      <c r="C37" s="259" t="s">
        <v>958</v>
      </c>
      <c r="D37" s="259">
        <v>22335</v>
      </c>
      <c r="E37" s="243" t="s">
        <v>61</v>
      </c>
      <c r="F37" s="221" t="b">
        <f t="shared" si="0"/>
        <v>0</v>
      </c>
      <c r="G37" s="259">
        <v>208</v>
      </c>
      <c r="H37" s="259" t="s">
        <v>1077</v>
      </c>
      <c r="I37" s="259" t="s">
        <v>1084</v>
      </c>
      <c r="J37" s="259">
        <v>22440</v>
      </c>
      <c r="K37" s="243" t="s">
        <v>1546</v>
      </c>
      <c r="L37" s="221" t="b">
        <f t="shared" si="1"/>
        <v>0</v>
      </c>
      <c r="M37" s="259">
        <v>275</v>
      </c>
      <c r="N37" s="259" t="s">
        <v>1153</v>
      </c>
      <c r="O37" s="259" t="s">
        <v>1154</v>
      </c>
      <c r="P37" s="259">
        <v>26380</v>
      </c>
      <c r="Q37" s="243" t="s">
        <v>1547</v>
      </c>
      <c r="R37" s="221" t="b">
        <f t="shared" si="2"/>
        <v>0</v>
      </c>
    </row>
    <row r="38" spans="1:18" ht="15" x14ac:dyDescent="0.25">
      <c r="A38" s="258">
        <v>343</v>
      </c>
      <c r="B38" s="258" t="s">
        <v>1242</v>
      </c>
      <c r="C38" s="258" t="s">
        <v>1244</v>
      </c>
      <c r="D38" s="258">
        <v>21315</v>
      </c>
      <c r="E38" s="243" t="s">
        <v>61</v>
      </c>
      <c r="F38" s="221" t="b">
        <f t="shared" si="0"/>
        <v>0</v>
      </c>
      <c r="G38" s="258">
        <v>708</v>
      </c>
      <c r="H38" s="258" t="s">
        <v>1505</v>
      </c>
      <c r="I38" s="258" t="s">
        <v>1506</v>
      </c>
      <c r="J38" s="258">
        <v>29191</v>
      </c>
      <c r="K38" s="243" t="s">
        <v>1546</v>
      </c>
      <c r="L38" s="221" t="b">
        <f t="shared" si="1"/>
        <v>0</v>
      </c>
      <c r="M38" s="258">
        <v>276</v>
      </c>
      <c r="N38" s="258" t="s">
        <v>1155</v>
      </c>
      <c r="O38" s="258" t="s">
        <v>1157</v>
      </c>
      <c r="P38" s="258">
        <v>22015</v>
      </c>
      <c r="Q38" s="243" t="s">
        <v>1547</v>
      </c>
      <c r="R38" s="221" t="b">
        <f t="shared" si="2"/>
        <v>0</v>
      </c>
    </row>
    <row r="39" spans="1:18" ht="15" x14ac:dyDescent="0.25">
      <c r="A39" s="259">
        <v>486</v>
      </c>
      <c r="B39" s="259" t="s">
        <v>1416</v>
      </c>
      <c r="C39" s="259" t="s">
        <v>1417</v>
      </c>
      <c r="D39" s="259">
        <v>22165</v>
      </c>
      <c r="E39" s="243" t="s">
        <v>61</v>
      </c>
      <c r="F39" s="221" t="b">
        <f t="shared" si="0"/>
        <v>0</v>
      </c>
      <c r="G39" s="259">
        <v>285</v>
      </c>
      <c r="H39" s="259" t="s">
        <v>1171</v>
      </c>
      <c r="I39" s="259" t="s">
        <v>1174</v>
      </c>
      <c r="J39" s="259">
        <v>21275</v>
      </c>
      <c r="K39" s="243" t="s">
        <v>1546</v>
      </c>
      <c r="L39" s="221" t="b">
        <f t="shared" si="1"/>
        <v>0</v>
      </c>
      <c r="M39" s="259">
        <v>279</v>
      </c>
      <c r="N39" s="259" t="s">
        <v>1162</v>
      </c>
      <c r="O39" s="259" t="s">
        <v>1167</v>
      </c>
      <c r="P39" s="259">
        <v>21195</v>
      </c>
      <c r="Q39" s="243" t="s">
        <v>1547</v>
      </c>
      <c r="R39" s="221" t="b">
        <f t="shared" si="2"/>
        <v>0</v>
      </c>
    </row>
    <row r="40" spans="1:18" ht="15" x14ac:dyDescent="0.25">
      <c r="A40" s="258">
        <v>710</v>
      </c>
      <c r="B40" s="258" t="s">
        <v>1511</v>
      </c>
      <c r="C40" s="258" t="s">
        <v>1512</v>
      </c>
      <c r="D40" s="258">
        <v>29194</v>
      </c>
      <c r="E40" s="243" t="s">
        <v>61</v>
      </c>
      <c r="F40" s="221" t="b">
        <f t="shared" si="0"/>
        <v>0</v>
      </c>
      <c r="G40" s="258">
        <v>295</v>
      </c>
      <c r="H40" s="258" t="s">
        <v>1181</v>
      </c>
      <c r="I40" s="258" t="s">
        <v>1185</v>
      </c>
      <c r="J40" s="258">
        <v>21370</v>
      </c>
      <c r="K40" s="243" t="s">
        <v>1546</v>
      </c>
      <c r="L40" s="221" t="b">
        <f t="shared" si="1"/>
        <v>0</v>
      </c>
      <c r="M40" s="258">
        <v>113</v>
      </c>
      <c r="N40" s="258" t="s">
        <v>993</v>
      </c>
      <c r="O40" s="258" t="s">
        <v>997</v>
      </c>
      <c r="P40" s="258">
        <v>20345</v>
      </c>
      <c r="Q40" s="243" t="s">
        <v>1547</v>
      </c>
      <c r="R40" s="221" t="b">
        <f t="shared" si="2"/>
        <v>0</v>
      </c>
    </row>
    <row r="41" spans="1:18" ht="15" x14ac:dyDescent="0.25">
      <c r="A41" s="259">
        <v>71</v>
      </c>
      <c r="B41" s="259" t="s">
        <v>954</v>
      </c>
      <c r="C41" s="259" t="s">
        <v>955</v>
      </c>
      <c r="D41" s="259">
        <v>27765</v>
      </c>
      <c r="E41" s="243" t="s">
        <v>61</v>
      </c>
      <c r="F41" s="221" t="b">
        <f t="shared" si="0"/>
        <v>0</v>
      </c>
      <c r="G41" s="259">
        <v>305</v>
      </c>
      <c r="H41" s="259" t="s">
        <v>1188</v>
      </c>
      <c r="I41" s="259" t="s">
        <v>1189</v>
      </c>
      <c r="J41" s="259">
        <v>23105</v>
      </c>
      <c r="K41" s="243" t="s">
        <v>1546</v>
      </c>
      <c r="L41" s="221" t="b">
        <f t="shared" si="1"/>
        <v>0</v>
      </c>
      <c r="M41" s="259">
        <v>208</v>
      </c>
      <c r="N41" s="259" t="s">
        <v>1077</v>
      </c>
      <c r="O41" s="259" t="s">
        <v>1082</v>
      </c>
      <c r="P41" s="259">
        <v>22425</v>
      </c>
      <c r="Q41" s="243" t="s">
        <v>1547</v>
      </c>
      <c r="R41" s="221" t="b">
        <f t="shared" si="2"/>
        <v>0</v>
      </c>
    </row>
    <row r="42" spans="1:18" ht="15" x14ac:dyDescent="0.25">
      <c r="A42" s="258">
        <v>208</v>
      </c>
      <c r="B42" s="258" t="s">
        <v>1077</v>
      </c>
      <c r="C42" s="258" t="s">
        <v>1083</v>
      </c>
      <c r="D42" s="258">
        <v>22430</v>
      </c>
      <c r="E42" s="243" t="s">
        <v>61</v>
      </c>
      <c r="F42" s="221" t="b">
        <f t="shared" si="0"/>
        <v>0</v>
      </c>
      <c r="G42" s="258">
        <v>306</v>
      </c>
      <c r="H42" s="258" t="s">
        <v>1192</v>
      </c>
      <c r="I42" s="258" t="s">
        <v>1194</v>
      </c>
      <c r="J42" s="258">
        <v>23095</v>
      </c>
      <c r="K42" s="243" t="s">
        <v>1546</v>
      </c>
      <c r="L42" s="221" t="b">
        <f t="shared" si="1"/>
        <v>0</v>
      </c>
      <c r="M42" s="258">
        <v>708</v>
      </c>
      <c r="N42" s="258" t="s">
        <v>1505</v>
      </c>
      <c r="O42" s="258" t="s">
        <v>1507</v>
      </c>
      <c r="P42" s="258">
        <v>29192</v>
      </c>
      <c r="Q42" s="243" t="s">
        <v>1547</v>
      </c>
      <c r="R42" s="221" t="b">
        <f t="shared" si="2"/>
        <v>0</v>
      </c>
    </row>
    <row r="43" spans="1:18" ht="15" x14ac:dyDescent="0.25">
      <c r="A43" s="259">
        <v>555</v>
      </c>
      <c r="B43" s="259" t="s">
        <v>1467</v>
      </c>
      <c r="C43" s="259" t="s">
        <v>1468</v>
      </c>
      <c r="D43" s="259">
        <v>26810</v>
      </c>
      <c r="E43" s="243" t="s">
        <v>61</v>
      </c>
      <c r="F43" s="221" t="b">
        <f t="shared" si="0"/>
        <v>0</v>
      </c>
      <c r="G43" s="259">
        <v>315</v>
      </c>
      <c r="H43" s="259" t="s">
        <v>1196</v>
      </c>
      <c r="I43" s="259" t="s">
        <v>1199</v>
      </c>
      <c r="J43" s="259">
        <v>26640</v>
      </c>
      <c r="K43" s="243" t="s">
        <v>1546</v>
      </c>
      <c r="L43" s="221" t="b">
        <f t="shared" si="1"/>
        <v>0</v>
      </c>
      <c r="M43" s="259">
        <v>285</v>
      </c>
      <c r="N43" s="259" t="s">
        <v>1171</v>
      </c>
      <c r="O43" s="259" t="s">
        <v>1172</v>
      </c>
      <c r="P43" s="259">
        <v>21255</v>
      </c>
      <c r="Q43" s="243" t="s">
        <v>1547</v>
      </c>
      <c r="R43" s="221" t="b">
        <f t="shared" si="2"/>
        <v>0</v>
      </c>
    </row>
    <row r="44" spans="1:18" ht="15" x14ac:dyDescent="0.25">
      <c r="A44" s="258">
        <v>461</v>
      </c>
      <c r="B44" s="258" t="s">
        <v>1382</v>
      </c>
      <c r="C44" s="258" t="s">
        <v>1388</v>
      </c>
      <c r="D44" s="258">
        <v>22695</v>
      </c>
      <c r="E44" s="243" t="s">
        <v>61</v>
      </c>
      <c r="F44" s="221" t="b">
        <f t="shared" si="0"/>
        <v>0</v>
      </c>
      <c r="G44" s="258">
        <v>319</v>
      </c>
      <c r="H44" s="258" t="s">
        <v>1204</v>
      </c>
      <c r="I44" s="258" t="s">
        <v>1208</v>
      </c>
      <c r="J44" s="258">
        <v>20480</v>
      </c>
      <c r="K44" s="243" t="s">
        <v>1546</v>
      </c>
      <c r="L44" s="221" t="b">
        <f t="shared" si="1"/>
        <v>0</v>
      </c>
      <c r="M44" s="258">
        <v>706</v>
      </c>
      <c r="N44" s="258" t="s">
        <v>1503</v>
      </c>
      <c r="O44" s="258" t="s">
        <v>1503</v>
      </c>
      <c r="P44" s="258">
        <v>29189</v>
      </c>
      <c r="Q44" s="243" t="s">
        <v>1547</v>
      </c>
      <c r="R44" s="221" t="b">
        <f t="shared" si="2"/>
        <v>0</v>
      </c>
    </row>
    <row r="45" spans="1:18" ht="15" x14ac:dyDescent="0.25">
      <c r="A45" s="259">
        <v>174</v>
      </c>
      <c r="B45" s="259" t="s">
        <v>1038</v>
      </c>
      <c r="C45" s="259" t="s">
        <v>1042</v>
      </c>
      <c r="D45" s="259">
        <v>22975</v>
      </c>
      <c r="E45" s="243" t="s">
        <v>61</v>
      </c>
      <c r="F45" s="221" t="b">
        <f t="shared" si="0"/>
        <v>0</v>
      </c>
      <c r="G45" s="259">
        <v>733</v>
      </c>
      <c r="H45" s="259" t="s">
        <v>1529</v>
      </c>
      <c r="I45" s="259" t="s">
        <v>1530</v>
      </c>
      <c r="J45" s="259">
        <v>29100</v>
      </c>
      <c r="K45" s="243" t="s">
        <v>1546</v>
      </c>
      <c r="L45" s="221" t="b">
        <f t="shared" si="1"/>
        <v>0</v>
      </c>
      <c r="M45" s="259">
        <v>295</v>
      </c>
      <c r="N45" s="259" t="s">
        <v>1181</v>
      </c>
      <c r="O45" s="259" t="s">
        <v>1184</v>
      </c>
      <c r="P45" s="259">
        <v>21360</v>
      </c>
      <c r="Q45" s="243" t="s">
        <v>1547</v>
      </c>
      <c r="R45" s="221" t="b">
        <f t="shared" si="2"/>
        <v>0</v>
      </c>
    </row>
    <row r="46" spans="1:18" ht="15" x14ac:dyDescent="0.25">
      <c r="A46" s="258">
        <v>174</v>
      </c>
      <c r="B46" s="258" t="s">
        <v>1038</v>
      </c>
      <c r="C46" s="258" t="s">
        <v>1044</v>
      </c>
      <c r="D46" s="258">
        <v>22985</v>
      </c>
      <c r="E46" s="243" t="s">
        <v>61</v>
      </c>
      <c r="F46" s="221" t="b">
        <f t="shared" si="0"/>
        <v>0</v>
      </c>
      <c r="G46" s="258">
        <v>351</v>
      </c>
      <c r="H46" s="258" t="s">
        <v>1249</v>
      </c>
      <c r="I46" s="258" t="s">
        <v>1250</v>
      </c>
      <c r="J46" s="258">
        <v>28375</v>
      </c>
      <c r="K46" s="243" t="s">
        <v>1546</v>
      </c>
      <c r="L46" s="221" t="b">
        <f t="shared" si="1"/>
        <v>0</v>
      </c>
      <c r="M46" s="258">
        <v>719</v>
      </c>
      <c r="N46" s="258" t="s">
        <v>1516</v>
      </c>
      <c r="O46" s="258" t="s">
        <v>1516</v>
      </c>
      <c r="P46" s="258">
        <v>28565</v>
      </c>
      <c r="Q46" s="243" t="s">
        <v>1547</v>
      </c>
      <c r="R46" s="221" t="b">
        <f t="shared" si="2"/>
        <v>0</v>
      </c>
    </row>
    <row r="47" spans="1:18" ht="15" x14ac:dyDescent="0.25">
      <c r="A47" s="259">
        <v>371</v>
      </c>
      <c r="B47" s="259" t="s">
        <v>1289</v>
      </c>
      <c r="C47" s="259" t="s">
        <v>1303</v>
      </c>
      <c r="D47" s="259">
        <v>21930</v>
      </c>
      <c r="E47" s="243" t="s">
        <v>61</v>
      </c>
      <c r="F47" s="221" t="b">
        <f t="shared" si="0"/>
        <v>0</v>
      </c>
      <c r="G47" s="259">
        <v>352</v>
      </c>
      <c r="H47" s="259" t="s">
        <v>1256</v>
      </c>
      <c r="I47" s="259" t="s">
        <v>1257</v>
      </c>
      <c r="J47" s="259">
        <v>26585</v>
      </c>
      <c r="K47" s="243" t="s">
        <v>1546</v>
      </c>
      <c r="L47" s="221" t="b">
        <f t="shared" si="1"/>
        <v>0</v>
      </c>
      <c r="M47" s="259">
        <v>305</v>
      </c>
      <c r="N47" s="259" t="s">
        <v>1188</v>
      </c>
      <c r="O47" s="259" t="s">
        <v>1190</v>
      </c>
      <c r="P47" s="259">
        <v>23110</v>
      </c>
      <c r="Q47" s="243" t="s">
        <v>1547</v>
      </c>
      <c r="R47" s="221" t="b">
        <f t="shared" si="2"/>
        <v>0</v>
      </c>
    </row>
    <row r="48" spans="1:18" ht="15" x14ac:dyDescent="0.25">
      <c r="A48" s="258">
        <v>93</v>
      </c>
      <c r="B48" s="258" t="s">
        <v>961</v>
      </c>
      <c r="C48" s="258" t="s">
        <v>962</v>
      </c>
      <c r="D48" s="258">
        <v>20500</v>
      </c>
      <c r="E48" s="243" t="s">
        <v>61</v>
      </c>
      <c r="F48" s="221" t="b">
        <f t="shared" si="0"/>
        <v>0</v>
      </c>
      <c r="G48" s="258">
        <v>335</v>
      </c>
      <c r="H48" s="258" t="s">
        <v>909</v>
      </c>
      <c r="I48" s="258" t="s">
        <v>1218</v>
      </c>
      <c r="J48" s="258">
        <v>21525</v>
      </c>
      <c r="K48" s="243" t="s">
        <v>1546</v>
      </c>
      <c r="L48" s="221" t="b">
        <f t="shared" si="1"/>
        <v>0</v>
      </c>
      <c r="M48" s="258">
        <v>306</v>
      </c>
      <c r="N48" s="258" t="s">
        <v>1192</v>
      </c>
      <c r="O48" s="258" t="s">
        <v>1195</v>
      </c>
      <c r="P48" s="258">
        <v>23100</v>
      </c>
      <c r="Q48" s="243" t="s">
        <v>1547</v>
      </c>
      <c r="R48" s="221" t="b">
        <f t="shared" si="2"/>
        <v>0</v>
      </c>
    </row>
    <row r="49" spans="1:18" ht="15" x14ac:dyDescent="0.25">
      <c r="A49" s="259">
        <v>95</v>
      </c>
      <c r="B49" s="259" t="s">
        <v>963</v>
      </c>
      <c r="C49" s="259" t="s">
        <v>964</v>
      </c>
      <c r="D49" s="259">
        <v>21140</v>
      </c>
      <c r="E49" s="243" t="s">
        <v>61</v>
      </c>
      <c r="F49" s="221" t="b">
        <f t="shared" si="0"/>
        <v>0</v>
      </c>
      <c r="G49" s="259">
        <v>357</v>
      </c>
      <c r="H49" s="259" t="s">
        <v>1268</v>
      </c>
      <c r="I49" s="259" t="s">
        <v>1269</v>
      </c>
      <c r="J49" s="259">
        <v>21760</v>
      </c>
      <c r="K49" s="243" t="s">
        <v>1546</v>
      </c>
      <c r="L49" s="221" t="b">
        <f t="shared" si="1"/>
        <v>0</v>
      </c>
      <c r="M49" s="259">
        <v>317</v>
      </c>
      <c r="N49" s="259" t="s">
        <v>1200</v>
      </c>
      <c r="O49" s="259" t="s">
        <v>1202</v>
      </c>
      <c r="P49" s="259">
        <v>21445</v>
      </c>
      <c r="Q49" s="243" t="s">
        <v>1547</v>
      </c>
      <c r="R49" s="221" t="b">
        <f t="shared" si="2"/>
        <v>0</v>
      </c>
    </row>
    <row r="50" spans="1:18" ht="15" x14ac:dyDescent="0.25">
      <c r="A50" s="258">
        <v>99</v>
      </c>
      <c r="B50" s="258" t="s">
        <v>965</v>
      </c>
      <c r="C50" s="258" t="s">
        <v>966</v>
      </c>
      <c r="D50" s="258">
        <v>22590</v>
      </c>
      <c r="E50" s="243" t="s">
        <v>61</v>
      </c>
      <c r="F50" s="221" t="b">
        <f t="shared" si="0"/>
        <v>0</v>
      </c>
      <c r="G50" s="258">
        <v>363</v>
      </c>
      <c r="H50" s="258" t="s">
        <v>1277</v>
      </c>
      <c r="I50" s="258" t="s">
        <v>1278</v>
      </c>
      <c r="J50" s="258">
        <v>26980</v>
      </c>
      <c r="K50" s="243" t="s">
        <v>1546</v>
      </c>
      <c r="L50" s="221" t="b">
        <f t="shared" si="1"/>
        <v>0</v>
      </c>
      <c r="M50" s="258">
        <v>319</v>
      </c>
      <c r="N50" s="258" t="s">
        <v>1204</v>
      </c>
      <c r="O50" s="258" t="s">
        <v>1210</v>
      </c>
      <c r="P50" s="258">
        <v>20490</v>
      </c>
      <c r="Q50" s="243" t="s">
        <v>1547</v>
      </c>
      <c r="R50" s="221" t="b">
        <f t="shared" si="2"/>
        <v>0</v>
      </c>
    </row>
    <row r="51" spans="1:18" ht="15" x14ac:dyDescent="0.25">
      <c r="A51" s="259">
        <v>111</v>
      </c>
      <c r="B51" s="259" t="s">
        <v>973</v>
      </c>
      <c r="C51" s="259" t="s">
        <v>980</v>
      </c>
      <c r="D51" s="259">
        <v>20305</v>
      </c>
      <c r="E51" s="243" t="s">
        <v>61</v>
      </c>
      <c r="F51" s="221" t="b">
        <f t="shared" si="0"/>
        <v>0</v>
      </c>
      <c r="G51" s="259">
        <v>369</v>
      </c>
      <c r="H51" s="259" t="s">
        <v>1286</v>
      </c>
      <c r="I51" s="259" t="s">
        <v>1633</v>
      </c>
      <c r="J51" s="259">
        <v>26960</v>
      </c>
      <c r="K51" s="243" t="s">
        <v>1546</v>
      </c>
      <c r="L51" s="221" t="b">
        <f t="shared" si="1"/>
        <v>0</v>
      </c>
      <c r="M51" s="259">
        <v>733</v>
      </c>
      <c r="N51" s="259" t="s">
        <v>1529</v>
      </c>
      <c r="O51" s="259" t="s">
        <v>1532</v>
      </c>
      <c r="P51" s="259">
        <v>29160</v>
      </c>
      <c r="Q51" s="243" t="s">
        <v>1547</v>
      </c>
      <c r="R51" s="221" t="b">
        <f t="shared" si="2"/>
        <v>0</v>
      </c>
    </row>
    <row r="52" spans="1:18" ht="15" x14ac:dyDescent="0.25">
      <c r="A52" s="259">
        <v>101</v>
      </c>
      <c r="B52" s="259" t="s">
        <v>967</v>
      </c>
      <c r="C52" s="259" t="s">
        <v>1567</v>
      </c>
      <c r="D52" s="259">
        <v>29184</v>
      </c>
      <c r="E52" s="243" t="s">
        <v>61</v>
      </c>
      <c r="F52" s="221" t="b">
        <f t="shared" si="0"/>
        <v>0</v>
      </c>
      <c r="G52" s="258">
        <v>199</v>
      </c>
      <c r="H52" s="258" t="s">
        <v>1068</v>
      </c>
      <c r="I52" s="258" t="s">
        <v>1069</v>
      </c>
      <c r="J52" s="258">
        <v>26820</v>
      </c>
      <c r="K52" s="243" t="s">
        <v>1546</v>
      </c>
      <c r="L52" s="221" t="b">
        <f t="shared" si="1"/>
        <v>0</v>
      </c>
      <c r="M52" s="258">
        <v>733</v>
      </c>
      <c r="N52" s="258" t="s">
        <v>1529</v>
      </c>
      <c r="O52" s="258" t="s">
        <v>1531</v>
      </c>
      <c r="P52" s="258">
        <v>29060</v>
      </c>
      <c r="Q52" s="243" t="s">
        <v>1547</v>
      </c>
      <c r="R52" s="221" t="b">
        <f t="shared" si="2"/>
        <v>0</v>
      </c>
    </row>
    <row r="53" spans="1:18" ht="15" x14ac:dyDescent="0.25">
      <c r="A53" s="258">
        <v>17</v>
      </c>
      <c r="B53" s="258" t="s">
        <v>919</v>
      </c>
      <c r="C53" s="258" t="s">
        <v>921</v>
      </c>
      <c r="D53" s="258">
        <v>21750</v>
      </c>
      <c r="E53" s="243" t="s">
        <v>1568</v>
      </c>
      <c r="F53" s="221" t="b">
        <f t="shared" si="0"/>
        <v>0</v>
      </c>
      <c r="G53" s="259">
        <v>388</v>
      </c>
      <c r="H53" s="259" t="s">
        <v>1551</v>
      </c>
      <c r="I53" s="259" t="s">
        <v>1316</v>
      </c>
      <c r="J53" s="259">
        <v>26680</v>
      </c>
      <c r="K53" s="243" t="s">
        <v>1546</v>
      </c>
      <c r="L53" s="221" t="b">
        <f t="shared" si="1"/>
        <v>0</v>
      </c>
      <c r="M53" s="259">
        <v>335</v>
      </c>
      <c r="N53" s="259" t="s">
        <v>909</v>
      </c>
      <c r="O53" s="259" t="s">
        <v>1216</v>
      </c>
      <c r="P53" s="259">
        <v>21510</v>
      </c>
      <c r="Q53" s="243" t="s">
        <v>1547</v>
      </c>
      <c r="R53" s="221" t="b">
        <f t="shared" si="2"/>
        <v>0</v>
      </c>
    </row>
    <row r="54" spans="1:18" ht="15" x14ac:dyDescent="0.25">
      <c r="A54" s="259">
        <v>105</v>
      </c>
      <c r="B54" s="259" t="s">
        <v>972</v>
      </c>
      <c r="C54" s="259" t="s">
        <v>1621</v>
      </c>
      <c r="D54" s="259">
        <v>20195</v>
      </c>
      <c r="E54" s="243" t="s">
        <v>61</v>
      </c>
      <c r="F54" s="221" t="b">
        <f t="shared" si="0"/>
        <v>0</v>
      </c>
      <c r="G54" s="258">
        <v>401</v>
      </c>
      <c r="H54" s="258" t="s">
        <v>1327</v>
      </c>
      <c r="I54" s="258" t="s">
        <v>1328</v>
      </c>
      <c r="J54" s="258">
        <v>26970</v>
      </c>
      <c r="K54" s="243" t="s">
        <v>1546</v>
      </c>
      <c r="L54" s="221" t="b">
        <f t="shared" si="1"/>
        <v>0</v>
      </c>
      <c r="M54" s="258">
        <v>335</v>
      </c>
      <c r="N54" s="258" t="s">
        <v>909</v>
      </c>
      <c r="O54" s="258" t="s">
        <v>1215</v>
      </c>
      <c r="P54" s="258">
        <v>21505</v>
      </c>
      <c r="Q54" s="243" t="s">
        <v>1547</v>
      </c>
      <c r="R54" s="221" t="b">
        <f t="shared" si="2"/>
        <v>0</v>
      </c>
    </row>
    <row r="55" spans="1:18" ht="15" x14ac:dyDescent="0.25">
      <c r="A55" s="258">
        <v>743</v>
      </c>
      <c r="B55" s="258" t="s">
        <v>1541</v>
      </c>
      <c r="C55" s="258" t="s">
        <v>1622</v>
      </c>
      <c r="D55" s="258">
        <v>29166</v>
      </c>
      <c r="E55" s="243" t="s">
        <v>61</v>
      </c>
      <c r="F55" s="221" t="b">
        <f t="shared" si="0"/>
        <v>0</v>
      </c>
      <c r="G55" s="259">
        <v>703</v>
      </c>
      <c r="H55" s="259" t="s">
        <v>1498</v>
      </c>
      <c r="I55" s="259" t="s">
        <v>1499</v>
      </c>
      <c r="J55" s="259">
        <v>28505</v>
      </c>
      <c r="K55" s="243" t="s">
        <v>1546</v>
      </c>
      <c r="L55" s="221" t="b">
        <f t="shared" si="1"/>
        <v>0</v>
      </c>
      <c r="M55" s="259">
        <v>335</v>
      </c>
      <c r="N55" s="259" t="s">
        <v>909</v>
      </c>
      <c r="O55" s="259" t="s">
        <v>1233</v>
      </c>
      <c r="P55" s="259">
        <v>29085</v>
      </c>
      <c r="Q55" s="243" t="s">
        <v>1547</v>
      </c>
      <c r="R55" s="221" t="b">
        <f t="shared" si="2"/>
        <v>0</v>
      </c>
    </row>
    <row r="56" spans="1:18" ht="15" x14ac:dyDescent="0.25">
      <c r="A56" s="259">
        <v>113</v>
      </c>
      <c r="B56" s="259" t="s">
        <v>993</v>
      </c>
      <c r="C56" s="259" t="s">
        <v>996</v>
      </c>
      <c r="D56" s="259">
        <v>20340</v>
      </c>
      <c r="E56" s="243" t="s">
        <v>61</v>
      </c>
      <c r="F56" s="221" t="b">
        <f t="shared" si="0"/>
        <v>0</v>
      </c>
      <c r="G56" s="258">
        <v>359</v>
      </c>
      <c r="H56" s="258" t="s">
        <v>1273</v>
      </c>
      <c r="I56" s="258" t="s">
        <v>1274</v>
      </c>
      <c r="J56" s="258">
        <v>26540</v>
      </c>
      <c r="K56" s="243" t="s">
        <v>1546</v>
      </c>
      <c r="L56" s="221" t="b">
        <f t="shared" si="1"/>
        <v>0</v>
      </c>
      <c r="M56" s="258">
        <v>335</v>
      </c>
      <c r="N56" s="258" t="s">
        <v>909</v>
      </c>
      <c r="O56" s="258" t="s">
        <v>1222</v>
      </c>
      <c r="P56" s="258">
        <v>21555</v>
      </c>
      <c r="Q56" s="243" t="s">
        <v>1547</v>
      </c>
      <c r="R56" s="221" t="b">
        <f t="shared" si="2"/>
        <v>0</v>
      </c>
    </row>
    <row r="57" spans="1:18" ht="15" x14ac:dyDescent="0.25">
      <c r="A57" s="258">
        <v>115</v>
      </c>
      <c r="B57" s="258" t="s">
        <v>998</v>
      </c>
      <c r="C57" s="258" t="s">
        <v>999</v>
      </c>
      <c r="D57" s="258">
        <v>20175</v>
      </c>
      <c r="E57" s="243" t="s">
        <v>61</v>
      </c>
      <c r="F57" s="221" t="b">
        <f t="shared" si="0"/>
        <v>0</v>
      </c>
      <c r="G57" s="259">
        <v>423</v>
      </c>
      <c r="H57" s="259" t="s">
        <v>1341</v>
      </c>
      <c r="I57" s="259" t="s">
        <v>1343</v>
      </c>
      <c r="J57" s="259">
        <v>22790</v>
      </c>
      <c r="K57" s="243" t="s">
        <v>1546</v>
      </c>
      <c r="L57" s="221" t="b">
        <f t="shared" si="1"/>
        <v>0</v>
      </c>
      <c r="M57" s="259">
        <v>342</v>
      </c>
      <c r="N57" s="259" t="s">
        <v>1238</v>
      </c>
      <c r="O57" s="259" t="s">
        <v>1240</v>
      </c>
      <c r="P57" s="259">
        <v>23050</v>
      </c>
      <c r="Q57" s="243" t="s">
        <v>1547</v>
      </c>
      <c r="R57" s="221" t="b">
        <f t="shared" si="2"/>
        <v>0</v>
      </c>
    </row>
    <row r="58" spans="1:18" ht="15" x14ac:dyDescent="0.25">
      <c r="A58" s="259">
        <v>208</v>
      </c>
      <c r="B58" s="259" t="s">
        <v>1077</v>
      </c>
      <c r="C58" s="259" t="s">
        <v>1085</v>
      </c>
      <c r="D58" s="259">
        <v>27515</v>
      </c>
      <c r="E58" s="243" t="s">
        <v>61</v>
      </c>
      <c r="F58" s="221" t="b">
        <f t="shared" si="0"/>
        <v>0</v>
      </c>
      <c r="G58" s="258">
        <v>371</v>
      </c>
      <c r="H58" s="258" t="s">
        <v>1289</v>
      </c>
      <c r="I58" s="258" t="s">
        <v>1290</v>
      </c>
      <c r="J58" s="258">
        <v>21825</v>
      </c>
      <c r="K58" s="243" t="s">
        <v>1546</v>
      </c>
      <c r="L58" s="221" t="b">
        <f t="shared" si="1"/>
        <v>0</v>
      </c>
      <c r="M58" s="258">
        <v>343</v>
      </c>
      <c r="N58" s="258" t="s">
        <v>1242</v>
      </c>
      <c r="O58" s="258" t="s">
        <v>1243</v>
      </c>
      <c r="P58" s="258">
        <v>21305</v>
      </c>
      <c r="Q58" s="243" t="s">
        <v>1547</v>
      </c>
      <c r="R58" s="221" t="b">
        <f t="shared" si="2"/>
        <v>0</v>
      </c>
    </row>
    <row r="59" spans="1:18" ht="15" x14ac:dyDescent="0.25">
      <c r="A59" s="258">
        <v>117</v>
      </c>
      <c r="B59" s="258" t="s">
        <v>1000</v>
      </c>
      <c r="C59" s="258" t="s">
        <v>1001</v>
      </c>
      <c r="D59" s="258">
        <v>21960</v>
      </c>
      <c r="E59" s="243" t="s">
        <v>61</v>
      </c>
      <c r="F59" s="221" t="b">
        <f t="shared" si="0"/>
        <v>0</v>
      </c>
      <c r="G59" s="259">
        <v>439</v>
      </c>
      <c r="H59" s="259" t="s">
        <v>1361</v>
      </c>
      <c r="I59" s="259" t="s">
        <v>1363</v>
      </c>
      <c r="J59" s="259">
        <v>26550</v>
      </c>
      <c r="K59" s="243" t="s">
        <v>1546</v>
      </c>
      <c r="L59" s="221" t="b">
        <f t="shared" si="1"/>
        <v>0</v>
      </c>
      <c r="M59" s="259">
        <v>351</v>
      </c>
      <c r="N59" s="259" t="s">
        <v>1249</v>
      </c>
      <c r="O59" s="259" t="s">
        <v>1255</v>
      </c>
      <c r="P59" s="259">
        <v>21040</v>
      </c>
      <c r="Q59" s="243" t="s">
        <v>1547</v>
      </c>
      <c r="R59" s="221" t="b">
        <f t="shared" si="2"/>
        <v>0</v>
      </c>
    </row>
    <row r="60" spans="1:18" ht="15" x14ac:dyDescent="0.25">
      <c r="A60" s="259">
        <v>363</v>
      </c>
      <c r="B60" s="259" t="s">
        <v>1277</v>
      </c>
      <c r="C60" s="259" t="s">
        <v>1623</v>
      </c>
      <c r="D60" s="259">
        <v>21715</v>
      </c>
      <c r="E60" s="243" t="s">
        <v>61</v>
      </c>
      <c r="F60" s="221" t="b">
        <f t="shared" si="0"/>
        <v>0</v>
      </c>
      <c r="G60" s="258">
        <v>449</v>
      </c>
      <c r="H60" s="258" t="s">
        <v>1369</v>
      </c>
      <c r="I60" s="258" t="s">
        <v>1370</v>
      </c>
      <c r="J60" s="258">
        <v>22510</v>
      </c>
      <c r="K60" s="243" t="s">
        <v>1546</v>
      </c>
      <c r="L60" s="221" t="b">
        <f t="shared" si="1"/>
        <v>0</v>
      </c>
      <c r="M60" s="258">
        <v>352</v>
      </c>
      <c r="N60" s="258" t="s">
        <v>1256</v>
      </c>
      <c r="O60" s="258" t="s">
        <v>1261</v>
      </c>
      <c r="P60" s="258">
        <v>22195</v>
      </c>
      <c r="Q60" s="243" t="s">
        <v>1547</v>
      </c>
      <c r="R60" s="221" t="b">
        <f t="shared" si="2"/>
        <v>0</v>
      </c>
    </row>
    <row r="61" spans="1:18" ht="15" x14ac:dyDescent="0.25">
      <c r="A61" s="258">
        <v>388</v>
      </c>
      <c r="B61" s="258" t="s">
        <v>1551</v>
      </c>
      <c r="C61" s="258" t="s">
        <v>1319</v>
      </c>
      <c r="D61" s="258">
        <v>20095</v>
      </c>
      <c r="E61" s="243" t="s">
        <v>61</v>
      </c>
      <c r="F61" s="221" t="b">
        <f t="shared" si="0"/>
        <v>0</v>
      </c>
      <c r="G61" s="259">
        <v>450</v>
      </c>
      <c r="H61" s="259" t="s">
        <v>1375</v>
      </c>
      <c r="I61" s="259" t="s">
        <v>1377</v>
      </c>
      <c r="J61" s="259">
        <v>26990</v>
      </c>
      <c r="K61" s="243" t="s">
        <v>1546</v>
      </c>
      <c r="L61" s="221" t="b">
        <f t="shared" si="1"/>
        <v>0</v>
      </c>
      <c r="M61" s="259">
        <v>357</v>
      </c>
      <c r="N61" s="259" t="s">
        <v>1268</v>
      </c>
      <c r="O61" s="259" t="s">
        <v>1270</v>
      </c>
      <c r="P61" s="259">
        <v>21765</v>
      </c>
      <c r="Q61" s="243" t="s">
        <v>1547</v>
      </c>
      <c r="R61" s="221" t="b">
        <f t="shared" si="2"/>
        <v>0</v>
      </c>
    </row>
    <row r="62" spans="1:18" ht="15" x14ac:dyDescent="0.25">
      <c r="A62" s="259">
        <v>476</v>
      </c>
      <c r="B62" s="259" t="s">
        <v>1409</v>
      </c>
      <c r="C62" s="259" t="s">
        <v>1411</v>
      </c>
      <c r="D62" s="259">
        <v>20625</v>
      </c>
      <c r="E62" s="243" t="s">
        <v>61</v>
      </c>
      <c r="F62" s="221" t="b">
        <f t="shared" si="0"/>
        <v>0</v>
      </c>
      <c r="G62" s="258">
        <v>461</v>
      </c>
      <c r="H62" s="258" t="s">
        <v>1382</v>
      </c>
      <c r="I62" s="258" t="s">
        <v>1390</v>
      </c>
      <c r="J62" s="258">
        <v>22705</v>
      </c>
      <c r="K62" s="243" t="s">
        <v>1546</v>
      </c>
      <c r="L62" s="221" t="b">
        <f t="shared" si="1"/>
        <v>0</v>
      </c>
      <c r="M62" s="258">
        <v>363</v>
      </c>
      <c r="N62" s="258" t="s">
        <v>1277</v>
      </c>
      <c r="O62" s="258" t="s">
        <v>1279</v>
      </c>
      <c r="P62" s="258">
        <v>21700</v>
      </c>
      <c r="Q62" s="243" t="s">
        <v>1547</v>
      </c>
      <c r="R62" s="221" t="b">
        <f t="shared" si="2"/>
        <v>0</v>
      </c>
    </row>
    <row r="63" spans="1:18" ht="15" x14ac:dyDescent="0.25">
      <c r="A63" s="258">
        <v>534</v>
      </c>
      <c r="B63" s="258" t="s">
        <v>1449</v>
      </c>
      <c r="C63" s="258" t="s">
        <v>1452</v>
      </c>
      <c r="D63" s="258">
        <v>22745</v>
      </c>
      <c r="E63" s="243" t="s">
        <v>61</v>
      </c>
      <c r="F63" s="221" t="b">
        <f t="shared" si="0"/>
        <v>0</v>
      </c>
      <c r="G63" s="259">
        <v>41</v>
      </c>
      <c r="H63" s="259" t="s">
        <v>938</v>
      </c>
      <c r="I63" s="259" t="s">
        <v>943</v>
      </c>
      <c r="J63" s="259">
        <v>28560</v>
      </c>
      <c r="K63" s="243" t="s">
        <v>1546</v>
      </c>
      <c r="L63" s="221" t="b">
        <f t="shared" si="1"/>
        <v>0</v>
      </c>
      <c r="M63" s="259">
        <v>369</v>
      </c>
      <c r="N63" s="259" t="s">
        <v>1286</v>
      </c>
      <c r="O63" s="259" t="s">
        <v>1288</v>
      </c>
      <c r="P63" s="259">
        <v>22120</v>
      </c>
      <c r="Q63" s="243" t="s">
        <v>1547</v>
      </c>
      <c r="R63" s="221" t="b">
        <f t="shared" si="2"/>
        <v>0</v>
      </c>
    </row>
    <row r="64" spans="1:18" ht="15" x14ac:dyDescent="0.25">
      <c r="A64" s="259">
        <v>127</v>
      </c>
      <c r="B64" s="259" t="s">
        <v>1002</v>
      </c>
      <c r="C64" s="259" t="s">
        <v>1003</v>
      </c>
      <c r="D64" s="259">
        <v>22595</v>
      </c>
      <c r="E64" s="243" t="s">
        <v>61</v>
      </c>
      <c r="F64" s="221" t="b">
        <f t="shared" si="0"/>
        <v>0</v>
      </c>
      <c r="G64" s="258">
        <v>111</v>
      </c>
      <c r="H64" s="258" t="s">
        <v>973</v>
      </c>
      <c r="I64" s="258" t="s">
        <v>978</v>
      </c>
      <c r="J64" s="258">
        <v>20270</v>
      </c>
      <c r="K64" s="243" t="s">
        <v>1546</v>
      </c>
      <c r="L64" s="221" t="b">
        <f t="shared" si="1"/>
        <v>0</v>
      </c>
      <c r="M64" s="258">
        <v>371</v>
      </c>
      <c r="N64" s="258" t="s">
        <v>1289</v>
      </c>
      <c r="O64" s="258" t="s">
        <v>1306</v>
      </c>
      <c r="P64" s="258">
        <v>27960</v>
      </c>
      <c r="Q64" s="243" t="s">
        <v>1547</v>
      </c>
      <c r="R64" s="221" t="b">
        <f t="shared" si="2"/>
        <v>0</v>
      </c>
    </row>
    <row r="65" spans="1:18" ht="15" x14ac:dyDescent="0.25">
      <c r="A65" s="258">
        <v>131</v>
      </c>
      <c r="B65" s="258" t="s">
        <v>1004</v>
      </c>
      <c r="C65" s="258" t="s">
        <v>1569</v>
      </c>
      <c r="D65" s="258">
        <v>29156</v>
      </c>
      <c r="E65" s="243" t="s">
        <v>61</v>
      </c>
      <c r="F65" s="221" t="b">
        <f t="shared" si="0"/>
        <v>0</v>
      </c>
      <c r="G65" s="259">
        <v>476</v>
      </c>
      <c r="H65" s="259" t="s">
        <v>1409</v>
      </c>
      <c r="I65" s="259" t="s">
        <v>1412</v>
      </c>
      <c r="J65" s="259">
        <v>20630</v>
      </c>
      <c r="K65" s="243" t="s">
        <v>1546</v>
      </c>
      <c r="L65" s="221" t="b">
        <f t="shared" si="1"/>
        <v>0</v>
      </c>
      <c r="M65" s="259">
        <v>371</v>
      </c>
      <c r="N65" s="259" t="s">
        <v>1289</v>
      </c>
      <c r="O65" s="259" t="s">
        <v>1295</v>
      </c>
      <c r="P65" s="259">
        <v>21860</v>
      </c>
      <c r="Q65" s="243" t="s">
        <v>1547</v>
      </c>
      <c r="R65" s="221" t="b">
        <f t="shared" si="2"/>
        <v>0</v>
      </c>
    </row>
    <row r="66" spans="1:18" ht="15" x14ac:dyDescent="0.25">
      <c r="A66" s="258">
        <v>131</v>
      </c>
      <c r="B66" s="258" t="s">
        <v>1004</v>
      </c>
      <c r="C66" s="258" t="s">
        <v>1008</v>
      </c>
      <c r="D66" s="258">
        <v>20380</v>
      </c>
      <c r="E66" s="243" t="s">
        <v>61</v>
      </c>
      <c r="F66" s="221" t="b">
        <f t="shared" si="0"/>
        <v>0</v>
      </c>
      <c r="G66" s="258">
        <v>491</v>
      </c>
      <c r="H66" s="258" t="s">
        <v>1421</v>
      </c>
      <c r="I66" s="258" t="s">
        <v>1422</v>
      </c>
      <c r="J66" s="258">
        <v>22830</v>
      </c>
      <c r="K66" s="243" t="s">
        <v>1546</v>
      </c>
      <c r="L66" s="221" t="b">
        <f t="shared" si="1"/>
        <v>0</v>
      </c>
      <c r="M66" s="258">
        <v>388</v>
      </c>
      <c r="N66" s="258" t="s">
        <v>1551</v>
      </c>
      <c r="O66" s="258" t="s">
        <v>1317</v>
      </c>
      <c r="P66" s="258">
        <v>20085</v>
      </c>
      <c r="Q66" s="243" t="s">
        <v>1547</v>
      </c>
      <c r="R66" s="221" t="b">
        <f t="shared" si="2"/>
        <v>0</v>
      </c>
    </row>
    <row r="67" spans="1:18" ht="15" x14ac:dyDescent="0.25">
      <c r="A67" s="259">
        <v>101</v>
      </c>
      <c r="B67" s="259" t="s">
        <v>967</v>
      </c>
      <c r="C67" s="259" t="s">
        <v>971</v>
      </c>
      <c r="D67" s="259">
        <v>20165</v>
      </c>
      <c r="E67" s="243" t="s">
        <v>1568</v>
      </c>
      <c r="F67" s="221" t="b">
        <f t="shared" ref="F67:F130" si="3">D67=D68</f>
        <v>0</v>
      </c>
      <c r="G67" s="259">
        <v>112</v>
      </c>
      <c r="H67" s="259" t="s">
        <v>981</v>
      </c>
      <c r="I67" s="259" t="s">
        <v>990</v>
      </c>
      <c r="J67" s="259">
        <v>22295</v>
      </c>
      <c r="K67" s="243" t="s">
        <v>1546</v>
      </c>
      <c r="L67" s="221" t="b">
        <f t="shared" si="1"/>
        <v>0</v>
      </c>
      <c r="M67" s="259">
        <v>399</v>
      </c>
      <c r="N67" s="259" t="s">
        <v>1323</v>
      </c>
      <c r="O67" s="259" t="s">
        <v>1325</v>
      </c>
      <c r="P67" s="259">
        <v>23115</v>
      </c>
      <c r="Q67" s="243" t="s">
        <v>1547</v>
      </c>
      <c r="R67" s="221" t="b">
        <f t="shared" si="2"/>
        <v>0</v>
      </c>
    </row>
    <row r="68" spans="1:18" ht="15" x14ac:dyDescent="0.25">
      <c r="A68" s="258">
        <v>363</v>
      </c>
      <c r="B68" s="258" t="s">
        <v>1277</v>
      </c>
      <c r="C68" s="258" t="s">
        <v>1281</v>
      </c>
      <c r="D68" s="258">
        <v>21665</v>
      </c>
      <c r="E68" s="243" t="s">
        <v>61</v>
      </c>
      <c r="F68" s="221" t="b">
        <f t="shared" si="3"/>
        <v>0</v>
      </c>
      <c r="G68" s="258">
        <v>335</v>
      </c>
      <c r="H68" s="258" t="s">
        <v>909</v>
      </c>
      <c r="I68" s="258" t="s">
        <v>1225</v>
      </c>
      <c r="J68" s="258">
        <v>21575</v>
      </c>
      <c r="K68" s="243" t="s">
        <v>1546</v>
      </c>
      <c r="L68" s="221" t="b">
        <f t="shared" ref="L68:L77" si="4">I68=I69</f>
        <v>0</v>
      </c>
      <c r="M68" s="258">
        <v>401</v>
      </c>
      <c r="N68" s="258" t="s">
        <v>1327</v>
      </c>
      <c r="O68" s="258" t="s">
        <v>1329</v>
      </c>
      <c r="P68" s="258">
        <v>21985</v>
      </c>
      <c r="Q68" s="243" t="s">
        <v>1547</v>
      </c>
      <c r="R68" s="221" t="b">
        <f t="shared" ref="R68:R98" si="5">P68=P69</f>
        <v>0</v>
      </c>
    </row>
    <row r="69" spans="1:18" ht="15" x14ac:dyDescent="0.25">
      <c r="A69" s="259">
        <v>267</v>
      </c>
      <c r="B69" s="259" t="s">
        <v>1135</v>
      </c>
      <c r="C69" s="259" t="s">
        <v>1136</v>
      </c>
      <c r="D69" s="259">
        <v>21045</v>
      </c>
      <c r="E69" s="243" t="s">
        <v>61</v>
      </c>
      <c r="F69" s="221" t="b">
        <f t="shared" si="3"/>
        <v>0</v>
      </c>
      <c r="G69" s="259">
        <v>515</v>
      </c>
      <c r="H69" s="259" t="s">
        <v>1442</v>
      </c>
      <c r="I69" s="259" t="s">
        <v>1552</v>
      </c>
      <c r="J69" s="259">
        <v>26965</v>
      </c>
      <c r="K69" s="243" t="s">
        <v>1546</v>
      </c>
      <c r="L69" s="221" t="b">
        <f t="shared" si="4"/>
        <v>0</v>
      </c>
      <c r="M69" s="259">
        <v>740</v>
      </c>
      <c r="N69" s="259" t="s">
        <v>1535</v>
      </c>
      <c r="O69" s="259" t="s">
        <v>1535</v>
      </c>
      <c r="P69" s="259">
        <v>29105</v>
      </c>
      <c r="Q69" s="243" t="s">
        <v>1547</v>
      </c>
      <c r="R69" s="221" t="b">
        <f t="shared" si="5"/>
        <v>0</v>
      </c>
    </row>
    <row r="70" spans="1:18" ht="15" x14ac:dyDescent="0.25">
      <c r="A70" s="258">
        <v>473</v>
      </c>
      <c r="B70" s="258" t="s">
        <v>1401</v>
      </c>
      <c r="C70" s="258" t="s">
        <v>1408</v>
      </c>
      <c r="D70" s="258">
        <v>22895</v>
      </c>
      <c r="E70" s="243" t="s">
        <v>61</v>
      </c>
      <c r="F70" s="221" t="b">
        <f t="shared" si="3"/>
        <v>0</v>
      </c>
      <c r="G70" s="258">
        <v>534</v>
      </c>
      <c r="H70" s="258" t="s">
        <v>1449</v>
      </c>
      <c r="I70" s="258" t="s">
        <v>1453</v>
      </c>
      <c r="J70" s="258">
        <v>22760</v>
      </c>
      <c r="K70" s="243" t="s">
        <v>1546</v>
      </c>
      <c r="L70" s="221" t="b">
        <f t="shared" si="4"/>
        <v>0</v>
      </c>
      <c r="M70" s="258">
        <v>703</v>
      </c>
      <c r="N70" s="258" t="s">
        <v>1498</v>
      </c>
      <c r="O70" s="258" t="s">
        <v>1500</v>
      </c>
      <c r="P70" s="258">
        <v>28395</v>
      </c>
      <c r="Q70" s="243" t="s">
        <v>1547</v>
      </c>
      <c r="R70" s="221" t="b">
        <f t="shared" si="5"/>
        <v>0</v>
      </c>
    </row>
    <row r="71" spans="1:18" ht="15" x14ac:dyDescent="0.25">
      <c r="A71" s="259">
        <v>371</v>
      </c>
      <c r="B71" s="259" t="s">
        <v>1289</v>
      </c>
      <c r="C71" s="259" t="s">
        <v>1291</v>
      </c>
      <c r="D71" s="259">
        <v>21835</v>
      </c>
      <c r="E71" s="243" t="s">
        <v>61</v>
      </c>
      <c r="F71" s="221" t="b">
        <f t="shared" si="3"/>
        <v>0</v>
      </c>
      <c r="G71" s="259">
        <v>555</v>
      </c>
      <c r="H71" s="259" t="s">
        <v>1467</v>
      </c>
      <c r="I71" s="259" t="s">
        <v>1469</v>
      </c>
      <c r="J71" s="259">
        <v>20720</v>
      </c>
      <c r="K71" s="243" t="s">
        <v>1546</v>
      </c>
      <c r="L71" s="221" t="b">
        <f t="shared" si="4"/>
        <v>0</v>
      </c>
      <c r="M71" s="259">
        <v>359</v>
      </c>
      <c r="N71" s="259" t="s">
        <v>1273</v>
      </c>
      <c r="O71" s="259" t="s">
        <v>1275</v>
      </c>
      <c r="P71" s="259">
        <v>22070</v>
      </c>
      <c r="Q71" s="243" t="s">
        <v>1547</v>
      </c>
      <c r="R71" s="221" t="b">
        <f t="shared" si="5"/>
        <v>0</v>
      </c>
    </row>
    <row r="72" spans="1:18" ht="15" x14ac:dyDescent="0.25">
      <c r="A72" s="258">
        <v>112</v>
      </c>
      <c r="B72" s="258" t="s">
        <v>981</v>
      </c>
      <c r="C72" s="258" t="s">
        <v>985</v>
      </c>
      <c r="D72" s="258">
        <v>22230</v>
      </c>
      <c r="E72" s="243" t="s">
        <v>61</v>
      </c>
      <c r="F72" s="221" t="b">
        <f t="shared" si="3"/>
        <v>0</v>
      </c>
      <c r="G72" s="258">
        <v>131</v>
      </c>
      <c r="H72" s="258" t="s">
        <v>1004</v>
      </c>
      <c r="I72" s="258" t="s">
        <v>1005</v>
      </c>
      <c r="J72" s="258">
        <v>27065</v>
      </c>
      <c r="K72" s="243" t="s">
        <v>1546</v>
      </c>
      <c r="L72" s="221" t="b">
        <f t="shared" si="4"/>
        <v>0</v>
      </c>
      <c r="M72" s="258">
        <v>423</v>
      </c>
      <c r="N72" s="258" t="s">
        <v>1341</v>
      </c>
      <c r="O72" s="258" t="s">
        <v>1344</v>
      </c>
      <c r="P72" s="258">
        <v>22800</v>
      </c>
      <c r="Q72" s="243" t="s">
        <v>1547</v>
      </c>
      <c r="R72" s="221" t="b">
        <f t="shared" si="5"/>
        <v>0</v>
      </c>
    </row>
    <row r="73" spans="1:18" ht="15" x14ac:dyDescent="0.25">
      <c r="A73" s="259">
        <v>149</v>
      </c>
      <c r="B73" s="259" t="s">
        <v>1021</v>
      </c>
      <c r="C73" s="259" t="s">
        <v>1022</v>
      </c>
      <c r="D73" s="259">
        <v>20685</v>
      </c>
      <c r="E73" s="243" t="s">
        <v>61</v>
      </c>
      <c r="F73" s="221" t="b">
        <f t="shared" si="3"/>
        <v>0</v>
      </c>
      <c r="G73" s="259">
        <v>572</v>
      </c>
      <c r="H73" s="259" t="s">
        <v>1478</v>
      </c>
      <c r="I73" s="259" t="s">
        <v>1482</v>
      </c>
      <c r="J73" s="259">
        <v>26955</v>
      </c>
      <c r="K73" s="243" t="s">
        <v>1546</v>
      </c>
      <c r="L73" s="221" t="b">
        <f t="shared" si="4"/>
        <v>0</v>
      </c>
      <c r="M73" s="259">
        <v>728</v>
      </c>
      <c r="N73" s="259" t="s">
        <v>1525</v>
      </c>
      <c r="O73" s="259" t="s">
        <v>1525</v>
      </c>
      <c r="P73" s="259">
        <v>29035</v>
      </c>
      <c r="Q73" s="243" t="s">
        <v>1547</v>
      </c>
      <c r="R73" s="221" t="b">
        <f t="shared" si="5"/>
        <v>0</v>
      </c>
    </row>
    <row r="74" spans="1:18" ht="15" x14ac:dyDescent="0.25">
      <c r="A74" s="258">
        <v>33</v>
      </c>
      <c r="B74" s="258" t="s">
        <v>930</v>
      </c>
      <c r="C74" s="258" t="s">
        <v>933</v>
      </c>
      <c r="D74" s="258">
        <v>29010</v>
      </c>
      <c r="E74" s="243" t="s">
        <v>61</v>
      </c>
      <c r="F74" s="221" t="b">
        <f t="shared" si="3"/>
        <v>0</v>
      </c>
      <c r="G74" s="258">
        <v>582</v>
      </c>
      <c r="H74" s="258" t="s">
        <v>1491</v>
      </c>
      <c r="I74" s="258" t="s">
        <v>1495</v>
      </c>
      <c r="J74" s="258">
        <v>22955</v>
      </c>
      <c r="K74" s="243" t="s">
        <v>1546</v>
      </c>
      <c r="L74" s="221" t="b">
        <f t="shared" si="4"/>
        <v>0</v>
      </c>
      <c r="M74" s="258">
        <v>425</v>
      </c>
      <c r="N74" s="258" t="s">
        <v>1346</v>
      </c>
      <c r="O74" s="258" t="s">
        <v>1348</v>
      </c>
      <c r="P74" s="258">
        <v>21105</v>
      </c>
      <c r="Q74" s="243" t="s">
        <v>1547</v>
      </c>
      <c r="R74" s="221" t="b">
        <f t="shared" si="5"/>
        <v>0</v>
      </c>
    </row>
    <row r="75" spans="1:18" ht="15" x14ac:dyDescent="0.25">
      <c r="A75" s="259">
        <v>131</v>
      </c>
      <c r="B75" s="259" t="s">
        <v>1004</v>
      </c>
      <c r="C75" s="259" t="s">
        <v>1007</v>
      </c>
      <c r="D75" s="259">
        <v>20370</v>
      </c>
      <c r="E75" s="243" t="s">
        <v>61</v>
      </c>
      <c r="F75" s="221" t="b">
        <f t="shared" si="3"/>
        <v>0</v>
      </c>
      <c r="G75" s="259">
        <v>473</v>
      </c>
      <c r="H75" s="259" t="s">
        <v>1401</v>
      </c>
      <c r="I75" s="259" t="s">
        <v>1402</v>
      </c>
      <c r="J75" s="259">
        <v>22850</v>
      </c>
      <c r="K75" s="243" t="s">
        <v>1546</v>
      </c>
      <c r="L75" s="221" t="b">
        <f t="shared" si="4"/>
        <v>0</v>
      </c>
      <c r="M75" s="259">
        <v>427</v>
      </c>
      <c r="N75" s="259" t="s">
        <v>1350</v>
      </c>
      <c r="O75" s="259" t="s">
        <v>1352</v>
      </c>
      <c r="P75" s="259">
        <v>22620</v>
      </c>
      <c r="Q75" s="243" t="s">
        <v>1547</v>
      </c>
      <c r="R75" s="221" t="b">
        <f t="shared" si="5"/>
        <v>0</v>
      </c>
    </row>
    <row r="76" spans="1:18" ht="15" x14ac:dyDescent="0.25">
      <c r="A76" s="258">
        <v>153</v>
      </c>
      <c r="B76" s="258" t="s">
        <v>1023</v>
      </c>
      <c r="C76" s="258" t="s">
        <v>1024</v>
      </c>
      <c r="D76" s="258">
        <v>20565</v>
      </c>
      <c r="E76" s="243" t="s">
        <v>61</v>
      </c>
      <c r="F76" s="221" t="b">
        <f t="shared" si="3"/>
        <v>0</v>
      </c>
      <c r="G76" s="242">
        <v>582</v>
      </c>
      <c r="H76" s="243" t="s">
        <v>1491</v>
      </c>
      <c r="I76" s="243" t="s">
        <v>1495</v>
      </c>
      <c r="J76" s="243">
        <v>22955</v>
      </c>
      <c r="K76" s="243" t="s">
        <v>1546</v>
      </c>
      <c r="L76" s="221" t="b">
        <f t="shared" si="4"/>
        <v>0</v>
      </c>
      <c r="M76" s="258">
        <v>437</v>
      </c>
      <c r="N76" s="258" t="s">
        <v>1358</v>
      </c>
      <c r="O76" s="258" t="s">
        <v>1360</v>
      </c>
      <c r="P76" s="258">
        <v>26500</v>
      </c>
      <c r="Q76" s="243" t="s">
        <v>1547</v>
      </c>
      <c r="R76" s="221" t="b">
        <f t="shared" si="5"/>
        <v>0</v>
      </c>
    </row>
    <row r="77" spans="1:18" ht="15" x14ac:dyDescent="0.25">
      <c r="A77" s="259">
        <v>461</v>
      </c>
      <c r="B77" s="259" t="s">
        <v>1382</v>
      </c>
      <c r="C77" s="259" t="s">
        <v>1383</v>
      </c>
      <c r="D77" s="259">
        <v>22650</v>
      </c>
      <c r="E77" s="243" t="s">
        <v>61</v>
      </c>
      <c r="F77" s="221" t="b">
        <f t="shared" si="3"/>
        <v>0</v>
      </c>
      <c r="G77" s="242">
        <v>473</v>
      </c>
      <c r="H77" s="243" t="s">
        <v>1401</v>
      </c>
      <c r="I77" s="243" t="s">
        <v>1402</v>
      </c>
      <c r="J77" s="243">
        <v>22850</v>
      </c>
      <c r="K77" s="243" t="s">
        <v>1546</v>
      </c>
      <c r="L77" s="221" t="b">
        <f t="shared" si="4"/>
        <v>0</v>
      </c>
      <c r="M77" s="259">
        <v>439</v>
      </c>
      <c r="N77" s="259" t="s">
        <v>1361</v>
      </c>
      <c r="O77" s="259" t="s">
        <v>1364</v>
      </c>
      <c r="P77" s="259">
        <v>22500</v>
      </c>
      <c r="Q77" s="243" t="s">
        <v>1547</v>
      </c>
      <c r="R77" s="221" t="b">
        <f t="shared" si="5"/>
        <v>0</v>
      </c>
    </row>
    <row r="78" spans="1:18" ht="15" x14ac:dyDescent="0.25">
      <c r="A78" s="258">
        <v>203</v>
      </c>
      <c r="B78" s="258" t="s">
        <v>1073</v>
      </c>
      <c r="C78" s="258" t="s">
        <v>1074</v>
      </c>
      <c r="D78" s="258">
        <v>20745</v>
      </c>
      <c r="E78" s="243" t="s">
        <v>61</v>
      </c>
      <c r="F78" s="221" t="b">
        <f t="shared" si="3"/>
        <v>0</v>
      </c>
      <c r="M78" s="258">
        <v>428</v>
      </c>
      <c r="N78" s="258" t="s">
        <v>1354</v>
      </c>
      <c r="O78" s="258" t="s">
        <v>1355</v>
      </c>
      <c r="P78" s="258">
        <v>22350</v>
      </c>
      <c r="Q78" s="243" t="s">
        <v>1547</v>
      </c>
      <c r="R78" s="221" t="b">
        <f t="shared" si="5"/>
        <v>0</v>
      </c>
    </row>
    <row r="79" spans="1:18" ht="15" x14ac:dyDescent="0.25">
      <c r="A79" s="259">
        <v>208</v>
      </c>
      <c r="B79" s="259" t="s">
        <v>1077</v>
      </c>
      <c r="C79" s="259" t="s">
        <v>1078</v>
      </c>
      <c r="D79" s="259">
        <v>22395</v>
      </c>
      <c r="E79" s="243" t="s">
        <v>61</v>
      </c>
      <c r="F79" s="221" t="b">
        <f t="shared" si="3"/>
        <v>0</v>
      </c>
      <c r="M79" s="259">
        <v>449</v>
      </c>
      <c r="N79" s="259" t="s">
        <v>1369</v>
      </c>
      <c r="O79" s="259" t="s">
        <v>1374</v>
      </c>
      <c r="P79" s="259">
        <v>22565</v>
      </c>
      <c r="Q79" s="243" t="s">
        <v>1547</v>
      </c>
      <c r="R79" s="221" t="b">
        <f t="shared" si="5"/>
        <v>0</v>
      </c>
    </row>
    <row r="80" spans="1:18" ht="15" x14ac:dyDescent="0.25">
      <c r="A80" s="258">
        <v>189</v>
      </c>
      <c r="B80" s="258" t="s">
        <v>1060</v>
      </c>
      <c r="C80" s="258" t="s">
        <v>1061</v>
      </c>
      <c r="D80" s="258">
        <v>20525</v>
      </c>
      <c r="E80" s="243" t="s">
        <v>61</v>
      </c>
      <c r="F80" s="221" t="b">
        <f t="shared" si="3"/>
        <v>0</v>
      </c>
      <c r="M80" s="258">
        <v>450</v>
      </c>
      <c r="N80" s="258" t="s">
        <v>1375</v>
      </c>
      <c r="O80" s="258" t="s">
        <v>1376</v>
      </c>
      <c r="P80" s="258">
        <v>21395</v>
      </c>
      <c r="Q80" s="243" t="s">
        <v>1547</v>
      </c>
      <c r="R80" s="221" t="b">
        <f t="shared" si="5"/>
        <v>0</v>
      </c>
    </row>
    <row r="81" spans="1:18" ht="15" x14ac:dyDescent="0.25">
      <c r="A81" s="259">
        <v>285</v>
      </c>
      <c r="B81" s="259" t="s">
        <v>1171</v>
      </c>
      <c r="C81" s="259" t="s">
        <v>1176</v>
      </c>
      <c r="D81" s="259">
        <v>21290</v>
      </c>
      <c r="E81" s="243" t="s">
        <v>61</v>
      </c>
      <c r="F81" s="221" t="b">
        <f t="shared" si="3"/>
        <v>0</v>
      </c>
      <c r="M81" s="259">
        <v>453</v>
      </c>
      <c r="N81" s="259" t="s">
        <v>1378</v>
      </c>
      <c r="O81" s="259" t="s">
        <v>1380</v>
      </c>
      <c r="P81" s="259">
        <v>21390</v>
      </c>
      <c r="Q81" s="243" t="s">
        <v>1547</v>
      </c>
      <c r="R81" s="221" t="b">
        <f t="shared" si="5"/>
        <v>0</v>
      </c>
    </row>
    <row r="82" spans="1:18" ht="15" x14ac:dyDescent="0.25">
      <c r="A82" s="258">
        <v>343</v>
      </c>
      <c r="B82" s="258" t="s">
        <v>1242</v>
      </c>
      <c r="C82" s="258" t="s">
        <v>1245</v>
      </c>
      <c r="D82" s="258">
        <v>21325</v>
      </c>
      <c r="E82" s="243" t="s">
        <v>61</v>
      </c>
      <c r="F82" s="221" t="b">
        <f t="shared" si="3"/>
        <v>0</v>
      </c>
      <c r="M82" s="258">
        <v>473</v>
      </c>
      <c r="N82" s="258" t="s">
        <v>1401</v>
      </c>
      <c r="O82" s="258" t="s">
        <v>1406</v>
      </c>
      <c r="P82" s="258">
        <v>22880</v>
      </c>
      <c r="Q82" s="243" t="s">
        <v>1547</v>
      </c>
      <c r="R82" s="221" t="b">
        <f t="shared" si="5"/>
        <v>0</v>
      </c>
    </row>
    <row r="83" spans="1:18" ht="15" x14ac:dyDescent="0.25">
      <c r="A83" s="259">
        <v>165</v>
      </c>
      <c r="B83" s="259" t="s">
        <v>1025</v>
      </c>
      <c r="C83" s="259" t="s">
        <v>1027</v>
      </c>
      <c r="D83" s="259">
        <v>26510</v>
      </c>
      <c r="E83" s="243" t="s">
        <v>61</v>
      </c>
      <c r="F83" s="221" t="b">
        <f t="shared" si="3"/>
        <v>0</v>
      </c>
      <c r="M83" s="259">
        <v>476</v>
      </c>
      <c r="N83" s="259" t="s">
        <v>1409</v>
      </c>
      <c r="O83" s="259" t="s">
        <v>1410</v>
      </c>
      <c r="P83" s="259">
        <v>20620</v>
      </c>
      <c r="Q83" s="243" t="s">
        <v>1547</v>
      </c>
      <c r="R83" s="221" t="b">
        <f t="shared" si="5"/>
        <v>0</v>
      </c>
    </row>
    <row r="84" spans="1:18" ht="15" x14ac:dyDescent="0.25">
      <c r="A84" s="258">
        <v>167</v>
      </c>
      <c r="B84" s="258" t="s">
        <v>1028</v>
      </c>
      <c r="C84" s="258" t="s">
        <v>1029</v>
      </c>
      <c r="D84" s="258">
        <v>22600</v>
      </c>
      <c r="E84" s="243" t="s">
        <v>61</v>
      </c>
      <c r="F84" s="221" t="b">
        <f t="shared" si="3"/>
        <v>0</v>
      </c>
      <c r="M84" s="258">
        <v>491</v>
      </c>
      <c r="N84" s="258" t="s">
        <v>1421</v>
      </c>
      <c r="O84" s="258" t="s">
        <v>1423</v>
      </c>
      <c r="P84" s="258">
        <v>22845</v>
      </c>
      <c r="Q84" s="243" t="s">
        <v>1547</v>
      </c>
      <c r="R84" s="221" t="b">
        <f t="shared" si="5"/>
        <v>0</v>
      </c>
    </row>
    <row r="85" spans="1:18" ht="15" x14ac:dyDescent="0.25">
      <c r="A85" s="259">
        <v>131</v>
      </c>
      <c r="B85" s="259" t="s">
        <v>1004</v>
      </c>
      <c r="C85" s="259" t="s">
        <v>1006</v>
      </c>
      <c r="D85" s="259">
        <v>28465</v>
      </c>
      <c r="E85" s="243" t="s">
        <v>61</v>
      </c>
      <c r="F85" s="221" t="b">
        <f t="shared" si="3"/>
        <v>0</v>
      </c>
      <c r="M85" s="259">
        <v>493</v>
      </c>
      <c r="N85" s="259" t="s">
        <v>1426</v>
      </c>
      <c r="O85" s="259" t="s">
        <v>1427</v>
      </c>
      <c r="P85" s="259">
        <v>26860</v>
      </c>
      <c r="Q85" s="243" t="s">
        <v>1547</v>
      </c>
      <c r="R85" s="221" t="b">
        <f t="shared" si="5"/>
        <v>0</v>
      </c>
    </row>
    <row r="86" spans="1:18" ht="15" x14ac:dyDescent="0.25">
      <c r="A86" s="258">
        <v>171</v>
      </c>
      <c r="B86" s="258" t="s">
        <v>1030</v>
      </c>
      <c r="C86" s="258" t="s">
        <v>1031</v>
      </c>
      <c r="D86" s="258">
        <v>20735</v>
      </c>
      <c r="E86" s="243" t="s">
        <v>61</v>
      </c>
      <c r="F86" s="221" t="b">
        <f t="shared" si="3"/>
        <v>0</v>
      </c>
      <c r="M86" s="259">
        <v>714</v>
      </c>
      <c r="N86" s="259" t="s">
        <v>1635</v>
      </c>
      <c r="O86" s="259" t="s">
        <v>1636</v>
      </c>
      <c r="P86" s="259">
        <v>29221</v>
      </c>
      <c r="Q86" s="243" t="s">
        <v>1547</v>
      </c>
      <c r="R86" s="221" t="b">
        <f t="shared" si="5"/>
        <v>0</v>
      </c>
    </row>
    <row r="87" spans="1:18" ht="15" x14ac:dyDescent="0.25">
      <c r="A87" s="259">
        <v>371</v>
      </c>
      <c r="B87" s="259" t="s">
        <v>1289</v>
      </c>
      <c r="C87" s="259" t="s">
        <v>1292</v>
      </c>
      <c r="D87" s="259">
        <v>21840</v>
      </c>
      <c r="E87" s="243" t="s">
        <v>61</v>
      </c>
      <c r="F87" s="221" t="b">
        <f t="shared" si="3"/>
        <v>0</v>
      </c>
      <c r="M87" s="258">
        <v>461</v>
      </c>
      <c r="N87" s="258" t="s">
        <v>1382</v>
      </c>
      <c r="O87" s="258" t="s">
        <v>1389</v>
      </c>
      <c r="P87" s="258">
        <v>22700</v>
      </c>
      <c r="Q87" s="243" t="s">
        <v>1547</v>
      </c>
      <c r="R87" s="221" t="b">
        <f t="shared" si="5"/>
        <v>0</v>
      </c>
    </row>
    <row r="88" spans="1:18" ht="15" x14ac:dyDescent="0.25">
      <c r="A88" s="259">
        <v>174</v>
      </c>
      <c r="B88" s="259" t="s">
        <v>1038</v>
      </c>
      <c r="C88" s="259" t="s">
        <v>1570</v>
      </c>
      <c r="D88" s="259">
        <v>27395</v>
      </c>
      <c r="E88" s="243" t="s">
        <v>61</v>
      </c>
      <c r="F88" s="221" t="b">
        <f t="shared" si="3"/>
        <v>0</v>
      </c>
      <c r="M88" s="259">
        <v>101</v>
      </c>
      <c r="N88" s="259" t="s">
        <v>967</v>
      </c>
      <c r="O88" s="259" t="s">
        <v>969</v>
      </c>
      <c r="P88" s="259">
        <v>20140</v>
      </c>
      <c r="Q88" s="243" t="s">
        <v>1547</v>
      </c>
      <c r="R88" s="221" t="b">
        <f t="shared" si="5"/>
        <v>0</v>
      </c>
    </row>
    <row r="89" spans="1:18" ht="15" x14ac:dyDescent="0.25">
      <c r="A89" s="258">
        <v>572</v>
      </c>
      <c r="B89" s="258" t="s">
        <v>1478</v>
      </c>
      <c r="C89" s="258" t="s">
        <v>1480</v>
      </c>
      <c r="D89" s="258">
        <v>23060</v>
      </c>
      <c r="E89" s="243" t="s">
        <v>61</v>
      </c>
      <c r="F89" s="221" t="b">
        <f t="shared" si="3"/>
        <v>0</v>
      </c>
      <c r="M89" s="258">
        <v>515</v>
      </c>
      <c r="N89" s="258" t="s">
        <v>1442</v>
      </c>
      <c r="O89" s="258" t="s">
        <v>1443</v>
      </c>
      <c r="P89" s="258">
        <v>22000</v>
      </c>
      <c r="Q89" s="243" t="s">
        <v>1547</v>
      </c>
      <c r="R89" s="221" t="b">
        <f t="shared" si="5"/>
        <v>0</v>
      </c>
    </row>
    <row r="90" spans="1:18" ht="15" x14ac:dyDescent="0.25">
      <c r="A90" s="259">
        <v>142</v>
      </c>
      <c r="B90" s="259" t="s">
        <v>1018</v>
      </c>
      <c r="C90" s="259" t="s">
        <v>1020</v>
      </c>
      <c r="D90" s="259">
        <v>20825</v>
      </c>
      <c r="E90" s="243" t="s">
        <v>61</v>
      </c>
      <c r="F90" s="221" t="b">
        <f t="shared" si="3"/>
        <v>0</v>
      </c>
      <c r="M90" s="259">
        <v>741</v>
      </c>
      <c r="N90" s="259" t="s">
        <v>1536</v>
      </c>
      <c r="O90" s="259" t="s">
        <v>1537</v>
      </c>
      <c r="P90" s="259">
        <v>29149</v>
      </c>
      <c r="Q90" s="243" t="s">
        <v>1547</v>
      </c>
      <c r="R90" s="221" t="b">
        <f t="shared" si="5"/>
        <v>0</v>
      </c>
    </row>
    <row r="91" spans="1:18" ht="15" x14ac:dyDescent="0.25">
      <c r="A91" s="258">
        <v>112</v>
      </c>
      <c r="B91" s="258" t="s">
        <v>981</v>
      </c>
      <c r="C91" s="258" t="s">
        <v>986</v>
      </c>
      <c r="D91" s="258">
        <v>22245</v>
      </c>
      <c r="E91" s="243" t="s">
        <v>1568</v>
      </c>
      <c r="F91" s="221" t="b">
        <f t="shared" si="3"/>
        <v>0</v>
      </c>
      <c r="M91" s="258">
        <v>534</v>
      </c>
      <c r="N91" s="258" t="s">
        <v>1449</v>
      </c>
      <c r="O91" s="258" t="s">
        <v>1455</v>
      </c>
      <c r="P91" s="258">
        <v>22770</v>
      </c>
      <c r="Q91" s="243" t="s">
        <v>1547</v>
      </c>
      <c r="R91" s="221" t="b">
        <f t="shared" si="5"/>
        <v>0</v>
      </c>
    </row>
    <row r="92" spans="1:18" ht="15" x14ac:dyDescent="0.25">
      <c r="A92" s="259">
        <v>279</v>
      </c>
      <c r="B92" s="259" t="s">
        <v>1162</v>
      </c>
      <c r="C92" s="259" t="s">
        <v>1166</v>
      </c>
      <c r="D92" s="259">
        <v>21190</v>
      </c>
      <c r="E92" s="243" t="s">
        <v>61</v>
      </c>
      <c r="F92" s="221" t="b">
        <f t="shared" si="3"/>
        <v>0</v>
      </c>
      <c r="M92" s="259">
        <v>727</v>
      </c>
      <c r="N92" s="259" t="s">
        <v>1522</v>
      </c>
      <c r="O92" s="259" t="s">
        <v>1524</v>
      </c>
      <c r="P92" s="259">
        <v>28605</v>
      </c>
      <c r="Q92" s="243" t="s">
        <v>1547</v>
      </c>
      <c r="R92" s="221" t="b">
        <f t="shared" si="5"/>
        <v>0</v>
      </c>
    </row>
    <row r="93" spans="1:18" ht="15" x14ac:dyDescent="0.25">
      <c r="A93" s="258">
        <v>185</v>
      </c>
      <c r="B93" s="258" t="s">
        <v>1054</v>
      </c>
      <c r="C93" s="258" t="s">
        <v>1057</v>
      </c>
      <c r="D93" s="258">
        <v>26755</v>
      </c>
      <c r="E93" s="243" t="s">
        <v>61</v>
      </c>
      <c r="F93" s="221" t="b">
        <f t="shared" si="3"/>
        <v>0</v>
      </c>
      <c r="M93" s="258">
        <v>568</v>
      </c>
      <c r="N93" s="258" t="s">
        <v>1474</v>
      </c>
      <c r="O93" s="258" t="s">
        <v>1477</v>
      </c>
      <c r="P93" s="258">
        <v>21480</v>
      </c>
      <c r="Q93" s="243" t="s">
        <v>1547</v>
      </c>
      <c r="R93" s="221" t="b">
        <f t="shared" si="5"/>
        <v>0</v>
      </c>
    </row>
    <row r="94" spans="1:18" ht="15" x14ac:dyDescent="0.25">
      <c r="A94" s="259">
        <v>261</v>
      </c>
      <c r="B94" s="259" t="s">
        <v>1126</v>
      </c>
      <c r="C94" s="259" t="s">
        <v>1128</v>
      </c>
      <c r="D94" s="259">
        <v>20550</v>
      </c>
      <c r="E94" s="243" t="s">
        <v>61</v>
      </c>
      <c r="F94" s="221" t="b">
        <f t="shared" si="3"/>
        <v>0</v>
      </c>
      <c r="M94" s="259">
        <v>572</v>
      </c>
      <c r="N94" s="259" t="s">
        <v>1478</v>
      </c>
      <c r="O94" s="259" t="s">
        <v>1481</v>
      </c>
      <c r="P94" s="259">
        <v>23070</v>
      </c>
      <c r="Q94" s="243" t="s">
        <v>1547</v>
      </c>
      <c r="R94" s="221" t="b">
        <f t="shared" si="5"/>
        <v>0</v>
      </c>
    </row>
    <row r="95" spans="1:18" ht="15" x14ac:dyDescent="0.25">
      <c r="A95" s="258">
        <v>187</v>
      </c>
      <c r="B95" s="258" t="s">
        <v>1058</v>
      </c>
      <c r="C95" s="258" t="s">
        <v>1059</v>
      </c>
      <c r="D95" s="258">
        <v>20350</v>
      </c>
      <c r="E95" s="243" t="s">
        <v>1568</v>
      </c>
      <c r="F95" s="221" t="b">
        <f t="shared" si="3"/>
        <v>0</v>
      </c>
      <c r="M95" s="258">
        <v>575</v>
      </c>
      <c r="N95" s="258" t="s">
        <v>1484</v>
      </c>
      <c r="O95" s="258" t="s">
        <v>1488</v>
      </c>
      <c r="P95" s="258">
        <v>28640</v>
      </c>
      <c r="Q95" s="243" t="s">
        <v>1547</v>
      </c>
      <c r="R95" s="221" t="b">
        <f t="shared" si="5"/>
        <v>0</v>
      </c>
    </row>
    <row r="96" spans="1:18" ht="15" x14ac:dyDescent="0.25">
      <c r="A96" s="259">
        <v>279</v>
      </c>
      <c r="B96" s="259" t="s">
        <v>1162</v>
      </c>
      <c r="C96" s="259" t="s">
        <v>1163</v>
      </c>
      <c r="D96" s="259">
        <v>21165</v>
      </c>
      <c r="E96" s="243" t="s">
        <v>61</v>
      </c>
      <c r="F96" s="221" t="b">
        <f t="shared" si="3"/>
        <v>0</v>
      </c>
      <c r="M96" s="259">
        <v>581</v>
      </c>
      <c r="N96" s="259" t="s">
        <v>1489</v>
      </c>
      <c r="O96" s="259" t="s">
        <v>1490</v>
      </c>
      <c r="P96" s="259">
        <v>20780</v>
      </c>
      <c r="Q96" s="243" t="s">
        <v>1547</v>
      </c>
      <c r="R96" s="221" t="b">
        <f t="shared" si="5"/>
        <v>0</v>
      </c>
    </row>
    <row r="97" spans="1:18" ht="15" x14ac:dyDescent="0.25">
      <c r="A97" s="258">
        <v>141</v>
      </c>
      <c r="B97" s="258" t="s">
        <v>1012</v>
      </c>
      <c r="C97" s="258" t="s">
        <v>1013</v>
      </c>
      <c r="D97" s="258">
        <v>20430</v>
      </c>
      <c r="E97" s="243" t="s">
        <v>61</v>
      </c>
      <c r="F97" s="221" t="b">
        <f t="shared" si="3"/>
        <v>0</v>
      </c>
      <c r="M97" s="258">
        <v>582</v>
      </c>
      <c r="N97" s="258" t="s">
        <v>1491</v>
      </c>
      <c r="O97" s="258" t="s">
        <v>1494</v>
      </c>
      <c r="P97" s="258">
        <v>22950</v>
      </c>
      <c r="Q97" s="243" t="s">
        <v>1547</v>
      </c>
      <c r="R97" s="221" t="b">
        <f t="shared" si="5"/>
        <v>0</v>
      </c>
    </row>
    <row r="98" spans="1:18" ht="15" x14ac:dyDescent="0.25">
      <c r="A98" s="259">
        <v>742</v>
      </c>
      <c r="B98" s="259" t="s">
        <v>1539</v>
      </c>
      <c r="C98" s="259" t="s">
        <v>1540</v>
      </c>
      <c r="D98" s="259">
        <v>29151</v>
      </c>
      <c r="E98" s="243" t="s">
        <v>61</v>
      </c>
      <c r="F98" s="221" t="b">
        <f t="shared" si="3"/>
        <v>0</v>
      </c>
      <c r="M98" s="259">
        <v>238</v>
      </c>
      <c r="N98" s="259" t="s">
        <v>1102</v>
      </c>
      <c r="O98" s="259" t="s">
        <v>1104</v>
      </c>
      <c r="P98" s="259">
        <v>20910</v>
      </c>
      <c r="Q98" s="243" t="s">
        <v>1547</v>
      </c>
      <c r="R98" s="221" t="b">
        <f t="shared" si="5"/>
        <v>0</v>
      </c>
    </row>
    <row r="99" spans="1:18" ht="15" x14ac:dyDescent="0.25">
      <c r="A99" s="258">
        <v>191</v>
      </c>
      <c r="B99" s="258" t="s">
        <v>1062</v>
      </c>
      <c r="C99" s="258" t="s">
        <v>1064</v>
      </c>
      <c r="D99" s="258">
        <v>21245</v>
      </c>
      <c r="E99" s="243" t="s">
        <v>61</v>
      </c>
      <c r="F99" s="221" t="b">
        <f t="shared" si="3"/>
        <v>0</v>
      </c>
    </row>
    <row r="100" spans="1:18" ht="15" x14ac:dyDescent="0.25">
      <c r="A100" s="259">
        <v>195</v>
      </c>
      <c r="B100" s="259" t="s">
        <v>1066</v>
      </c>
      <c r="C100" s="259" t="s">
        <v>1067</v>
      </c>
      <c r="D100" s="259">
        <v>21250</v>
      </c>
      <c r="E100" s="243" t="s">
        <v>61</v>
      </c>
      <c r="F100" s="221" t="b">
        <f t="shared" si="3"/>
        <v>0</v>
      </c>
    </row>
    <row r="101" spans="1:18" ht="15" x14ac:dyDescent="0.25">
      <c r="A101" s="258">
        <v>363</v>
      </c>
      <c r="B101" s="258" t="s">
        <v>1277</v>
      </c>
      <c r="C101" s="258" t="s">
        <v>1624</v>
      </c>
      <c r="D101" s="258">
        <v>21670</v>
      </c>
      <c r="E101" s="243" t="s">
        <v>61</v>
      </c>
      <c r="F101" s="221" t="b">
        <f t="shared" si="3"/>
        <v>0</v>
      </c>
    </row>
    <row r="102" spans="1:18" ht="15" x14ac:dyDescent="0.25">
      <c r="A102" s="259">
        <v>199</v>
      </c>
      <c r="B102" s="259" t="s">
        <v>1068</v>
      </c>
      <c r="C102" s="259" t="s">
        <v>1070</v>
      </c>
      <c r="D102" s="259">
        <v>28525</v>
      </c>
      <c r="E102" s="243" t="s">
        <v>61</v>
      </c>
      <c r="F102" s="221" t="b">
        <f t="shared" si="3"/>
        <v>0</v>
      </c>
    </row>
    <row r="103" spans="1:18" ht="15" x14ac:dyDescent="0.25">
      <c r="A103" s="258">
        <v>575</v>
      </c>
      <c r="B103" s="258" t="s">
        <v>1484</v>
      </c>
      <c r="C103" s="258" t="s">
        <v>1486</v>
      </c>
      <c r="D103" s="258">
        <v>21130</v>
      </c>
      <c r="E103" s="243" t="s">
        <v>61</v>
      </c>
      <c r="F103" s="221" t="b">
        <f t="shared" si="3"/>
        <v>0</v>
      </c>
    </row>
    <row r="104" spans="1:18" ht="15" x14ac:dyDescent="0.25">
      <c r="A104" s="259">
        <v>461</v>
      </c>
      <c r="B104" s="259" t="s">
        <v>1382</v>
      </c>
      <c r="C104" s="259" t="s">
        <v>1392</v>
      </c>
      <c r="D104" s="259">
        <v>22725</v>
      </c>
      <c r="E104" s="243" t="s">
        <v>61</v>
      </c>
      <c r="F104" s="221" t="b">
        <f t="shared" si="3"/>
        <v>0</v>
      </c>
    </row>
    <row r="105" spans="1:18" ht="15" x14ac:dyDescent="0.25">
      <c r="A105" s="258">
        <v>335</v>
      </c>
      <c r="B105" s="258" t="s">
        <v>909</v>
      </c>
      <c r="C105" s="258" t="s">
        <v>1219</v>
      </c>
      <c r="D105" s="258">
        <v>21530</v>
      </c>
      <c r="E105" s="243" t="s">
        <v>61</v>
      </c>
      <c r="F105" s="221" t="b">
        <f t="shared" si="3"/>
        <v>0</v>
      </c>
    </row>
    <row r="106" spans="1:18" ht="15" x14ac:dyDescent="0.25">
      <c r="A106" s="259">
        <v>211</v>
      </c>
      <c r="B106" s="259" t="s">
        <v>1086</v>
      </c>
      <c r="C106" s="259" t="s">
        <v>1087</v>
      </c>
      <c r="D106" s="259">
        <v>21330</v>
      </c>
      <c r="E106" s="243" t="s">
        <v>61</v>
      </c>
      <c r="F106" s="221" t="b">
        <f t="shared" si="3"/>
        <v>0</v>
      </c>
    </row>
    <row r="107" spans="1:18" ht="15" x14ac:dyDescent="0.25">
      <c r="A107" s="258">
        <v>335</v>
      </c>
      <c r="B107" s="258" t="s">
        <v>909</v>
      </c>
      <c r="C107" s="258" t="s">
        <v>1229</v>
      </c>
      <c r="D107" s="258">
        <v>21610</v>
      </c>
      <c r="E107" s="243" t="s">
        <v>61</v>
      </c>
      <c r="F107" s="221" t="b">
        <f t="shared" si="3"/>
        <v>0</v>
      </c>
    </row>
    <row r="108" spans="1:18" ht="15" x14ac:dyDescent="0.25">
      <c r="A108" s="259">
        <v>112</v>
      </c>
      <c r="B108" s="259" t="s">
        <v>981</v>
      </c>
      <c r="C108" s="259" t="s">
        <v>987</v>
      </c>
      <c r="D108" s="259">
        <v>22250</v>
      </c>
      <c r="E108" s="243" t="s">
        <v>61</v>
      </c>
      <c r="F108" s="221" t="b">
        <f t="shared" si="3"/>
        <v>0</v>
      </c>
    </row>
    <row r="109" spans="1:18" ht="15" x14ac:dyDescent="0.25">
      <c r="A109" s="258">
        <v>215</v>
      </c>
      <c r="B109" s="258" t="s">
        <v>1088</v>
      </c>
      <c r="C109" s="258" t="s">
        <v>1089</v>
      </c>
      <c r="D109" s="258">
        <v>22450</v>
      </c>
      <c r="E109" s="243" t="s">
        <v>61</v>
      </c>
      <c r="F109" s="221" t="b">
        <f t="shared" si="3"/>
        <v>0</v>
      </c>
    </row>
    <row r="110" spans="1:18" ht="15" x14ac:dyDescent="0.25">
      <c r="A110" s="259">
        <v>315</v>
      </c>
      <c r="B110" s="259" t="s">
        <v>1196</v>
      </c>
      <c r="C110" s="259" t="s">
        <v>1197</v>
      </c>
      <c r="D110" s="259">
        <v>21095</v>
      </c>
      <c r="E110" s="243" t="s">
        <v>61</v>
      </c>
      <c r="F110" s="221" t="b">
        <f t="shared" si="3"/>
        <v>0</v>
      </c>
    </row>
    <row r="111" spans="1:18" ht="15" x14ac:dyDescent="0.25">
      <c r="A111" s="258">
        <v>131</v>
      </c>
      <c r="B111" s="258" t="s">
        <v>1004</v>
      </c>
      <c r="C111" s="258" t="s">
        <v>1009</v>
      </c>
      <c r="D111" s="258">
        <v>20390</v>
      </c>
      <c r="E111" s="243" t="s">
        <v>61</v>
      </c>
      <c r="F111" s="221" t="b">
        <f t="shared" si="3"/>
        <v>0</v>
      </c>
    </row>
    <row r="112" spans="1:18" ht="15" x14ac:dyDescent="0.25">
      <c r="A112" s="259">
        <v>407</v>
      </c>
      <c r="B112" s="259" t="s">
        <v>1333</v>
      </c>
      <c r="C112" s="259" t="s">
        <v>1335</v>
      </c>
      <c r="D112" s="259">
        <v>22905</v>
      </c>
      <c r="E112" s="243" t="s">
        <v>61</v>
      </c>
      <c r="F112" s="221" t="b">
        <f t="shared" si="3"/>
        <v>0</v>
      </c>
    </row>
    <row r="113" spans="1:6" ht="15" x14ac:dyDescent="0.25">
      <c r="A113" s="258">
        <v>407</v>
      </c>
      <c r="B113" s="258" t="s">
        <v>1333</v>
      </c>
      <c r="C113" s="258" t="s">
        <v>1336</v>
      </c>
      <c r="D113" s="258">
        <v>26600</v>
      </c>
      <c r="E113" s="243" t="s">
        <v>61</v>
      </c>
      <c r="F113" s="221" t="b">
        <f t="shared" si="3"/>
        <v>0</v>
      </c>
    </row>
    <row r="114" spans="1:6" ht="15" x14ac:dyDescent="0.25">
      <c r="A114" s="259">
        <v>335</v>
      </c>
      <c r="B114" s="259" t="s">
        <v>909</v>
      </c>
      <c r="C114" s="259" t="s">
        <v>1230</v>
      </c>
      <c r="D114" s="259">
        <v>21625</v>
      </c>
      <c r="E114" s="243" t="s">
        <v>61</v>
      </c>
      <c r="F114" s="221" t="b">
        <f t="shared" si="3"/>
        <v>0</v>
      </c>
    </row>
    <row r="115" spans="1:6" ht="15" x14ac:dyDescent="0.25">
      <c r="A115" s="258">
        <v>223</v>
      </c>
      <c r="B115" s="258" t="s">
        <v>1090</v>
      </c>
      <c r="C115" s="258" t="s">
        <v>1092</v>
      </c>
      <c r="D115" s="258">
        <v>22755</v>
      </c>
      <c r="E115" s="243" t="s">
        <v>61</v>
      </c>
      <c r="F115" s="221" t="b">
        <f t="shared" si="3"/>
        <v>0</v>
      </c>
    </row>
    <row r="116" spans="1:6" ht="15" x14ac:dyDescent="0.25">
      <c r="A116" s="259">
        <v>225</v>
      </c>
      <c r="B116" s="259" t="s">
        <v>1093</v>
      </c>
      <c r="C116" s="259" t="s">
        <v>1550</v>
      </c>
      <c r="D116" s="259">
        <v>20790</v>
      </c>
      <c r="E116" s="243" t="s">
        <v>61</v>
      </c>
      <c r="F116" s="221" t="b">
        <f t="shared" si="3"/>
        <v>0</v>
      </c>
    </row>
    <row r="117" spans="1:6" ht="15" x14ac:dyDescent="0.25">
      <c r="A117" s="258">
        <v>225</v>
      </c>
      <c r="B117" s="258" t="s">
        <v>1093</v>
      </c>
      <c r="C117" s="258" t="s">
        <v>1094</v>
      </c>
      <c r="D117" s="258">
        <v>20770</v>
      </c>
      <c r="E117" s="243" t="s">
        <v>61</v>
      </c>
      <c r="F117" s="221" t="b">
        <f t="shared" si="3"/>
        <v>0</v>
      </c>
    </row>
    <row r="118" spans="1:6" ht="15" x14ac:dyDescent="0.25">
      <c r="A118" s="259">
        <v>112</v>
      </c>
      <c r="B118" s="259" t="s">
        <v>981</v>
      </c>
      <c r="C118" s="259" t="s">
        <v>988</v>
      </c>
      <c r="D118" s="259">
        <v>22260</v>
      </c>
      <c r="E118" s="243" t="s">
        <v>61</v>
      </c>
      <c r="F118" s="221" t="b">
        <f t="shared" si="3"/>
        <v>0</v>
      </c>
    </row>
    <row r="119" spans="1:6" ht="15" x14ac:dyDescent="0.25">
      <c r="A119" s="258">
        <v>295</v>
      </c>
      <c r="B119" s="258" t="s">
        <v>1181</v>
      </c>
      <c r="C119" s="258" t="s">
        <v>1182</v>
      </c>
      <c r="D119" s="258">
        <v>21335</v>
      </c>
      <c r="E119" s="243" t="s">
        <v>61</v>
      </c>
      <c r="F119" s="221" t="b">
        <f t="shared" si="3"/>
        <v>0</v>
      </c>
    </row>
    <row r="120" spans="1:6" ht="15" x14ac:dyDescent="0.25">
      <c r="A120" s="259">
        <v>263</v>
      </c>
      <c r="B120" s="259" t="s">
        <v>1130</v>
      </c>
      <c r="C120" s="259" t="s">
        <v>1134</v>
      </c>
      <c r="D120" s="259">
        <v>20975</v>
      </c>
      <c r="E120" s="243" t="s">
        <v>61</v>
      </c>
      <c r="F120" s="221" t="b">
        <f t="shared" si="3"/>
        <v>0</v>
      </c>
    </row>
    <row r="121" spans="1:6" ht="15" x14ac:dyDescent="0.25">
      <c r="A121" s="258">
        <v>245</v>
      </c>
      <c r="B121" s="258" t="s">
        <v>1106</v>
      </c>
      <c r="C121" s="258" t="s">
        <v>1107</v>
      </c>
      <c r="D121" s="258">
        <v>20935</v>
      </c>
      <c r="E121" s="243" t="s">
        <v>61</v>
      </c>
      <c r="F121" s="221" t="b">
        <f t="shared" si="3"/>
        <v>0</v>
      </c>
    </row>
    <row r="122" spans="1:6" ht="15" x14ac:dyDescent="0.25">
      <c r="A122" s="259">
        <v>79</v>
      </c>
      <c r="B122" s="259" t="s">
        <v>959</v>
      </c>
      <c r="C122" s="259" t="s">
        <v>960</v>
      </c>
      <c r="D122" s="259">
        <v>20535</v>
      </c>
      <c r="E122" s="243" t="s">
        <v>61</v>
      </c>
      <c r="F122" s="221" t="b">
        <f t="shared" si="3"/>
        <v>0</v>
      </c>
    </row>
    <row r="123" spans="1:6" ht="15" x14ac:dyDescent="0.25">
      <c r="A123" s="258">
        <v>335</v>
      </c>
      <c r="B123" s="258" t="s">
        <v>909</v>
      </c>
      <c r="C123" s="258" t="s">
        <v>1625</v>
      </c>
      <c r="D123" s="258">
        <v>21640</v>
      </c>
      <c r="E123" s="243" t="s">
        <v>61</v>
      </c>
      <c r="F123" s="221" t="b">
        <f t="shared" si="3"/>
        <v>0</v>
      </c>
    </row>
    <row r="124" spans="1:6" ht="15" x14ac:dyDescent="0.25">
      <c r="A124" s="259">
        <v>175</v>
      </c>
      <c r="B124" s="259" t="s">
        <v>1050</v>
      </c>
      <c r="C124" s="259" t="s">
        <v>1053</v>
      </c>
      <c r="D124" s="259">
        <v>22055</v>
      </c>
      <c r="E124" s="243" t="s">
        <v>61</v>
      </c>
      <c r="F124" s="221" t="b">
        <f t="shared" si="3"/>
        <v>0</v>
      </c>
    </row>
    <row r="125" spans="1:6" ht="15" x14ac:dyDescent="0.25">
      <c r="A125" s="258">
        <v>357</v>
      </c>
      <c r="B125" s="258" t="s">
        <v>1268</v>
      </c>
      <c r="C125" s="258" t="s">
        <v>1271</v>
      </c>
      <c r="D125" s="258">
        <v>27895</v>
      </c>
      <c r="E125" s="243" t="s">
        <v>61</v>
      </c>
      <c r="F125" s="221" t="b">
        <f t="shared" si="3"/>
        <v>0</v>
      </c>
    </row>
    <row r="126" spans="1:6" ht="15" x14ac:dyDescent="0.25">
      <c r="A126" s="259">
        <v>342</v>
      </c>
      <c r="B126" s="259" t="s">
        <v>1238</v>
      </c>
      <c r="C126" s="259" t="s">
        <v>1241</v>
      </c>
      <c r="D126" s="259">
        <v>28990</v>
      </c>
      <c r="E126" s="243" t="s">
        <v>61</v>
      </c>
      <c r="F126" s="221" t="b">
        <f t="shared" si="3"/>
        <v>0</v>
      </c>
    </row>
    <row r="127" spans="1:6" ht="15" x14ac:dyDescent="0.25">
      <c r="A127" s="258">
        <v>335</v>
      </c>
      <c r="B127" s="258" t="s">
        <v>909</v>
      </c>
      <c r="C127" s="258" t="s">
        <v>1223</v>
      </c>
      <c r="D127" s="258">
        <v>21560</v>
      </c>
      <c r="E127" s="243" t="s">
        <v>61</v>
      </c>
      <c r="F127" s="221" t="b">
        <f t="shared" si="3"/>
        <v>0</v>
      </c>
    </row>
    <row r="128" spans="1:6" ht="15" x14ac:dyDescent="0.25">
      <c r="A128" s="259">
        <v>267</v>
      </c>
      <c r="B128" s="259" t="s">
        <v>1135</v>
      </c>
      <c r="C128" s="259" t="s">
        <v>1139</v>
      </c>
      <c r="D128" s="259">
        <v>27900</v>
      </c>
      <c r="E128" s="243" t="s">
        <v>61</v>
      </c>
      <c r="F128" s="221" t="b">
        <f t="shared" si="3"/>
        <v>0</v>
      </c>
    </row>
    <row r="129" spans="1:6" ht="15" x14ac:dyDescent="0.25">
      <c r="A129" s="258">
        <v>251</v>
      </c>
      <c r="B129" s="258" t="s">
        <v>1110</v>
      </c>
      <c r="C129" s="258" t="s">
        <v>1112</v>
      </c>
      <c r="D129" s="258">
        <v>20955</v>
      </c>
      <c r="E129" s="243" t="s">
        <v>61</v>
      </c>
      <c r="F129" s="221" t="b">
        <f t="shared" si="3"/>
        <v>0</v>
      </c>
    </row>
    <row r="130" spans="1:6" ht="15" x14ac:dyDescent="0.25">
      <c r="A130" s="259">
        <v>255</v>
      </c>
      <c r="B130" s="259" t="s">
        <v>1114</v>
      </c>
      <c r="C130" s="259" t="s">
        <v>1116</v>
      </c>
      <c r="D130" s="259">
        <v>21680</v>
      </c>
      <c r="E130" s="243" t="s">
        <v>61</v>
      </c>
      <c r="F130" s="221" t="b">
        <f t="shared" si="3"/>
        <v>0</v>
      </c>
    </row>
    <row r="131" spans="1:6" ht="15" x14ac:dyDescent="0.25">
      <c r="A131" s="258">
        <v>257</v>
      </c>
      <c r="B131" s="258" t="s">
        <v>1118</v>
      </c>
      <c r="C131" s="258" t="s">
        <v>1119</v>
      </c>
      <c r="D131" s="258">
        <v>22345</v>
      </c>
      <c r="E131" s="243" t="s">
        <v>61</v>
      </c>
      <c r="F131" s="221" t="b">
        <f t="shared" ref="F131:F194" si="6">D131=D132</f>
        <v>0</v>
      </c>
    </row>
    <row r="132" spans="1:6" ht="15" x14ac:dyDescent="0.25">
      <c r="A132" s="259">
        <v>259</v>
      </c>
      <c r="B132" s="259" t="s">
        <v>1120</v>
      </c>
      <c r="C132" s="259" t="s">
        <v>1122</v>
      </c>
      <c r="D132" s="259">
        <v>21815</v>
      </c>
      <c r="E132" s="243" t="s">
        <v>61</v>
      </c>
      <c r="F132" s="221" t="b">
        <f t="shared" si="6"/>
        <v>0</v>
      </c>
    </row>
    <row r="133" spans="1:6" ht="15" x14ac:dyDescent="0.25">
      <c r="A133" s="258">
        <v>259</v>
      </c>
      <c r="B133" s="258" t="s">
        <v>1120</v>
      </c>
      <c r="C133" s="258" t="s">
        <v>1121</v>
      </c>
      <c r="D133" s="258">
        <v>27530</v>
      </c>
      <c r="E133" s="243" t="s">
        <v>61</v>
      </c>
      <c r="F133" s="221" t="b">
        <f t="shared" si="6"/>
        <v>0</v>
      </c>
    </row>
    <row r="134" spans="1:6" ht="15" x14ac:dyDescent="0.25">
      <c r="A134" s="259">
        <v>261</v>
      </c>
      <c r="B134" s="259" t="s">
        <v>1126</v>
      </c>
      <c r="C134" s="259" t="s">
        <v>1127</v>
      </c>
      <c r="D134" s="259">
        <v>20540</v>
      </c>
      <c r="E134" s="243" t="s">
        <v>61</v>
      </c>
      <c r="F134" s="221" t="b">
        <f t="shared" si="6"/>
        <v>0</v>
      </c>
    </row>
    <row r="135" spans="1:6" ht="15" x14ac:dyDescent="0.25">
      <c r="A135" s="258">
        <v>141</v>
      </c>
      <c r="B135" s="258" t="s">
        <v>1012</v>
      </c>
      <c r="C135" s="258" t="s">
        <v>1015</v>
      </c>
      <c r="D135" s="258">
        <v>20445</v>
      </c>
      <c r="E135" s="243" t="s">
        <v>61</v>
      </c>
      <c r="F135" s="221" t="b">
        <f t="shared" si="6"/>
        <v>0</v>
      </c>
    </row>
    <row r="136" spans="1:6" ht="15" x14ac:dyDescent="0.25">
      <c r="A136" s="259">
        <v>491</v>
      </c>
      <c r="B136" s="259" t="s">
        <v>1421</v>
      </c>
      <c r="C136" s="259" t="s">
        <v>1424</v>
      </c>
      <c r="D136" s="259">
        <v>29202</v>
      </c>
      <c r="E136" s="243" t="s">
        <v>61</v>
      </c>
      <c r="F136" s="221" t="b">
        <f t="shared" si="6"/>
        <v>0</v>
      </c>
    </row>
    <row r="137" spans="1:6" ht="15" x14ac:dyDescent="0.25">
      <c r="A137" s="258">
        <v>343</v>
      </c>
      <c r="B137" s="258" t="s">
        <v>1242</v>
      </c>
      <c r="C137" s="258" t="s">
        <v>1246</v>
      </c>
      <c r="D137" s="258">
        <v>26405</v>
      </c>
      <c r="E137" s="243" t="s">
        <v>61</v>
      </c>
      <c r="F137" s="221" t="b">
        <f t="shared" si="6"/>
        <v>0</v>
      </c>
    </row>
    <row r="138" spans="1:6" ht="15" x14ac:dyDescent="0.25">
      <c r="A138" s="259">
        <v>269</v>
      </c>
      <c r="B138" s="259" t="s">
        <v>1141</v>
      </c>
      <c r="C138" s="259" t="s">
        <v>1142</v>
      </c>
      <c r="D138" s="259">
        <v>29200</v>
      </c>
      <c r="E138" s="243" t="s">
        <v>61</v>
      </c>
      <c r="F138" s="221" t="b">
        <f t="shared" si="6"/>
        <v>0</v>
      </c>
    </row>
    <row r="139" spans="1:6" ht="15" x14ac:dyDescent="0.25">
      <c r="A139" s="258">
        <v>269</v>
      </c>
      <c r="B139" s="258" t="s">
        <v>1141</v>
      </c>
      <c r="C139" s="258" t="s">
        <v>1143</v>
      </c>
      <c r="D139" s="258">
        <v>29201</v>
      </c>
      <c r="E139" s="243" t="s">
        <v>61</v>
      </c>
      <c r="F139" s="221" t="b">
        <f t="shared" si="6"/>
        <v>0</v>
      </c>
    </row>
    <row r="140" spans="1:6" ht="15" x14ac:dyDescent="0.25">
      <c r="A140" s="259">
        <v>271</v>
      </c>
      <c r="B140" s="259" t="s">
        <v>1146</v>
      </c>
      <c r="C140" s="259" t="s">
        <v>1147</v>
      </c>
      <c r="D140" s="259">
        <v>20355</v>
      </c>
      <c r="E140" s="243" t="s">
        <v>61</v>
      </c>
      <c r="F140" s="221" t="b">
        <f t="shared" si="6"/>
        <v>0</v>
      </c>
    </row>
    <row r="141" spans="1:6" ht="15" x14ac:dyDescent="0.25">
      <c r="A141" s="258">
        <v>357</v>
      </c>
      <c r="B141" s="258" t="s">
        <v>1268</v>
      </c>
      <c r="C141" s="258" t="s">
        <v>1272</v>
      </c>
      <c r="D141" s="258">
        <v>26580</v>
      </c>
      <c r="E141" s="243" t="s">
        <v>61</v>
      </c>
      <c r="F141" s="221" t="b">
        <f t="shared" si="6"/>
        <v>0</v>
      </c>
    </row>
    <row r="142" spans="1:6" ht="15" x14ac:dyDescent="0.25">
      <c r="A142" s="259">
        <v>274</v>
      </c>
      <c r="B142" s="259" t="s">
        <v>1148</v>
      </c>
      <c r="C142" s="259" t="s">
        <v>1151</v>
      </c>
      <c r="D142" s="259">
        <v>22275</v>
      </c>
      <c r="E142" s="243" t="s">
        <v>61</v>
      </c>
      <c r="F142" s="221" t="b">
        <f t="shared" si="6"/>
        <v>0</v>
      </c>
    </row>
    <row r="143" spans="1:6" ht="15" x14ac:dyDescent="0.25">
      <c r="A143" s="258">
        <v>503</v>
      </c>
      <c r="B143" s="258" t="s">
        <v>1434</v>
      </c>
      <c r="C143" s="258" t="s">
        <v>1435</v>
      </c>
      <c r="D143" s="258">
        <v>20980</v>
      </c>
      <c r="E143" s="243" t="s">
        <v>61</v>
      </c>
      <c r="F143" s="221" t="b">
        <f t="shared" si="6"/>
        <v>0</v>
      </c>
    </row>
    <row r="144" spans="1:6" ht="15" x14ac:dyDescent="0.25">
      <c r="A144" s="258">
        <v>276</v>
      </c>
      <c r="B144" s="258" t="s">
        <v>1155</v>
      </c>
      <c r="C144" s="258" t="s">
        <v>1571</v>
      </c>
      <c r="D144" s="258">
        <v>26565</v>
      </c>
      <c r="E144" s="243" t="s">
        <v>61</v>
      </c>
      <c r="F144" s="221" t="b">
        <f t="shared" si="6"/>
        <v>0</v>
      </c>
    </row>
    <row r="145" spans="1:6" ht="15" x14ac:dyDescent="0.25">
      <c r="A145" s="259">
        <v>351</v>
      </c>
      <c r="B145" s="259" t="s">
        <v>1249</v>
      </c>
      <c r="C145" s="259" t="s">
        <v>1252</v>
      </c>
      <c r="D145" s="259">
        <v>21020</v>
      </c>
      <c r="E145" s="243" t="s">
        <v>61</v>
      </c>
      <c r="F145" s="221" t="b">
        <f t="shared" si="6"/>
        <v>0</v>
      </c>
    </row>
    <row r="146" spans="1:6" ht="15" x14ac:dyDescent="0.25">
      <c r="A146" s="258">
        <v>351</v>
      </c>
      <c r="B146" s="258" t="s">
        <v>1249</v>
      </c>
      <c r="C146" s="258" t="s">
        <v>1253</v>
      </c>
      <c r="D146" s="258">
        <v>21025</v>
      </c>
      <c r="E146" s="243" t="s">
        <v>61</v>
      </c>
      <c r="F146" s="221" t="b">
        <f t="shared" si="6"/>
        <v>0</v>
      </c>
    </row>
    <row r="147" spans="1:6" ht="15" x14ac:dyDescent="0.25">
      <c r="A147" s="259">
        <v>247</v>
      </c>
      <c r="B147" s="259" t="s">
        <v>1108</v>
      </c>
      <c r="C147" s="259" t="s">
        <v>1109</v>
      </c>
      <c r="D147" s="259">
        <v>20670</v>
      </c>
      <c r="E147" s="243" t="s">
        <v>61</v>
      </c>
      <c r="F147" s="221" t="b">
        <f t="shared" si="6"/>
        <v>0</v>
      </c>
    </row>
    <row r="148" spans="1:6" ht="15" x14ac:dyDescent="0.25">
      <c r="A148" s="258">
        <v>335</v>
      </c>
      <c r="B148" s="258" t="s">
        <v>909</v>
      </c>
      <c r="C148" s="258" t="s">
        <v>1226</v>
      </c>
      <c r="D148" s="258">
        <v>21590</v>
      </c>
      <c r="E148" s="243" t="s">
        <v>1568</v>
      </c>
      <c r="F148" s="221" t="b">
        <f t="shared" si="6"/>
        <v>0</v>
      </c>
    </row>
    <row r="149" spans="1:6" ht="15" x14ac:dyDescent="0.25">
      <c r="A149" s="259">
        <v>341</v>
      </c>
      <c r="B149" s="259" t="s">
        <v>1236</v>
      </c>
      <c r="C149" s="259" t="s">
        <v>1237</v>
      </c>
      <c r="D149" s="259">
        <v>23000</v>
      </c>
      <c r="E149" s="243" t="s">
        <v>61</v>
      </c>
      <c r="F149" s="221" t="b">
        <f t="shared" si="6"/>
        <v>0</v>
      </c>
    </row>
    <row r="150" spans="1:6" ht="15" x14ac:dyDescent="0.25">
      <c r="A150" s="258">
        <v>113</v>
      </c>
      <c r="B150" s="258" t="s">
        <v>993</v>
      </c>
      <c r="C150" s="258" t="s">
        <v>995</v>
      </c>
      <c r="D150" s="258">
        <v>20335</v>
      </c>
      <c r="E150" s="243" t="s">
        <v>61</v>
      </c>
      <c r="F150" s="221" t="b">
        <f t="shared" si="6"/>
        <v>0</v>
      </c>
    </row>
    <row r="151" spans="1:6" ht="15" x14ac:dyDescent="0.25">
      <c r="A151" s="259">
        <v>279</v>
      </c>
      <c r="B151" s="259" t="s">
        <v>1162</v>
      </c>
      <c r="C151" s="259" t="s">
        <v>1572</v>
      </c>
      <c r="D151" s="259">
        <v>29180</v>
      </c>
      <c r="E151" s="243" t="s">
        <v>61</v>
      </c>
      <c r="F151" s="221" t="b">
        <f t="shared" si="6"/>
        <v>0</v>
      </c>
    </row>
    <row r="152" spans="1:6" ht="15" x14ac:dyDescent="0.25">
      <c r="A152" s="259">
        <v>35</v>
      </c>
      <c r="B152" s="259" t="s">
        <v>934</v>
      </c>
      <c r="C152" s="259" t="s">
        <v>935</v>
      </c>
      <c r="D152" s="259">
        <v>20325</v>
      </c>
      <c r="E152" s="243" t="s">
        <v>61</v>
      </c>
      <c r="F152" s="221" t="b">
        <f t="shared" si="6"/>
        <v>0</v>
      </c>
    </row>
    <row r="153" spans="1:6" ht="15" x14ac:dyDescent="0.25">
      <c r="A153" s="258">
        <v>276</v>
      </c>
      <c r="B153" s="258" t="s">
        <v>1155</v>
      </c>
      <c r="C153" s="258" t="s">
        <v>1159</v>
      </c>
      <c r="D153" s="258">
        <v>21980</v>
      </c>
      <c r="E153" s="243" t="s">
        <v>61</v>
      </c>
      <c r="F153" s="221" t="b">
        <f t="shared" si="6"/>
        <v>0</v>
      </c>
    </row>
    <row r="154" spans="1:6" ht="15" x14ac:dyDescent="0.25">
      <c r="A154" s="259">
        <v>276</v>
      </c>
      <c r="B154" s="259" t="s">
        <v>1155</v>
      </c>
      <c r="C154" s="259" t="s">
        <v>1160</v>
      </c>
      <c r="D154" s="259">
        <v>26530</v>
      </c>
      <c r="E154" s="243" t="s">
        <v>61</v>
      </c>
      <c r="F154" s="221" t="b">
        <f t="shared" si="6"/>
        <v>0</v>
      </c>
    </row>
    <row r="155" spans="1:6" ht="15" x14ac:dyDescent="0.25">
      <c r="A155" s="258">
        <v>525</v>
      </c>
      <c r="B155" s="258" t="s">
        <v>1445</v>
      </c>
      <c r="C155" s="258" t="s">
        <v>1446</v>
      </c>
      <c r="D155" s="258">
        <v>20365</v>
      </c>
      <c r="E155" s="243" t="s">
        <v>61</v>
      </c>
      <c r="F155" s="221" t="b">
        <f t="shared" si="6"/>
        <v>0</v>
      </c>
    </row>
    <row r="156" spans="1:6" ht="15" x14ac:dyDescent="0.25">
      <c r="A156" s="259">
        <v>281</v>
      </c>
      <c r="B156" s="259" t="s">
        <v>1169</v>
      </c>
      <c r="C156" s="259" t="s">
        <v>1170</v>
      </c>
      <c r="D156" s="259">
        <v>20605</v>
      </c>
      <c r="E156" s="243" t="s">
        <v>1568</v>
      </c>
      <c r="F156" s="221" t="b">
        <f t="shared" si="6"/>
        <v>0</v>
      </c>
    </row>
    <row r="157" spans="1:6" ht="15" x14ac:dyDescent="0.25">
      <c r="A157" s="258">
        <v>288</v>
      </c>
      <c r="B157" s="258" t="s">
        <v>1177</v>
      </c>
      <c r="C157" s="258" t="s">
        <v>1178</v>
      </c>
      <c r="D157" s="258">
        <v>21405</v>
      </c>
      <c r="E157" s="243" t="s">
        <v>61</v>
      </c>
      <c r="F157" s="221" t="b">
        <f t="shared" si="6"/>
        <v>0</v>
      </c>
    </row>
    <row r="158" spans="1:6" ht="15" x14ac:dyDescent="0.25">
      <c r="A158" s="259">
        <v>453</v>
      </c>
      <c r="B158" s="259" t="s">
        <v>1378</v>
      </c>
      <c r="C158" s="259" t="s">
        <v>1379</v>
      </c>
      <c r="D158" s="259">
        <v>21385</v>
      </c>
      <c r="E158" s="243" t="s">
        <v>61</v>
      </c>
      <c r="F158" s="221" t="b">
        <f t="shared" si="6"/>
        <v>0</v>
      </c>
    </row>
    <row r="159" spans="1:6" ht="15" x14ac:dyDescent="0.25">
      <c r="A159" s="258">
        <v>568</v>
      </c>
      <c r="B159" s="258" t="s">
        <v>1474</v>
      </c>
      <c r="C159" s="258" t="s">
        <v>1476</v>
      </c>
      <c r="D159" s="258">
        <v>21475</v>
      </c>
      <c r="E159" s="243" t="s">
        <v>61</v>
      </c>
      <c r="F159" s="221" t="b">
        <f t="shared" si="6"/>
        <v>0</v>
      </c>
    </row>
    <row r="160" spans="1:6" ht="15" x14ac:dyDescent="0.25">
      <c r="A160" s="258">
        <v>291</v>
      </c>
      <c r="B160" s="258" t="s">
        <v>1179</v>
      </c>
      <c r="C160" s="258" t="s">
        <v>1180</v>
      </c>
      <c r="D160" s="258">
        <v>21410</v>
      </c>
      <c r="E160" s="243" t="s">
        <v>61</v>
      </c>
      <c r="F160" s="221" t="b">
        <f t="shared" si="6"/>
        <v>0</v>
      </c>
    </row>
    <row r="161" spans="1:6" ht="15" x14ac:dyDescent="0.25">
      <c r="A161" s="259">
        <v>371</v>
      </c>
      <c r="B161" s="259" t="s">
        <v>1289</v>
      </c>
      <c r="C161" s="259" t="s">
        <v>1301</v>
      </c>
      <c r="D161" s="259">
        <v>21915</v>
      </c>
      <c r="E161" s="243" t="s">
        <v>61</v>
      </c>
      <c r="F161" s="221" t="b">
        <f t="shared" si="6"/>
        <v>0</v>
      </c>
    </row>
    <row r="162" spans="1:6" ht="15" x14ac:dyDescent="0.25">
      <c r="A162" s="258">
        <v>299</v>
      </c>
      <c r="B162" s="258" t="s">
        <v>1186</v>
      </c>
      <c r="C162" s="258" t="s">
        <v>1187</v>
      </c>
      <c r="D162" s="258">
        <v>29169</v>
      </c>
      <c r="E162" s="243" t="s">
        <v>61</v>
      </c>
      <c r="F162" s="221" t="b">
        <f t="shared" si="6"/>
        <v>0</v>
      </c>
    </row>
    <row r="163" spans="1:6" ht="15" x14ac:dyDescent="0.25">
      <c r="A163" s="259">
        <v>227</v>
      </c>
      <c r="B163" s="259" t="s">
        <v>1096</v>
      </c>
      <c r="C163" s="259" t="s">
        <v>1097</v>
      </c>
      <c r="D163" s="259">
        <v>20800</v>
      </c>
      <c r="E163" s="243" t="s">
        <v>61</v>
      </c>
      <c r="F163" s="221" t="b">
        <f t="shared" si="6"/>
        <v>0</v>
      </c>
    </row>
    <row r="164" spans="1:6" ht="15" x14ac:dyDescent="0.25">
      <c r="A164" s="258">
        <v>173</v>
      </c>
      <c r="B164" s="258" t="s">
        <v>1035</v>
      </c>
      <c r="C164" s="258" t="s">
        <v>1037</v>
      </c>
      <c r="D164" s="258">
        <v>20595</v>
      </c>
      <c r="E164" s="243" t="s">
        <v>61</v>
      </c>
      <c r="F164" s="221" t="b">
        <f t="shared" si="6"/>
        <v>0</v>
      </c>
    </row>
    <row r="165" spans="1:6" ht="15" x14ac:dyDescent="0.25">
      <c r="A165" s="259">
        <v>305</v>
      </c>
      <c r="B165" s="259" t="s">
        <v>1188</v>
      </c>
      <c r="C165" s="259" t="s">
        <v>1191</v>
      </c>
      <c r="D165" s="259">
        <v>20880</v>
      </c>
      <c r="E165" s="243" t="s">
        <v>61</v>
      </c>
      <c r="F165" s="221" t="b">
        <f t="shared" si="6"/>
        <v>0</v>
      </c>
    </row>
    <row r="166" spans="1:6" ht="15" x14ac:dyDescent="0.25">
      <c r="A166" s="258">
        <v>306</v>
      </c>
      <c r="B166" s="258" t="s">
        <v>1192</v>
      </c>
      <c r="C166" s="258" t="s">
        <v>1193</v>
      </c>
      <c r="D166" s="258">
        <v>21420</v>
      </c>
      <c r="E166" s="243" t="s">
        <v>61</v>
      </c>
      <c r="F166" s="221" t="b">
        <f t="shared" si="6"/>
        <v>0</v>
      </c>
    </row>
    <row r="167" spans="1:6" ht="15" x14ac:dyDescent="0.25">
      <c r="A167" s="259">
        <v>449</v>
      </c>
      <c r="B167" s="259" t="s">
        <v>1369</v>
      </c>
      <c r="C167" s="259" t="s">
        <v>1371</v>
      </c>
      <c r="D167" s="259">
        <v>22515</v>
      </c>
      <c r="E167" s="243" t="s">
        <v>61</v>
      </c>
      <c r="F167" s="221" t="b">
        <f t="shared" si="6"/>
        <v>0</v>
      </c>
    </row>
    <row r="168" spans="1:6" ht="15" x14ac:dyDescent="0.25">
      <c r="A168" s="258">
        <v>352</v>
      </c>
      <c r="B168" s="258" t="s">
        <v>1256</v>
      </c>
      <c r="C168" s="258" t="s">
        <v>1259</v>
      </c>
      <c r="D168" s="258">
        <v>22180</v>
      </c>
      <c r="E168" s="243" t="s">
        <v>61</v>
      </c>
      <c r="F168" s="221" t="b">
        <f t="shared" si="6"/>
        <v>0</v>
      </c>
    </row>
    <row r="169" spans="1:6" ht="15" x14ac:dyDescent="0.25">
      <c r="A169" s="259">
        <v>327</v>
      </c>
      <c r="B169" s="259" t="s">
        <v>1211</v>
      </c>
      <c r="C169" s="259" t="s">
        <v>1212</v>
      </c>
      <c r="D169" s="259">
        <v>20835</v>
      </c>
      <c r="E169" s="243" t="s">
        <v>61</v>
      </c>
      <c r="F169" s="221" t="b">
        <f t="shared" si="6"/>
        <v>0</v>
      </c>
    </row>
    <row r="170" spans="1:6" ht="15" x14ac:dyDescent="0.25">
      <c r="A170" s="258">
        <v>572</v>
      </c>
      <c r="B170" s="258" t="s">
        <v>1478</v>
      </c>
      <c r="C170" s="258" t="s">
        <v>1479</v>
      </c>
      <c r="D170" s="258">
        <v>23035</v>
      </c>
      <c r="E170" s="243" t="s">
        <v>61</v>
      </c>
      <c r="F170" s="221" t="b">
        <f t="shared" si="6"/>
        <v>0</v>
      </c>
    </row>
    <row r="171" spans="1:6" ht="15" x14ac:dyDescent="0.25">
      <c r="A171" s="259">
        <v>333</v>
      </c>
      <c r="B171" s="259" t="s">
        <v>1213</v>
      </c>
      <c r="C171" s="259" t="s">
        <v>1214</v>
      </c>
      <c r="D171" s="259">
        <v>20360</v>
      </c>
      <c r="E171" s="243" t="s">
        <v>61</v>
      </c>
      <c r="F171" s="221" t="b">
        <f t="shared" si="6"/>
        <v>0</v>
      </c>
    </row>
    <row r="172" spans="1:6" ht="15" x14ac:dyDescent="0.25">
      <c r="A172" s="258">
        <v>371</v>
      </c>
      <c r="B172" s="258" t="s">
        <v>1289</v>
      </c>
      <c r="C172" s="258" t="s">
        <v>1304</v>
      </c>
      <c r="D172" s="258">
        <v>21935</v>
      </c>
      <c r="E172" s="243" t="s">
        <v>61</v>
      </c>
      <c r="F172" s="221" t="b">
        <f t="shared" si="6"/>
        <v>0</v>
      </c>
    </row>
    <row r="173" spans="1:6" ht="15" x14ac:dyDescent="0.25">
      <c r="A173" s="259">
        <v>173</v>
      </c>
      <c r="B173" s="259" t="s">
        <v>1035</v>
      </c>
      <c r="C173" s="259" t="s">
        <v>1036</v>
      </c>
      <c r="D173" s="259">
        <v>20575</v>
      </c>
      <c r="E173" s="243" t="s">
        <v>61</v>
      </c>
      <c r="F173" s="221" t="b">
        <f t="shared" si="6"/>
        <v>0</v>
      </c>
    </row>
    <row r="174" spans="1:6" ht="15" x14ac:dyDescent="0.25">
      <c r="A174" s="258">
        <v>101</v>
      </c>
      <c r="B174" s="258" t="s">
        <v>967</v>
      </c>
      <c r="C174" s="258" t="s">
        <v>1626</v>
      </c>
      <c r="D174" s="258">
        <v>20160</v>
      </c>
      <c r="E174" s="243" t="s">
        <v>61</v>
      </c>
      <c r="F174" s="221" t="b">
        <f t="shared" si="6"/>
        <v>0</v>
      </c>
    </row>
    <row r="175" spans="1:6" ht="15" x14ac:dyDescent="0.25">
      <c r="A175" s="259">
        <v>199</v>
      </c>
      <c r="B175" s="259" t="s">
        <v>1068</v>
      </c>
      <c r="C175" s="259" t="s">
        <v>1626</v>
      </c>
      <c r="D175" s="259">
        <v>20690</v>
      </c>
      <c r="E175" s="243" t="s">
        <v>61</v>
      </c>
      <c r="F175" s="221" t="b">
        <f t="shared" si="6"/>
        <v>0</v>
      </c>
    </row>
    <row r="176" spans="1:6" ht="15" x14ac:dyDescent="0.25">
      <c r="A176" s="258">
        <v>263</v>
      </c>
      <c r="B176" s="258" t="s">
        <v>1130</v>
      </c>
      <c r="C176" s="258" t="s">
        <v>1132</v>
      </c>
      <c r="D176" s="258">
        <v>20965</v>
      </c>
      <c r="E176" s="243" t="s">
        <v>61</v>
      </c>
      <c r="F176" s="221" t="b">
        <f t="shared" si="6"/>
        <v>0</v>
      </c>
    </row>
    <row r="177" spans="1:6" ht="15" x14ac:dyDescent="0.25">
      <c r="A177" s="259">
        <v>461</v>
      </c>
      <c r="B177" s="259" t="s">
        <v>1382</v>
      </c>
      <c r="C177" s="259" t="s">
        <v>1393</v>
      </c>
      <c r="D177" s="259">
        <v>29080</v>
      </c>
      <c r="E177" s="243" t="s">
        <v>61</v>
      </c>
      <c r="F177" s="221" t="b">
        <f t="shared" si="6"/>
        <v>0</v>
      </c>
    </row>
    <row r="178" spans="1:6" ht="15" x14ac:dyDescent="0.25">
      <c r="A178" s="258">
        <v>491</v>
      </c>
      <c r="B178" s="258" t="s">
        <v>1421</v>
      </c>
      <c r="C178" s="258" t="s">
        <v>1425</v>
      </c>
      <c r="D178" s="258">
        <v>29203</v>
      </c>
      <c r="E178" s="243" t="s">
        <v>61</v>
      </c>
      <c r="F178" s="221" t="b">
        <f t="shared" si="6"/>
        <v>0</v>
      </c>
    </row>
    <row r="179" spans="1:6" ht="15" x14ac:dyDescent="0.25">
      <c r="A179" s="259">
        <v>339</v>
      </c>
      <c r="B179" s="259" t="s">
        <v>1234</v>
      </c>
      <c r="C179" s="259" t="s">
        <v>1235</v>
      </c>
      <c r="D179" s="259">
        <v>21210</v>
      </c>
      <c r="E179" s="243" t="s">
        <v>61</v>
      </c>
      <c r="F179" s="221" t="b">
        <f t="shared" si="6"/>
        <v>0</v>
      </c>
    </row>
    <row r="180" spans="1:6" ht="15" x14ac:dyDescent="0.25">
      <c r="A180" s="258">
        <v>473</v>
      </c>
      <c r="B180" s="258" t="s">
        <v>1401</v>
      </c>
      <c r="C180" s="258" t="s">
        <v>1405</v>
      </c>
      <c r="D180" s="258">
        <v>22875</v>
      </c>
      <c r="E180" s="243" t="s">
        <v>61</v>
      </c>
      <c r="F180" s="221" t="b">
        <f t="shared" si="6"/>
        <v>0</v>
      </c>
    </row>
    <row r="181" spans="1:6" ht="15" x14ac:dyDescent="0.25">
      <c r="A181" s="259">
        <v>449</v>
      </c>
      <c r="B181" s="259" t="s">
        <v>1369</v>
      </c>
      <c r="C181" s="259" t="s">
        <v>1373</v>
      </c>
      <c r="D181" s="259">
        <v>22545</v>
      </c>
      <c r="E181" s="243" t="s">
        <v>61</v>
      </c>
      <c r="F181" s="221" t="b">
        <f t="shared" si="6"/>
        <v>0</v>
      </c>
    </row>
    <row r="182" spans="1:6" ht="15" x14ac:dyDescent="0.25">
      <c r="A182" s="258">
        <v>345</v>
      </c>
      <c r="B182" s="258" t="s">
        <v>1247</v>
      </c>
      <c r="C182" s="258" t="s">
        <v>1248</v>
      </c>
      <c r="D182" s="258">
        <v>23040</v>
      </c>
      <c r="E182" s="243" t="s">
        <v>61</v>
      </c>
      <c r="F182" s="221" t="b">
        <f t="shared" si="6"/>
        <v>0</v>
      </c>
    </row>
    <row r="183" spans="1:6" ht="15" x14ac:dyDescent="0.25">
      <c r="A183" s="259">
        <v>423</v>
      </c>
      <c r="B183" s="259" t="s">
        <v>1341</v>
      </c>
      <c r="C183" s="259" t="s">
        <v>1345</v>
      </c>
      <c r="D183" s="259">
        <v>22805</v>
      </c>
      <c r="E183" s="243" t="s">
        <v>61</v>
      </c>
      <c r="F183" s="221" t="b">
        <f t="shared" si="6"/>
        <v>0</v>
      </c>
    </row>
    <row r="184" spans="1:6" ht="15" x14ac:dyDescent="0.25">
      <c r="A184" s="258">
        <v>319</v>
      </c>
      <c r="B184" s="258" t="s">
        <v>1204</v>
      </c>
      <c r="C184" s="258" t="s">
        <v>1209</v>
      </c>
      <c r="D184" s="258">
        <v>20485</v>
      </c>
      <c r="E184" s="243" t="s">
        <v>61</v>
      </c>
      <c r="F184" s="221" t="b">
        <f t="shared" si="6"/>
        <v>0</v>
      </c>
    </row>
    <row r="185" spans="1:6" ht="15" x14ac:dyDescent="0.25">
      <c r="A185" s="259">
        <v>381</v>
      </c>
      <c r="B185" s="259" t="s">
        <v>1311</v>
      </c>
      <c r="C185" s="259" t="s">
        <v>1312</v>
      </c>
      <c r="D185" s="259">
        <v>22455</v>
      </c>
      <c r="E185" s="243" t="s">
        <v>61</v>
      </c>
      <c r="F185" s="221" t="b">
        <f t="shared" si="6"/>
        <v>0</v>
      </c>
    </row>
    <row r="186" spans="1:6" ht="15" x14ac:dyDescent="0.25">
      <c r="A186" s="258">
        <v>461</v>
      </c>
      <c r="B186" s="258" t="s">
        <v>1382</v>
      </c>
      <c r="C186" s="258" t="s">
        <v>1385</v>
      </c>
      <c r="D186" s="258">
        <v>22665</v>
      </c>
      <c r="E186" s="243" t="s">
        <v>61</v>
      </c>
      <c r="F186" s="221" t="b">
        <f t="shared" si="6"/>
        <v>0</v>
      </c>
    </row>
    <row r="187" spans="1:6" ht="15" x14ac:dyDescent="0.25">
      <c r="A187" s="259">
        <v>335</v>
      </c>
      <c r="B187" s="259" t="s">
        <v>909</v>
      </c>
      <c r="C187" s="259" t="s">
        <v>1224</v>
      </c>
      <c r="D187" s="259">
        <v>21565</v>
      </c>
      <c r="E187" s="243" t="s">
        <v>61</v>
      </c>
      <c r="F187" s="221" t="b">
        <f t="shared" si="6"/>
        <v>0</v>
      </c>
    </row>
    <row r="188" spans="1:6" ht="15" x14ac:dyDescent="0.25">
      <c r="A188" s="258">
        <v>41</v>
      </c>
      <c r="B188" s="258" t="s">
        <v>938</v>
      </c>
      <c r="C188" s="258" t="s">
        <v>940</v>
      </c>
      <c r="D188" s="258">
        <v>21005</v>
      </c>
      <c r="E188" s="243" t="s">
        <v>61</v>
      </c>
      <c r="F188" s="221" t="b">
        <f t="shared" si="6"/>
        <v>0</v>
      </c>
    </row>
    <row r="189" spans="1:6" ht="15" x14ac:dyDescent="0.25">
      <c r="A189" s="259">
        <v>41</v>
      </c>
      <c r="B189" s="259" t="s">
        <v>938</v>
      </c>
      <c r="C189" s="259" t="s">
        <v>1627</v>
      </c>
      <c r="D189" s="259">
        <v>20990</v>
      </c>
      <c r="E189" s="243" t="s">
        <v>61</v>
      </c>
      <c r="F189" s="221" t="b">
        <f t="shared" si="6"/>
        <v>0</v>
      </c>
    </row>
    <row r="190" spans="1:6" ht="15" x14ac:dyDescent="0.25">
      <c r="A190" s="258">
        <v>476</v>
      </c>
      <c r="B190" s="258" t="s">
        <v>1409</v>
      </c>
      <c r="C190" s="258" t="s">
        <v>1627</v>
      </c>
      <c r="D190" s="258">
        <v>20635</v>
      </c>
      <c r="E190" s="243" t="s">
        <v>61</v>
      </c>
      <c r="F190" s="221" t="b">
        <f t="shared" si="6"/>
        <v>0</v>
      </c>
    </row>
    <row r="191" spans="1:6" ht="15" x14ac:dyDescent="0.25">
      <c r="A191" s="259">
        <v>744</v>
      </c>
      <c r="B191" s="259" t="s">
        <v>1628</v>
      </c>
      <c r="C191" s="259" t="s">
        <v>1628</v>
      </c>
      <c r="D191" s="259">
        <v>29167</v>
      </c>
      <c r="E191" s="243" t="s">
        <v>61</v>
      </c>
      <c r="F191" s="221" t="b">
        <f t="shared" si="6"/>
        <v>0</v>
      </c>
    </row>
    <row r="192" spans="1:6" ht="15" x14ac:dyDescent="0.25">
      <c r="A192" s="258">
        <v>353</v>
      </c>
      <c r="B192" s="258" t="s">
        <v>1264</v>
      </c>
      <c r="C192" s="258" t="s">
        <v>1265</v>
      </c>
      <c r="D192" s="258">
        <v>29178</v>
      </c>
      <c r="E192" s="243" t="s">
        <v>61</v>
      </c>
      <c r="F192" s="221" t="b">
        <f t="shared" si="6"/>
        <v>0</v>
      </c>
    </row>
    <row r="193" spans="1:6" ht="15" x14ac:dyDescent="0.25">
      <c r="A193" s="259">
        <v>355</v>
      </c>
      <c r="B193" s="259" t="s">
        <v>1266</v>
      </c>
      <c r="C193" s="259" t="s">
        <v>1267</v>
      </c>
      <c r="D193" s="259">
        <v>20760</v>
      </c>
      <c r="E193" s="243" t="s">
        <v>61</v>
      </c>
      <c r="F193" s="221" t="b">
        <f t="shared" si="6"/>
        <v>0</v>
      </c>
    </row>
    <row r="194" spans="1:6" ht="15" x14ac:dyDescent="0.25">
      <c r="A194" s="258">
        <v>317</v>
      </c>
      <c r="B194" s="258" t="s">
        <v>1200</v>
      </c>
      <c r="C194" s="258" t="s">
        <v>1203</v>
      </c>
      <c r="D194" s="258">
        <v>21450</v>
      </c>
      <c r="E194" s="243" t="s">
        <v>61</v>
      </c>
      <c r="F194" s="221" t="b">
        <f t="shared" si="6"/>
        <v>0</v>
      </c>
    </row>
    <row r="195" spans="1:6" ht="15" x14ac:dyDescent="0.25">
      <c r="A195" s="259">
        <v>111</v>
      </c>
      <c r="B195" s="259" t="s">
        <v>973</v>
      </c>
      <c r="C195" s="259" t="s">
        <v>976</v>
      </c>
      <c r="D195" s="259">
        <v>20250</v>
      </c>
      <c r="E195" s="243" t="s">
        <v>61</v>
      </c>
      <c r="F195" s="221" t="b">
        <f t="shared" ref="F195:F258" si="7">D195=D196</f>
        <v>0</v>
      </c>
    </row>
    <row r="196" spans="1:6" ht="15" x14ac:dyDescent="0.25">
      <c r="A196" s="258">
        <v>729</v>
      </c>
      <c r="B196" s="258" t="s">
        <v>1526</v>
      </c>
      <c r="C196" s="258" t="s">
        <v>1526</v>
      </c>
      <c r="D196" s="258">
        <v>29040</v>
      </c>
      <c r="E196" s="243" t="s">
        <v>61</v>
      </c>
      <c r="F196" s="221" t="b">
        <f t="shared" si="7"/>
        <v>0</v>
      </c>
    </row>
    <row r="197" spans="1:6" ht="15" x14ac:dyDescent="0.25">
      <c r="A197" s="259">
        <v>359</v>
      </c>
      <c r="B197" s="259" t="s">
        <v>1273</v>
      </c>
      <c r="C197" s="259" t="s">
        <v>1276</v>
      </c>
      <c r="D197" s="259">
        <v>22075</v>
      </c>
      <c r="E197" s="243" t="s">
        <v>61</v>
      </c>
      <c r="F197" s="221" t="b">
        <f t="shared" si="7"/>
        <v>0</v>
      </c>
    </row>
    <row r="198" spans="1:6" ht="15" x14ac:dyDescent="0.25">
      <c r="A198" s="258">
        <v>423</v>
      </c>
      <c r="B198" s="258" t="s">
        <v>1341</v>
      </c>
      <c r="C198" s="258" t="s">
        <v>1342</v>
      </c>
      <c r="D198" s="258">
        <v>26660</v>
      </c>
      <c r="E198" s="243" t="s">
        <v>61</v>
      </c>
      <c r="F198" s="221" t="b">
        <f t="shared" si="7"/>
        <v>0</v>
      </c>
    </row>
    <row r="199" spans="1:6" ht="15" x14ac:dyDescent="0.25">
      <c r="A199" s="259">
        <v>365</v>
      </c>
      <c r="B199" s="259" t="s">
        <v>1282</v>
      </c>
      <c r="C199" s="259" t="s">
        <v>1283</v>
      </c>
      <c r="D199" s="259">
        <v>20885</v>
      </c>
      <c r="E199" s="243" t="s">
        <v>61</v>
      </c>
      <c r="F199" s="221" t="b">
        <f t="shared" si="7"/>
        <v>0</v>
      </c>
    </row>
    <row r="200" spans="1:6" ht="15" x14ac:dyDescent="0.25">
      <c r="A200" s="258">
        <v>367</v>
      </c>
      <c r="B200" s="258" t="s">
        <v>1284</v>
      </c>
      <c r="C200" s="258" t="s">
        <v>1285</v>
      </c>
      <c r="D200" s="258">
        <v>21790</v>
      </c>
      <c r="E200" s="243" t="s">
        <v>61</v>
      </c>
      <c r="F200" s="221" t="b">
        <f t="shared" si="7"/>
        <v>0</v>
      </c>
    </row>
    <row r="201" spans="1:6" ht="15" x14ac:dyDescent="0.25">
      <c r="A201" s="259">
        <v>319</v>
      </c>
      <c r="B201" s="259" t="s">
        <v>1204</v>
      </c>
      <c r="C201" s="259" t="s">
        <v>1205</v>
      </c>
      <c r="D201" s="259">
        <v>27905</v>
      </c>
      <c r="E201" s="243" t="s">
        <v>61</v>
      </c>
      <c r="F201" s="221" t="b">
        <f t="shared" si="7"/>
        <v>0</v>
      </c>
    </row>
    <row r="202" spans="1:6" ht="15" x14ac:dyDescent="0.25">
      <c r="A202" s="258">
        <v>369</v>
      </c>
      <c r="B202" s="258" t="s">
        <v>1286</v>
      </c>
      <c r="C202" s="258" t="s">
        <v>1287</v>
      </c>
      <c r="D202" s="258">
        <v>22115</v>
      </c>
      <c r="E202" s="243" t="s">
        <v>61</v>
      </c>
      <c r="F202" s="221" t="b">
        <f t="shared" si="7"/>
        <v>0</v>
      </c>
    </row>
    <row r="203" spans="1:6" ht="15" x14ac:dyDescent="0.25">
      <c r="A203" s="259">
        <v>704</v>
      </c>
      <c r="B203" s="259" t="s">
        <v>1501</v>
      </c>
      <c r="C203" s="259" t="s">
        <v>1501</v>
      </c>
      <c r="D203" s="259">
        <v>29154</v>
      </c>
      <c r="E203" s="243" t="s">
        <v>61</v>
      </c>
      <c r="F203" s="221" t="b">
        <f t="shared" si="7"/>
        <v>0</v>
      </c>
    </row>
    <row r="204" spans="1:6" ht="15" x14ac:dyDescent="0.25">
      <c r="A204" s="258">
        <v>363</v>
      </c>
      <c r="B204" s="258" t="s">
        <v>1277</v>
      </c>
      <c r="C204" s="258" t="s">
        <v>1629</v>
      </c>
      <c r="D204" s="258">
        <v>21695</v>
      </c>
      <c r="E204" s="243" t="s">
        <v>61</v>
      </c>
      <c r="F204" s="221" t="b">
        <f t="shared" si="7"/>
        <v>0</v>
      </c>
    </row>
    <row r="205" spans="1:6" ht="15" x14ac:dyDescent="0.25">
      <c r="A205" s="259">
        <v>295</v>
      </c>
      <c r="B205" s="259" t="s">
        <v>1181</v>
      </c>
      <c r="C205" s="259" t="s">
        <v>1183</v>
      </c>
      <c r="D205" s="259">
        <v>21355</v>
      </c>
      <c r="E205" s="243" t="s">
        <v>61</v>
      </c>
      <c r="F205" s="221" t="b">
        <f t="shared" si="7"/>
        <v>0</v>
      </c>
    </row>
    <row r="206" spans="1:6" ht="15" x14ac:dyDescent="0.25">
      <c r="A206" s="258">
        <v>371</v>
      </c>
      <c r="B206" s="258" t="s">
        <v>1289</v>
      </c>
      <c r="C206" s="258" t="s">
        <v>1298</v>
      </c>
      <c r="D206" s="258">
        <v>21885</v>
      </c>
      <c r="E206" s="243" t="s">
        <v>61</v>
      </c>
      <c r="F206" s="221" t="b">
        <f t="shared" si="7"/>
        <v>0</v>
      </c>
    </row>
    <row r="207" spans="1:6" ht="15" x14ac:dyDescent="0.25">
      <c r="A207" s="259">
        <v>174</v>
      </c>
      <c r="B207" s="259" t="s">
        <v>1038</v>
      </c>
      <c r="C207" s="259" t="s">
        <v>1043</v>
      </c>
      <c r="D207" s="259">
        <v>22980</v>
      </c>
      <c r="E207" s="243" t="s">
        <v>61</v>
      </c>
      <c r="F207" s="221" t="b">
        <f t="shared" si="7"/>
        <v>0</v>
      </c>
    </row>
    <row r="208" spans="1:6" ht="15" x14ac:dyDescent="0.25">
      <c r="A208" s="258">
        <v>461</v>
      </c>
      <c r="B208" s="258" t="s">
        <v>1382</v>
      </c>
      <c r="C208" s="258" t="s">
        <v>1384</v>
      </c>
      <c r="D208" s="258">
        <v>22660</v>
      </c>
      <c r="E208" s="243" t="s">
        <v>61</v>
      </c>
      <c r="F208" s="221" t="b">
        <f t="shared" si="7"/>
        <v>0</v>
      </c>
    </row>
    <row r="209" spans="1:6" ht="15" x14ac:dyDescent="0.25">
      <c r="A209" s="258">
        <v>371</v>
      </c>
      <c r="B209" s="258" t="s">
        <v>1289</v>
      </c>
      <c r="C209" s="258" t="s">
        <v>1573</v>
      </c>
      <c r="D209" s="258">
        <v>29152</v>
      </c>
      <c r="E209" s="243" t="s">
        <v>61</v>
      </c>
      <c r="F209" s="221" t="b">
        <f t="shared" si="7"/>
        <v>0</v>
      </c>
    </row>
    <row r="210" spans="1:6" ht="15" x14ac:dyDescent="0.25">
      <c r="A210" s="259">
        <v>375</v>
      </c>
      <c r="B210" s="259" t="s">
        <v>1307</v>
      </c>
      <c r="C210" s="259" t="s">
        <v>1308</v>
      </c>
      <c r="D210" s="259">
        <v>21215</v>
      </c>
      <c r="E210" s="243" t="s">
        <v>61</v>
      </c>
      <c r="F210" s="221" t="b">
        <f t="shared" si="7"/>
        <v>0</v>
      </c>
    </row>
    <row r="211" spans="1:6" ht="15" x14ac:dyDescent="0.25">
      <c r="A211" s="258">
        <v>377</v>
      </c>
      <c r="B211" s="258" t="s">
        <v>1309</v>
      </c>
      <c r="C211" s="258" t="s">
        <v>1310</v>
      </c>
      <c r="D211" s="258">
        <v>20715</v>
      </c>
      <c r="E211" s="243" t="s">
        <v>61</v>
      </c>
      <c r="F211" s="221" t="b">
        <f t="shared" si="7"/>
        <v>0</v>
      </c>
    </row>
    <row r="212" spans="1:6" ht="15" x14ac:dyDescent="0.25">
      <c r="A212" s="259">
        <v>208</v>
      </c>
      <c r="B212" s="259" t="s">
        <v>1077</v>
      </c>
      <c r="C212" s="259" t="s">
        <v>1079</v>
      </c>
      <c r="D212" s="259">
        <v>22400</v>
      </c>
      <c r="E212" s="243" t="s">
        <v>61</v>
      </c>
      <c r="F212" s="221" t="b">
        <f t="shared" si="7"/>
        <v>0</v>
      </c>
    </row>
    <row r="213" spans="1:6" ht="15" x14ac:dyDescent="0.25">
      <c r="A213" s="258">
        <v>449</v>
      </c>
      <c r="B213" s="258" t="s">
        <v>1369</v>
      </c>
      <c r="C213" s="258" t="s">
        <v>1372</v>
      </c>
      <c r="D213" s="258">
        <v>22525</v>
      </c>
      <c r="E213" s="243" t="s">
        <v>61</v>
      </c>
      <c r="F213" s="221" t="b">
        <f t="shared" si="7"/>
        <v>0</v>
      </c>
    </row>
    <row r="214" spans="1:6" ht="15" x14ac:dyDescent="0.25">
      <c r="A214" s="259">
        <v>388</v>
      </c>
      <c r="B214" s="259" t="s">
        <v>1551</v>
      </c>
      <c r="C214" s="259" t="s">
        <v>1320</v>
      </c>
      <c r="D214" s="259">
        <v>20105</v>
      </c>
      <c r="E214" s="243" t="s">
        <v>1568</v>
      </c>
      <c r="F214" s="221" t="b">
        <f t="shared" si="7"/>
        <v>0</v>
      </c>
    </row>
    <row r="215" spans="1:6" ht="15" x14ac:dyDescent="0.25">
      <c r="A215" s="258">
        <v>371</v>
      </c>
      <c r="B215" s="258" t="s">
        <v>1289</v>
      </c>
      <c r="C215" s="258" t="s">
        <v>1293</v>
      </c>
      <c r="D215" s="258">
        <v>21845</v>
      </c>
      <c r="E215" s="243" t="s">
        <v>61</v>
      </c>
      <c r="F215" s="221" t="b">
        <f t="shared" si="7"/>
        <v>0</v>
      </c>
    </row>
    <row r="216" spans="1:6" ht="15" x14ac:dyDescent="0.25">
      <c r="A216" s="259">
        <v>387</v>
      </c>
      <c r="B216" s="259" t="s">
        <v>1313</v>
      </c>
      <c r="C216" s="259" t="s">
        <v>1314</v>
      </c>
      <c r="D216" s="259">
        <v>20610</v>
      </c>
      <c r="E216" s="243" t="s">
        <v>61</v>
      </c>
      <c r="F216" s="221" t="b">
        <f t="shared" si="7"/>
        <v>0</v>
      </c>
    </row>
    <row r="217" spans="1:6" ht="15" x14ac:dyDescent="0.25">
      <c r="A217" s="258">
        <v>391</v>
      </c>
      <c r="B217" s="258" t="s">
        <v>1321</v>
      </c>
      <c r="C217" s="258" t="s">
        <v>1322</v>
      </c>
      <c r="D217" s="258">
        <v>22465</v>
      </c>
      <c r="E217" s="243" t="s">
        <v>61</v>
      </c>
      <c r="F217" s="221" t="b">
        <f t="shared" si="7"/>
        <v>0</v>
      </c>
    </row>
    <row r="218" spans="1:6" ht="15" x14ac:dyDescent="0.25">
      <c r="A218" s="259">
        <v>399</v>
      </c>
      <c r="B218" s="259" t="s">
        <v>1323</v>
      </c>
      <c r="C218" s="259" t="s">
        <v>1324</v>
      </c>
      <c r="D218" s="259">
        <v>21300</v>
      </c>
      <c r="E218" s="243" t="s">
        <v>61</v>
      </c>
      <c r="F218" s="221" t="b">
        <f t="shared" si="7"/>
        <v>0</v>
      </c>
    </row>
    <row r="219" spans="1:6" ht="15" x14ac:dyDescent="0.25">
      <c r="A219" s="258">
        <v>399</v>
      </c>
      <c r="B219" s="258" t="s">
        <v>1323</v>
      </c>
      <c r="C219" s="258" t="s">
        <v>1326</v>
      </c>
      <c r="D219" s="258">
        <v>26560</v>
      </c>
      <c r="E219" s="243" t="s">
        <v>61</v>
      </c>
      <c r="F219" s="221" t="b">
        <f t="shared" si="7"/>
        <v>0</v>
      </c>
    </row>
    <row r="220" spans="1:6" ht="15" x14ac:dyDescent="0.25">
      <c r="A220" s="259">
        <v>405</v>
      </c>
      <c r="B220" s="259" t="s">
        <v>1331</v>
      </c>
      <c r="C220" s="259" t="s">
        <v>1332</v>
      </c>
      <c r="D220" s="259">
        <v>20805</v>
      </c>
      <c r="E220" s="243" t="s">
        <v>61</v>
      </c>
      <c r="F220" s="221" t="b">
        <f t="shared" si="7"/>
        <v>0</v>
      </c>
    </row>
    <row r="221" spans="1:6" ht="15" x14ac:dyDescent="0.25">
      <c r="A221" s="258">
        <v>319</v>
      </c>
      <c r="B221" s="258" t="s">
        <v>1204</v>
      </c>
      <c r="C221" s="258" t="s">
        <v>1206</v>
      </c>
      <c r="D221" s="258">
        <v>20470</v>
      </c>
      <c r="E221" s="243" t="s">
        <v>61</v>
      </c>
      <c r="F221" s="221" t="b">
        <f t="shared" si="7"/>
        <v>0</v>
      </c>
    </row>
    <row r="222" spans="1:6" ht="15" x14ac:dyDescent="0.25">
      <c r="A222" s="259">
        <v>473</v>
      </c>
      <c r="B222" s="259" t="s">
        <v>1401</v>
      </c>
      <c r="C222" s="259" t="s">
        <v>1407</v>
      </c>
      <c r="D222" s="259">
        <v>22890</v>
      </c>
      <c r="E222" s="243" t="s">
        <v>61</v>
      </c>
      <c r="F222" s="221" t="b">
        <f t="shared" si="7"/>
        <v>0</v>
      </c>
    </row>
    <row r="223" spans="1:6" ht="15" x14ac:dyDescent="0.25">
      <c r="A223" s="258">
        <v>174</v>
      </c>
      <c r="B223" s="258" t="s">
        <v>1038</v>
      </c>
      <c r="C223" s="258" t="s">
        <v>1047</v>
      </c>
      <c r="D223" s="258">
        <v>23005</v>
      </c>
      <c r="E223" s="243" t="s">
        <v>61</v>
      </c>
      <c r="F223" s="221" t="b">
        <f t="shared" si="7"/>
        <v>0</v>
      </c>
    </row>
    <row r="224" spans="1:6" ht="15" x14ac:dyDescent="0.25">
      <c r="A224" s="259">
        <v>335</v>
      </c>
      <c r="B224" s="259" t="s">
        <v>909</v>
      </c>
      <c r="C224" s="259" t="s">
        <v>1232</v>
      </c>
      <c r="D224" s="259">
        <v>26435</v>
      </c>
      <c r="E224" s="243" t="s">
        <v>61</v>
      </c>
      <c r="F224" s="221" t="b">
        <f t="shared" si="7"/>
        <v>0</v>
      </c>
    </row>
    <row r="225" spans="1:6" ht="15" x14ac:dyDescent="0.25">
      <c r="A225" s="258">
        <v>411</v>
      </c>
      <c r="B225" s="258" t="s">
        <v>1337</v>
      </c>
      <c r="C225" s="258" t="s">
        <v>1338</v>
      </c>
      <c r="D225" s="258">
        <v>22085</v>
      </c>
      <c r="E225" s="243" t="s">
        <v>61</v>
      </c>
      <c r="F225" s="221" t="b">
        <f t="shared" si="7"/>
        <v>0</v>
      </c>
    </row>
    <row r="226" spans="1:6" ht="15" x14ac:dyDescent="0.25">
      <c r="A226" s="259">
        <v>413</v>
      </c>
      <c r="B226" s="259" t="s">
        <v>1339</v>
      </c>
      <c r="C226" s="259" t="s">
        <v>1340</v>
      </c>
      <c r="D226" s="259">
        <v>22095</v>
      </c>
      <c r="E226" s="243" t="s">
        <v>61</v>
      </c>
      <c r="F226" s="221" t="b">
        <f t="shared" si="7"/>
        <v>0</v>
      </c>
    </row>
    <row r="227" spans="1:6" ht="15" x14ac:dyDescent="0.25">
      <c r="A227" s="258">
        <v>267</v>
      </c>
      <c r="B227" s="258" t="s">
        <v>1135</v>
      </c>
      <c r="C227" s="258" t="s">
        <v>1140</v>
      </c>
      <c r="D227" s="258">
        <v>26765</v>
      </c>
      <c r="E227" s="243" t="s">
        <v>61</v>
      </c>
      <c r="F227" s="221" t="b">
        <f t="shared" si="7"/>
        <v>0</v>
      </c>
    </row>
    <row r="228" spans="1:6" ht="15" x14ac:dyDescent="0.25">
      <c r="A228" s="259">
        <v>208</v>
      </c>
      <c r="B228" s="259" t="s">
        <v>1077</v>
      </c>
      <c r="C228" s="259" t="s">
        <v>1080</v>
      </c>
      <c r="D228" s="259">
        <v>22405</v>
      </c>
      <c r="E228" s="243" t="s">
        <v>61</v>
      </c>
      <c r="F228" s="221" t="b">
        <f t="shared" si="7"/>
        <v>0</v>
      </c>
    </row>
    <row r="229" spans="1:6" ht="15" x14ac:dyDescent="0.25">
      <c r="A229" s="258">
        <v>423</v>
      </c>
      <c r="B229" s="258" t="s">
        <v>1341</v>
      </c>
      <c r="C229" s="258" t="s">
        <v>1575</v>
      </c>
      <c r="D229" s="258">
        <v>29210</v>
      </c>
      <c r="E229" s="243" t="s">
        <v>61</v>
      </c>
      <c r="F229" s="221" t="b">
        <f t="shared" si="7"/>
        <v>0</v>
      </c>
    </row>
    <row r="230" spans="1:6" ht="15" x14ac:dyDescent="0.25">
      <c r="A230" s="258">
        <v>335</v>
      </c>
      <c r="B230" s="258" t="s">
        <v>909</v>
      </c>
      <c r="C230" s="258" t="s">
        <v>1220</v>
      </c>
      <c r="D230" s="258">
        <v>21540</v>
      </c>
      <c r="E230" s="243" t="s">
        <v>61</v>
      </c>
      <c r="F230" s="221" t="b">
        <f t="shared" si="7"/>
        <v>0</v>
      </c>
    </row>
    <row r="231" spans="1:6" ht="15" x14ac:dyDescent="0.25">
      <c r="A231" s="259">
        <v>185</v>
      </c>
      <c r="B231" s="259" t="s">
        <v>1054</v>
      </c>
      <c r="C231" s="259" t="s">
        <v>1055</v>
      </c>
      <c r="D231" s="259">
        <v>20650</v>
      </c>
      <c r="E231" s="243" t="s">
        <v>61</v>
      </c>
      <c r="F231" s="221" t="b">
        <f t="shared" si="7"/>
        <v>0</v>
      </c>
    </row>
    <row r="232" spans="1:6" ht="15" x14ac:dyDescent="0.25">
      <c r="A232" s="258">
        <v>543</v>
      </c>
      <c r="B232" s="258" t="s">
        <v>1459</v>
      </c>
      <c r="C232" s="258" t="s">
        <v>1460</v>
      </c>
      <c r="D232" s="258">
        <v>22110</v>
      </c>
      <c r="E232" s="243" t="s">
        <v>61</v>
      </c>
      <c r="F232" s="221" t="b">
        <f t="shared" si="7"/>
        <v>0</v>
      </c>
    </row>
    <row r="233" spans="1:6" ht="15" x14ac:dyDescent="0.25">
      <c r="A233" s="259">
        <v>449</v>
      </c>
      <c r="B233" s="259" t="s">
        <v>1369</v>
      </c>
      <c r="C233" s="259" t="s">
        <v>1576</v>
      </c>
      <c r="D233" s="259">
        <v>22560</v>
      </c>
      <c r="E233" s="243" t="s">
        <v>61</v>
      </c>
      <c r="F233" s="221" t="b">
        <f t="shared" si="7"/>
        <v>0</v>
      </c>
    </row>
    <row r="234" spans="1:6" ht="15" x14ac:dyDescent="0.25">
      <c r="A234" s="259">
        <v>425</v>
      </c>
      <c r="B234" s="259" t="s">
        <v>1346</v>
      </c>
      <c r="C234" s="259" t="s">
        <v>1347</v>
      </c>
      <c r="D234" s="259">
        <v>27970</v>
      </c>
      <c r="E234" s="243" t="s">
        <v>61</v>
      </c>
      <c r="F234" s="221" t="b">
        <f t="shared" si="7"/>
        <v>0</v>
      </c>
    </row>
    <row r="235" spans="1:6" ht="15" x14ac:dyDescent="0.25">
      <c r="A235" s="258">
        <v>425</v>
      </c>
      <c r="B235" s="258" t="s">
        <v>1346</v>
      </c>
      <c r="C235" s="258" t="s">
        <v>1349</v>
      </c>
      <c r="D235" s="258">
        <v>21110</v>
      </c>
      <c r="E235" s="243" t="s">
        <v>61</v>
      </c>
      <c r="F235" s="221" t="b">
        <f t="shared" si="7"/>
        <v>0</v>
      </c>
    </row>
    <row r="236" spans="1:6" ht="15" x14ac:dyDescent="0.25">
      <c r="A236" s="259">
        <v>427</v>
      </c>
      <c r="B236" s="259" t="s">
        <v>1350</v>
      </c>
      <c r="C236" s="259" t="s">
        <v>1351</v>
      </c>
      <c r="D236" s="259">
        <v>22615</v>
      </c>
      <c r="E236" s="243" t="s">
        <v>1568</v>
      </c>
      <c r="F236" s="221" t="b">
        <f t="shared" si="7"/>
        <v>0</v>
      </c>
    </row>
    <row r="237" spans="1:6" ht="15" x14ac:dyDescent="0.25">
      <c r="A237" s="258">
        <v>352</v>
      </c>
      <c r="B237" s="258" t="s">
        <v>1256</v>
      </c>
      <c r="C237" s="258" t="s">
        <v>1260</v>
      </c>
      <c r="D237" s="258">
        <v>22185</v>
      </c>
      <c r="E237" s="243" t="s">
        <v>61</v>
      </c>
      <c r="F237" s="221" t="b">
        <f t="shared" si="7"/>
        <v>0</v>
      </c>
    </row>
    <row r="238" spans="1:6" ht="15" x14ac:dyDescent="0.25">
      <c r="A238" s="259">
        <v>41</v>
      </c>
      <c r="B238" s="259" t="s">
        <v>938</v>
      </c>
      <c r="C238" s="259" t="s">
        <v>939</v>
      </c>
      <c r="D238" s="259">
        <v>21000</v>
      </c>
      <c r="E238" s="243" t="s">
        <v>61</v>
      </c>
      <c r="F238" s="221" t="b">
        <f t="shared" si="7"/>
        <v>0</v>
      </c>
    </row>
    <row r="239" spans="1:6" ht="15" x14ac:dyDescent="0.25">
      <c r="A239" s="258">
        <v>112</v>
      </c>
      <c r="B239" s="258" t="s">
        <v>981</v>
      </c>
      <c r="C239" s="258" t="s">
        <v>991</v>
      </c>
      <c r="D239" s="258">
        <v>22310</v>
      </c>
      <c r="E239" s="243" t="s">
        <v>61</v>
      </c>
      <c r="F239" s="221" t="b">
        <f t="shared" si="7"/>
        <v>0</v>
      </c>
    </row>
    <row r="240" spans="1:6" ht="15" x14ac:dyDescent="0.25">
      <c r="A240" s="259">
        <v>112</v>
      </c>
      <c r="B240" s="259" t="s">
        <v>981</v>
      </c>
      <c r="C240" s="259" t="s">
        <v>984</v>
      </c>
      <c r="D240" s="259">
        <v>22225</v>
      </c>
      <c r="E240" s="243" t="s">
        <v>1568</v>
      </c>
      <c r="F240" s="221" t="b">
        <f t="shared" si="7"/>
        <v>0</v>
      </c>
    </row>
    <row r="241" spans="1:6" ht="15" x14ac:dyDescent="0.25">
      <c r="A241" s="258">
        <v>435</v>
      </c>
      <c r="B241" s="258" t="s">
        <v>1356</v>
      </c>
      <c r="C241" s="258" t="s">
        <v>1357</v>
      </c>
      <c r="D241" s="258">
        <v>20895</v>
      </c>
      <c r="E241" s="243" t="s">
        <v>61</v>
      </c>
      <c r="F241" s="221" t="b">
        <f t="shared" si="7"/>
        <v>0</v>
      </c>
    </row>
    <row r="242" spans="1:6" ht="15" x14ac:dyDescent="0.25">
      <c r="A242" s="259">
        <v>113</v>
      </c>
      <c r="B242" s="259" t="s">
        <v>993</v>
      </c>
      <c r="C242" s="259" t="s">
        <v>994</v>
      </c>
      <c r="D242" s="259">
        <v>20330</v>
      </c>
      <c r="E242" s="243" t="s">
        <v>61</v>
      </c>
      <c r="F242" s="221" t="b">
        <f t="shared" si="7"/>
        <v>0</v>
      </c>
    </row>
    <row r="243" spans="1:6" ht="15" x14ac:dyDescent="0.25">
      <c r="A243" s="258">
        <v>437</v>
      </c>
      <c r="B243" s="258" t="s">
        <v>1358</v>
      </c>
      <c r="C243" s="258" t="s">
        <v>1359</v>
      </c>
      <c r="D243" s="258">
        <v>20205</v>
      </c>
      <c r="E243" s="243" t="s">
        <v>61</v>
      </c>
      <c r="F243" s="221" t="b">
        <f t="shared" si="7"/>
        <v>0</v>
      </c>
    </row>
    <row r="244" spans="1:6" ht="15" x14ac:dyDescent="0.25">
      <c r="A244" s="259">
        <v>439</v>
      </c>
      <c r="B244" s="259" t="s">
        <v>1361</v>
      </c>
      <c r="C244" s="259" t="s">
        <v>1362</v>
      </c>
      <c r="D244" s="259">
        <v>26595</v>
      </c>
      <c r="E244" s="243" t="s">
        <v>61</v>
      </c>
      <c r="F244" s="221" t="b">
        <f t="shared" si="7"/>
        <v>0</v>
      </c>
    </row>
    <row r="245" spans="1:6" ht="15" x14ac:dyDescent="0.25">
      <c r="A245" s="258">
        <v>441</v>
      </c>
      <c r="B245" s="258" t="s">
        <v>1365</v>
      </c>
      <c r="C245" s="258" t="s">
        <v>1366</v>
      </c>
      <c r="D245" s="258">
        <v>21375</v>
      </c>
      <c r="E245" s="243" t="s">
        <v>61</v>
      </c>
      <c r="F245" s="221" t="b">
        <f t="shared" si="7"/>
        <v>0</v>
      </c>
    </row>
    <row r="246" spans="1:6" ht="15" x14ac:dyDescent="0.25">
      <c r="A246" s="259">
        <v>285</v>
      </c>
      <c r="B246" s="259" t="s">
        <v>1171</v>
      </c>
      <c r="C246" s="259" t="s">
        <v>1173</v>
      </c>
      <c r="D246" s="259">
        <v>21260</v>
      </c>
      <c r="E246" s="243" t="s">
        <v>61</v>
      </c>
      <c r="F246" s="221" t="b">
        <f t="shared" si="7"/>
        <v>0</v>
      </c>
    </row>
    <row r="247" spans="1:6" ht="15" x14ac:dyDescent="0.25">
      <c r="A247" s="258">
        <v>447</v>
      </c>
      <c r="B247" s="258" t="s">
        <v>1367</v>
      </c>
      <c r="C247" s="258" t="s">
        <v>1368</v>
      </c>
      <c r="D247" s="258">
        <v>22355</v>
      </c>
      <c r="E247" s="243" t="s">
        <v>61</v>
      </c>
      <c r="F247" s="221" t="b">
        <f t="shared" si="7"/>
        <v>0</v>
      </c>
    </row>
    <row r="248" spans="1:6" ht="15" x14ac:dyDescent="0.25">
      <c r="A248" s="259">
        <v>735</v>
      </c>
      <c r="B248" s="259" t="s">
        <v>1533</v>
      </c>
      <c r="C248" s="259" t="s">
        <v>1533</v>
      </c>
      <c r="D248" s="259">
        <v>29065</v>
      </c>
      <c r="E248" s="243" t="s">
        <v>61</v>
      </c>
      <c r="F248" s="221" t="b">
        <f t="shared" si="7"/>
        <v>0</v>
      </c>
    </row>
    <row r="249" spans="1:6" ht="15" x14ac:dyDescent="0.25">
      <c r="A249" s="258">
        <v>534</v>
      </c>
      <c r="B249" s="258" t="s">
        <v>1449</v>
      </c>
      <c r="C249" s="258" t="s">
        <v>1454</v>
      </c>
      <c r="D249" s="258">
        <v>22765</v>
      </c>
      <c r="E249" s="243" t="s">
        <v>61</v>
      </c>
      <c r="F249" s="221" t="b">
        <f t="shared" si="7"/>
        <v>0</v>
      </c>
    </row>
    <row r="250" spans="1:6" ht="15" x14ac:dyDescent="0.25">
      <c r="A250" s="259">
        <v>371</v>
      </c>
      <c r="B250" s="259" t="s">
        <v>1289</v>
      </c>
      <c r="C250" s="259" t="s">
        <v>1574</v>
      </c>
      <c r="D250" s="259">
        <v>28610</v>
      </c>
      <c r="E250" s="243" t="s">
        <v>61</v>
      </c>
      <c r="F250" s="221" t="b">
        <f t="shared" si="7"/>
        <v>0</v>
      </c>
    </row>
    <row r="251" spans="1:6" ht="15" x14ac:dyDescent="0.25">
      <c r="A251" s="259">
        <v>351</v>
      </c>
      <c r="B251" s="259" t="s">
        <v>1249</v>
      </c>
      <c r="C251" s="259" t="s">
        <v>1251</v>
      </c>
      <c r="D251" s="259">
        <v>21015</v>
      </c>
      <c r="E251" s="243" t="s">
        <v>61</v>
      </c>
      <c r="F251" s="221" t="b">
        <f t="shared" si="7"/>
        <v>0</v>
      </c>
    </row>
    <row r="252" spans="1:6" ht="15" x14ac:dyDescent="0.25">
      <c r="A252" s="258">
        <v>71</v>
      </c>
      <c r="B252" s="258" t="s">
        <v>954</v>
      </c>
      <c r="C252" s="258" t="s">
        <v>956</v>
      </c>
      <c r="D252" s="258">
        <v>21800</v>
      </c>
      <c r="E252" s="243" t="s">
        <v>61</v>
      </c>
      <c r="F252" s="221" t="b">
        <f t="shared" si="7"/>
        <v>0</v>
      </c>
    </row>
    <row r="253" spans="1:6" ht="15" x14ac:dyDescent="0.25">
      <c r="A253" s="259">
        <v>401</v>
      </c>
      <c r="B253" s="259" t="s">
        <v>1327</v>
      </c>
      <c r="C253" s="259" t="s">
        <v>1330</v>
      </c>
      <c r="D253" s="259">
        <v>21995</v>
      </c>
      <c r="E253" s="243" t="s">
        <v>61</v>
      </c>
      <c r="F253" s="221" t="b">
        <f t="shared" si="7"/>
        <v>0</v>
      </c>
    </row>
    <row r="254" spans="1:6" ht="15" x14ac:dyDescent="0.25">
      <c r="A254" s="258">
        <v>41</v>
      </c>
      <c r="B254" s="258" t="s">
        <v>938</v>
      </c>
      <c r="C254" s="258" t="s">
        <v>941</v>
      </c>
      <c r="D254" s="258">
        <v>27680</v>
      </c>
      <c r="E254" s="243" t="s">
        <v>61</v>
      </c>
      <c r="F254" s="221" t="b">
        <f t="shared" si="7"/>
        <v>0</v>
      </c>
    </row>
    <row r="255" spans="1:6" ht="15" x14ac:dyDescent="0.25">
      <c r="A255" s="259">
        <v>274</v>
      </c>
      <c r="B255" s="259" t="s">
        <v>1148</v>
      </c>
      <c r="C255" s="259" t="s">
        <v>1149</v>
      </c>
      <c r="D255" s="259">
        <v>22320</v>
      </c>
      <c r="E255" s="243" t="s">
        <v>61</v>
      </c>
      <c r="F255" s="221" t="b">
        <f t="shared" si="7"/>
        <v>0</v>
      </c>
    </row>
    <row r="256" spans="1:6" ht="15" x14ac:dyDescent="0.25">
      <c r="A256" s="258">
        <v>737</v>
      </c>
      <c r="B256" s="258" t="s">
        <v>1534</v>
      </c>
      <c r="C256" s="258" t="s">
        <v>1534</v>
      </c>
      <c r="D256" s="258">
        <v>29070</v>
      </c>
      <c r="E256" s="243" t="s">
        <v>61</v>
      </c>
      <c r="F256" s="221" t="b">
        <f t="shared" si="7"/>
        <v>0</v>
      </c>
    </row>
    <row r="257" spans="1:6" ht="15" x14ac:dyDescent="0.25">
      <c r="A257" s="259">
        <v>463</v>
      </c>
      <c r="B257" s="259" t="s">
        <v>1394</v>
      </c>
      <c r="C257" s="259" t="s">
        <v>1395</v>
      </c>
      <c r="D257" s="259">
        <v>22810</v>
      </c>
      <c r="E257" s="243" t="s">
        <v>61</v>
      </c>
      <c r="F257" s="221" t="b">
        <f t="shared" si="7"/>
        <v>0</v>
      </c>
    </row>
    <row r="258" spans="1:6" ht="15" x14ac:dyDescent="0.25">
      <c r="A258" s="258">
        <v>467</v>
      </c>
      <c r="B258" s="258" t="s">
        <v>1396</v>
      </c>
      <c r="C258" s="258" t="s">
        <v>1397</v>
      </c>
      <c r="D258" s="258">
        <v>22375</v>
      </c>
      <c r="E258" s="243" t="s">
        <v>61</v>
      </c>
      <c r="F258" s="221" t="b">
        <f t="shared" si="7"/>
        <v>0</v>
      </c>
    </row>
    <row r="259" spans="1:6" ht="15" x14ac:dyDescent="0.25">
      <c r="A259" s="259">
        <v>471</v>
      </c>
      <c r="B259" s="259" t="s">
        <v>1398</v>
      </c>
      <c r="C259" s="259" t="s">
        <v>1400</v>
      </c>
      <c r="D259" s="259">
        <v>22475</v>
      </c>
      <c r="E259" s="243" t="s">
        <v>1568</v>
      </c>
      <c r="F259" s="221" t="b">
        <f t="shared" ref="F259:F325" si="8">D259=D260</f>
        <v>0</v>
      </c>
    </row>
    <row r="260" spans="1:6" ht="15" x14ac:dyDescent="0.25">
      <c r="A260" s="258">
        <v>471</v>
      </c>
      <c r="B260" s="258" t="s">
        <v>1398</v>
      </c>
      <c r="C260" s="258" t="s">
        <v>1399</v>
      </c>
      <c r="D260" s="258">
        <v>22470</v>
      </c>
      <c r="E260" s="243" t="s">
        <v>61</v>
      </c>
      <c r="F260" s="221" t="b">
        <f t="shared" si="8"/>
        <v>0</v>
      </c>
    </row>
    <row r="261" spans="1:6" ht="15" x14ac:dyDescent="0.25">
      <c r="A261" s="258">
        <v>473</v>
      </c>
      <c r="B261" s="258" t="s">
        <v>1401</v>
      </c>
      <c r="C261" s="258" t="s">
        <v>1631</v>
      </c>
      <c r="D261" s="258">
        <v>29225</v>
      </c>
      <c r="E261" s="243" t="s">
        <v>61</v>
      </c>
      <c r="F261" s="221" t="b">
        <f t="shared" si="8"/>
        <v>0</v>
      </c>
    </row>
    <row r="262" spans="1:6" ht="15" x14ac:dyDescent="0.25">
      <c r="A262" s="259">
        <v>352</v>
      </c>
      <c r="B262" s="259" t="s">
        <v>1256</v>
      </c>
      <c r="C262" s="259" t="s">
        <v>1262</v>
      </c>
      <c r="D262" s="259">
        <v>22200</v>
      </c>
      <c r="E262" s="243" t="s">
        <v>61</v>
      </c>
      <c r="F262" s="221" t="b">
        <f t="shared" si="8"/>
        <v>0</v>
      </c>
    </row>
    <row r="263" spans="1:6" ht="15" x14ac:dyDescent="0.25">
      <c r="A263" s="258">
        <v>582</v>
      </c>
      <c r="B263" s="258" t="s">
        <v>1491</v>
      </c>
      <c r="C263" s="258" t="s">
        <v>1492</v>
      </c>
      <c r="D263" s="258">
        <v>22925</v>
      </c>
      <c r="E263" s="243" t="s">
        <v>61</v>
      </c>
      <c r="F263" s="221" t="b">
        <f t="shared" si="8"/>
        <v>0</v>
      </c>
    </row>
    <row r="264" spans="1:6" ht="15" x14ac:dyDescent="0.25">
      <c r="A264" s="259">
        <v>534</v>
      </c>
      <c r="B264" s="259" t="s">
        <v>1449</v>
      </c>
      <c r="C264" s="259" t="s">
        <v>1456</v>
      </c>
      <c r="D264" s="259">
        <v>22775</v>
      </c>
      <c r="E264" s="243" t="s">
        <v>61</v>
      </c>
      <c r="F264" s="221" t="b">
        <f t="shared" si="8"/>
        <v>0</v>
      </c>
    </row>
    <row r="265" spans="1:6" ht="15" x14ac:dyDescent="0.25">
      <c r="A265" s="258">
        <v>534</v>
      </c>
      <c r="B265" s="258" t="s">
        <v>1449</v>
      </c>
      <c r="C265" s="258" t="s">
        <v>1450</v>
      </c>
      <c r="D265" s="258">
        <v>27910</v>
      </c>
      <c r="E265" s="243" t="s">
        <v>61</v>
      </c>
      <c r="F265" s="221" t="b">
        <f t="shared" si="8"/>
        <v>0</v>
      </c>
    </row>
    <row r="266" spans="1:6" ht="15" x14ac:dyDescent="0.25">
      <c r="A266" s="259">
        <v>269</v>
      </c>
      <c r="B266" s="259" t="s">
        <v>1141</v>
      </c>
      <c r="C266" s="259" t="s">
        <v>1145</v>
      </c>
      <c r="D266" s="259">
        <v>20040</v>
      </c>
      <c r="E266" s="243" t="s">
        <v>61</v>
      </c>
      <c r="F266" s="221" t="b">
        <f t="shared" si="8"/>
        <v>0</v>
      </c>
    </row>
    <row r="267" spans="1:6" ht="15" x14ac:dyDescent="0.25">
      <c r="A267" s="258">
        <v>174</v>
      </c>
      <c r="B267" s="258" t="s">
        <v>1038</v>
      </c>
      <c r="C267" s="258" t="s">
        <v>1046</v>
      </c>
      <c r="D267" s="258">
        <v>22995</v>
      </c>
      <c r="E267" s="243" t="s">
        <v>61</v>
      </c>
      <c r="F267" s="221" t="b">
        <f t="shared" si="8"/>
        <v>0</v>
      </c>
    </row>
    <row r="268" spans="1:6" ht="15" x14ac:dyDescent="0.25">
      <c r="A268" s="259">
        <v>461</v>
      </c>
      <c r="B268" s="259" t="s">
        <v>1382</v>
      </c>
      <c r="C268" s="259" t="s">
        <v>1391</v>
      </c>
      <c r="D268" s="259">
        <v>22720</v>
      </c>
      <c r="E268" s="243" t="s">
        <v>61</v>
      </c>
      <c r="F268" s="221" t="b">
        <f t="shared" si="8"/>
        <v>0</v>
      </c>
    </row>
    <row r="269" spans="1:6" ht="15" x14ac:dyDescent="0.25">
      <c r="A269" s="258">
        <v>485</v>
      </c>
      <c r="B269" s="258" t="s">
        <v>1413</v>
      </c>
      <c r="C269" s="258" t="s">
        <v>1415</v>
      </c>
      <c r="D269" s="258">
        <v>20810</v>
      </c>
      <c r="E269" s="243" t="s">
        <v>61</v>
      </c>
      <c r="F269" s="221" t="b">
        <f t="shared" si="8"/>
        <v>0</v>
      </c>
    </row>
    <row r="270" spans="1:6" ht="15" x14ac:dyDescent="0.25">
      <c r="A270" s="259">
        <v>485</v>
      </c>
      <c r="B270" s="259" t="s">
        <v>1413</v>
      </c>
      <c r="C270" s="259" t="s">
        <v>1414</v>
      </c>
      <c r="D270" s="259">
        <v>27995</v>
      </c>
      <c r="E270" s="243" t="s">
        <v>61</v>
      </c>
      <c r="F270" s="221" t="b">
        <f t="shared" si="8"/>
        <v>0</v>
      </c>
    </row>
    <row r="271" spans="1:6" ht="15" x14ac:dyDescent="0.25">
      <c r="A271" s="258">
        <v>705</v>
      </c>
      <c r="B271" s="258" t="s">
        <v>1502</v>
      </c>
      <c r="C271" s="258" t="s">
        <v>1502</v>
      </c>
      <c r="D271" s="258">
        <v>28400</v>
      </c>
      <c r="E271" s="243" t="s">
        <v>61</v>
      </c>
      <c r="F271" s="221" t="b">
        <f t="shared" si="8"/>
        <v>0</v>
      </c>
    </row>
    <row r="272" spans="1:6" ht="15" x14ac:dyDescent="0.25">
      <c r="A272" s="258">
        <v>276</v>
      </c>
      <c r="B272" s="258" t="s">
        <v>1155</v>
      </c>
      <c r="C272" s="258" t="s">
        <v>1158</v>
      </c>
      <c r="D272" s="258">
        <v>22020</v>
      </c>
      <c r="E272" s="243" t="s">
        <v>61</v>
      </c>
      <c r="F272" s="221" t="b">
        <f t="shared" si="8"/>
        <v>0</v>
      </c>
    </row>
    <row r="273" spans="1:6" ht="15" x14ac:dyDescent="0.25">
      <c r="A273" s="259">
        <v>335</v>
      </c>
      <c r="B273" s="259" t="s">
        <v>909</v>
      </c>
      <c r="C273" s="259" t="s">
        <v>1228</v>
      </c>
      <c r="D273" s="259">
        <v>21605</v>
      </c>
      <c r="E273" s="243" t="s">
        <v>61</v>
      </c>
      <c r="F273" s="221" t="b">
        <f t="shared" si="8"/>
        <v>0</v>
      </c>
    </row>
    <row r="274" spans="1:6" ht="15" x14ac:dyDescent="0.25">
      <c r="A274" s="258">
        <v>495</v>
      </c>
      <c r="B274" s="258" t="s">
        <v>1428</v>
      </c>
      <c r="C274" s="258" t="s">
        <v>1429</v>
      </c>
      <c r="D274" s="258">
        <v>20815</v>
      </c>
      <c r="E274" s="243" t="s">
        <v>61</v>
      </c>
      <c r="F274" s="221" t="b">
        <f t="shared" si="8"/>
        <v>0</v>
      </c>
    </row>
    <row r="275" spans="1:6" ht="15" x14ac:dyDescent="0.25">
      <c r="A275" s="259">
        <v>319</v>
      </c>
      <c r="B275" s="259" t="s">
        <v>1204</v>
      </c>
      <c r="C275" s="259" t="s">
        <v>1207</v>
      </c>
      <c r="D275" s="259">
        <v>20475</v>
      </c>
      <c r="E275" s="243" t="s">
        <v>61</v>
      </c>
      <c r="F275" s="221" t="b">
        <f t="shared" si="8"/>
        <v>0</v>
      </c>
    </row>
    <row r="276" spans="1:6" ht="15" x14ac:dyDescent="0.25">
      <c r="A276" s="258">
        <v>131</v>
      </c>
      <c r="B276" s="258" t="s">
        <v>1004</v>
      </c>
      <c r="C276" s="258" t="s">
        <v>1010</v>
      </c>
      <c r="D276" s="258">
        <v>20405</v>
      </c>
      <c r="E276" s="243" t="s">
        <v>61</v>
      </c>
      <c r="F276" s="221" t="b">
        <f t="shared" si="8"/>
        <v>0</v>
      </c>
    </row>
    <row r="277" spans="1:6" ht="15" x14ac:dyDescent="0.25">
      <c r="A277" s="259">
        <v>582</v>
      </c>
      <c r="B277" s="259" t="s">
        <v>1491</v>
      </c>
      <c r="C277" s="259" t="s">
        <v>1496</v>
      </c>
      <c r="D277" s="259">
        <v>27070</v>
      </c>
      <c r="E277" s="243" t="s">
        <v>61</v>
      </c>
      <c r="F277" s="221" t="b">
        <f t="shared" si="8"/>
        <v>0</v>
      </c>
    </row>
    <row r="278" spans="1:6" ht="15" x14ac:dyDescent="0.25">
      <c r="A278" s="258">
        <v>499</v>
      </c>
      <c r="B278" s="258" t="s">
        <v>1430</v>
      </c>
      <c r="C278" s="258" t="s">
        <v>1431</v>
      </c>
      <c r="D278" s="258">
        <v>22910</v>
      </c>
      <c r="E278" s="243" t="s">
        <v>61</v>
      </c>
      <c r="F278" s="221" t="b">
        <f t="shared" si="8"/>
        <v>0</v>
      </c>
    </row>
    <row r="279" spans="1:6" ht="15" x14ac:dyDescent="0.25">
      <c r="A279" s="259">
        <v>501</v>
      </c>
      <c r="B279" s="259" t="s">
        <v>1432</v>
      </c>
      <c r="C279" s="259" t="s">
        <v>1433</v>
      </c>
      <c r="D279" s="259">
        <v>27560</v>
      </c>
      <c r="E279" s="243" t="s">
        <v>61</v>
      </c>
      <c r="F279" s="221" t="b">
        <f t="shared" si="8"/>
        <v>0</v>
      </c>
    </row>
    <row r="280" spans="1:6" ht="15" x14ac:dyDescent="0.25">
      <c r="A280" s="258">
        <v>507</v>
      </c>
      <c r="B280" s="258" t="s">
        <v>1436</v>
      </c>
      <c r="C280" s="258" t="s">
        <v>1437</v>
      </c>
      <c r="D280" s="258">
        <v>22100</v>
      </c>
      <c r="E280" s="243" t="s">
        <v>61</v>
      </c>
      <c r="F280" s="221" t="b">
        <f t="shared" si="8"/>
        <v>0</v>
      </c>
    </row>
    <row r="281" spans="1:6" ht="15" x14ac:dyDescent="0.25">
      <c r="A281" s="259">
        <v>509</v>
      </c>
      <c r="B281" s="259" t="s">
        <v>1438</v>
      </c>
      <c r="C281" s="259" t="s">
        <v>1439</v>
      </c>
      <c r="D281" s="259">
        <v>22915</v>
      </c>
      <c r="E281" s="243" t="s">
        <v>61</v>
      </c>
      <c r="F281" s="221" t="b">
        <f t="shared" si="8"/>
        <v>0</v>
      </c>
    </row>
    <row r="282" spans="1:6" ht="15" x14ac:dyDescent="0.25">
      <c r="A282" s="258">
        <v>511</v>
      </c>
      <c r="B282" s="258" t="s">
        <v>1440</v>
      </c>
      <c r="C282" s="258" t="s">
        <v>1441</v>
      </c>
      <c r="D282" s="258">
        <v>20615</v>
      </c>
      <c r="E282" s="243" t="s">
        <v>61</v>
      </c>
      <c r="F282" s="221" t="b">
        <f t="shared" si="8"/>
        <v>0</v>
      </c>
    </row>
    <row r="283" spans="1:6" ht="15" x14ac:dyDescent="0.25">
      <c r="A283" s="259">
        <v>721</v>
      </c>
      <c r="B283" s="259" t="s">
        <v>1517</v>
      </c>
      <c r="C283" s="259" t="s">
        <v>1517</v>
      </c>
      <c r="D283" s="259">
        <v>28570</v>
      </c>
      <c r="E283" s="243" t="s">
        <v>61</v>
      </c>
      <c r="F283" s="221" t="b">
        <f t="shared" si="8"/>
        <v>0</v>
      </c>
    </row>
    <row r="284" spans="1:6" ht="15" x14ac:dyDescent="0.25">
      <c r="A284" s="258">
        <v>515</v>
      </c>
      <c r="B284" s="258" t="s">
        <v>1442</v>
      </c>
      <c r="C284" s="258" t="s">
        <v>1444</v>
      </c>
      <c r="D284" s="258">
        <v>22005</v>
      </c>
      <c r="E284" s="243" t="s">
        <v>61</v>
      </c>
      <c r="F284" s="221" t="b">
        <f t="shared" si="8"/>
        <v>0</v>
      </c>
    </row>
    <row r="285" spans="1:6" ht="15" x14ac:dyDescent="0.25">
      <c r="A285" s="259">
        <v>371</v>
      </c>
      <c r="B285" s="259" t="s">
        <v>1289</v>
      </c>
      <c r="C285" s="259" t="s">
        <v>1294</v>
      </c>
      <c r="D285" s="259">
        <v>21850</v>
      </c>
      <c r="E285" s="243" t="s">
        <v>61</v>
      </c>
      <c r="F285" s="221" t="b">
        <f t="shared" si="8"/>
        <v>0</v>
      </c>
    </row>
    <row r="286" spans="1:6" ht="15" x14ac:dyDescent="0.25">
      <c r="A286" s="258">
        <v>717</v>
      </c>
      <c r="B286" s="258" t="s">
        <v>1515</v>
      </c>
      <c r="C286" s="258" t="s">
        <v>1515</v>
      </c>
      <c r="D286" s="258">
        <v>28515</v>
      </c>
      <c r="E286" s="243" t="s">
        <v>61</v>
      </c>
      <c r="F286" s="221" t="b">
        <f t="shared" si="8"/>
        <v>0</v>
      </c>
    </row>
    <row r="287" spans="1:6" ht="15" x14ac:dyDescent="0.25">
      <c r="A287" s="259">
        <v>276</v>
      </c>
      <c r="B287" s="259" t="s">
        <v>1155</v>
      </c>
      <c r="C287" s="259" t="s">
        <v>1156</v>
      </c>
      <c r="D287" s="259">
        <v>22010</v>
      </c>
      <c r="E287" s="243" t="s">
        <v>61</v>
      </c>
      <c r="F287" s="221" t="b">
        <f t="shared" si="8"/>
        <v>0</v>
      </c>
    </row>
    <row r="288" spans="1:6" ht="15" x14ac:dyDescent="0.25">
      <c r="A288" s="258">
        <v>63</v>
      </c>
      <c r="B288" s="258" t="s">
        <v>953</v>
      </c>
      <c r="C288" s="258" t="s">
        <v>1548</v>
      </c>
      <c r="D288" s="258">
        <v>20555</v>
      </c>
      <c r="E288" s="243" t="s">
        <v>61</v>
      </c>
      <c r="F288" s="221" t="b">
        <f t="shared" si="8"/>
        <v>0</v>
      </c>
    </row>
    <row r="289" spans="1:6" ht="15" x14ac:dyDescent="0.25">
      <c r="A289" s="259">
        <v>279</v>
      </c>
      <c r="B289" s="259" t="s">
        <v>1162</v>
      </c>
      <c r="C289" s="259" t="s">
        <v>1164</v>
      </c>
      <c r="D289" s="259">
        <v>21170</v>
      </c>
      <c r="E289" s="243" t="s">
        <v>61</v>
      </c>
      <c r="F289" s="221" t="b">
        <f t="shared" si="8"/>
        <v>0</v>
      </c>
    </row>
    <row r="290" spans="1:6" ht="15" x14ac:dyDescent="0.25">
      <c r="A290" s="258">
        <v>112</v>
      </c>
      <c r="B290" s="258" t="s">
        <v>981</v>
      </c>
      <c r="C290" s="258" t="s">
        <v>992</v>
      </c>
      <c r="D290" s="258">
        <v>22330</v>
      </c>
      <c r="E290" s="243" t="s">
        <v>61</v>
      </c>
      <c r="F290" s="221" t="b">
        <f t="shared" si="8"/>
        <v>0</v>
      </c>
    </row>
    <row r="291" spans="1:6" ht="15" x14ac:dyDescent="0.25">
      <c r="A291" s="259">
        <v>731</v>
      </c>
      <c r="B291" s="259" t="s">
        <v>1527</v>
      </c>
      <c r="C291" s="259" t="s">
        <v>1528</v>
      </c>
      <c r="D291" s="259">
        <v>29055</v>
      </c>
      <c r="E291" s="243" t="s">
        <v>61</v>
      </c>
      <c r="F291" s="221" t="b">
        <f t="shared" si="8"/>
        <v>0</v>
      </c>
    </row>
    <row r="292" spans="1:6" ht="15" x14ac:dyDescent="0.25">
      <c r="A292" s="258">
        <v>741</v>
      </c>
      <c r="B292" s="258" t="s">
        <v>1536</v>
      </c>
      <c r="C292" s="258" t="s">
        <v>1538</v>
      </c>
      <c r="D292" s="258">
        <v>29150</v>
      </c>
      <c r="E292" s="243" t="s">
        <v>61</v>
      </c>
      <c r="F292" s="221" t="b">
        <f t="shared" si="8"/>
        <v>0</v>
      </c>
    </row>
    <row r="293" spans="1:6" ht="15" x14ac:dyDescent="0.25">
      <c r="A293" s="259">
        <v>531</v>
      </c>
      <c r="B293" s="259" t="s">
        <v>1447</v>
      </c>
      <c r="C293" s="259" t="s">
        <v>1448</v>
      </c>
      <c r="D293" s="259">
        <v>22380</v>
      </c>
      <c r="E293" s="243" t="s">
        <v>61</v>
      </c>
      <c r="F293" s="221" t="b">
        <f t="shared" si="8"/>
        <v>0</v>
      </c>
    </row>
    <row r="294" spans="1:6" ht="15" x14ac:dyDescent="0.25">
      <c r="A294" s="258">
        <v>351</v>
      </c>
      <c r="B294" s="258" t="s">
        <v>1249</v>
      </c>
      <c r="C294" s="258" t="s">
        <v>1254</v>
      </c>
      <c r="D294" s="258">
        <v>21035</v>
      </c>
      <c r="E294" s="243" t="s">
        <v>61</v>
      </c>
      <c r="F294" s="221" t="b">
        <f t="shared" si="8"/>
        <v>0</v>
      </c>
    </row>
    <row r="295" spans="1:6" ht="15" x14ac:dyDescent="0.25">
      <c r="A295" s="259">
        <v>427</v>
      </c>
      <c r="B295" s="259" t="s">
        <v>1350</v>
      </c>
      <c r="C295" s="259" t="s">
        <v>1353</v>
      </c>
      <c r="D295" s="259">
        <v>26925</v>
      </c>
      <c r="E295" s="243" t="s">
        <v>61</v>
      </c>
      <c r="F295" s="221" t="b">
        <f t="shared" si="8"/>
        <v>0</v>
      </c>
    </row>
    <row r="296" spans="1:6" ht="15" x14ac:dyDescent="0.25">
      <c r="A296" s="258">
        <v>363</v>
      </c>
      <c r="B296" s="258" t="s">
        <v>1277</v>
      </c>
      <c r="C296" s="258" t="s">
        <v>1280</v>
      </c>
      <c r="D296" s="258">
        <v>21725</v>
      </c>
      <c r="E296" s="243" t="s">
        <v>61</v>
      </c>
      <c r="F296" s="221" t="b">
        <f t="shared" si="8"/>
        <v>0</v>
      </c>
    </row>
    <row r="297" spans="1:6" ht="15" x14ac:dyDescent="0.25">
      <c r="A297" s="259">
        <v>208</v>
      </c>
      <c r="B297" s="259" t="s">
        <v>1077</v>
      </c>
      <c r="C297" s="259" t="s">
        <v>1081</v>
      </c>
      <c r="D297" s="259">
        <v>22410</v>
      </c>
      <c r="E297" s="243" t="s">
        <v>61</v>
      </c>
      <c r="F297" s="221" t="b">
        <f t="shared" si="8"/>
        <v>0</v>
      </c>
    </row>
    <row r="298" spans="1:6" ht="15" x14ac:dyDescent="0.25">
      <c r="A298" s="258">
        <v>582</v>
      </c>
      <c r="B298" s="258" t="s">
        <v>1491</v>
      </c>
      <c r="C298" s="258" t="s">
        <v>1493</v>
      </c>
      <c r="D298" s="258">
        <v>22945</v>
      </c>
      <c r="E298" s="243" t="s">
        <v>61</v>
      </c>
      <c r="F298" s="221" t="b">
        <f t="shared" si="8"/>
        <v>0</v>
      </c>
    </row>
    <row r="299" spans="1:6" ht="15" x14ac:dyDescent="0.25">
      <c r="A299" s="259">
        <v>539</v>
      </c>
      <c r="B299" s="259" t="s">
        <v>1457</v>
      </c>
      <c r="C299" s="259" t="s">
        <v>1458</v>
      </c>
      <c r="D299" s="259">
        <v>20180</v>
      </c>
      <c r="E299" s="243" t="s">
        <v>61</v>
      </c>
      <c r="F299" s="221" t="b">
        <f t="shared" si="8"/>
        <v>0</v>
      </c>
    </row>
    <row r="300" spans="1:6" ht="15" x14ac:dyDescent="0.25">
      <c r="A300" s="258">
        <v>175</v>
      </c>
      <c r="B300" s="258" t="s">
        <v>1050</v>
      </c>
      <c r="C300" s="258" t="s">
        <v>1051</v>
      </c>
      <c r="D300" s="258">
        <v>27980</v>
      </c>
      <c r="E300" s="243" t="s">
        <v>61</v>
      </c>
      <c r="F300" s="221" t="b">
        <f t="shared" si="8"/>
        <v>0</v>
      </c>
    </row>
    <row r="301" spans="1:6" ht="15" x14ac:dyDescent="0.25">
      <c r="A301" s="259">
        <v>174</v>
      </c>
      <c r="B301" s="259" t="s">
        <v>1038</v>
      </c>
      <c r="C301" s="259" t="s">
        <v>1041</v>
      </c>
      <c r="D301" s="259">
        <v>22970</v>
      </c>
      <c r="E301" s="243" t="s">
        <v>61</v>
      </c>
      <c r="F301" s="221" t="b">
        <f t="shared" si="8"/>
        <v>0</v>
      </c>
    </row>
    <row r="302" spans="1:6" ht="15" x14ac:dyDescent="0.25">
      <c r="A302" s="258">
        <v>727</v>
      </c>
      <c r="B302" s="258" t="s">
        <v>1522</v>
      </c>
      <c r="C302" s="258" t="s">
        <v>1523</v>
      </c>
      <c r="D302" s="258">
        <v>28650</v>
      </c>
      <c r="E302" s="243" t="s">
        <v>61</v>
      </c>
      <c r="F302" s="221" t="b">
        <f t="shared" si="8"/>
        <v>0</v>
      </c>
    </row>
    <row r="303" spans="1:6" ht="15" x14ac:dyDescent="0.25">
      <c r="A303" s="259">
        <v>174</v>
      </c>
      <c r="B303" s="259" t="s">
        <v>1038</v>
      </c>
      <c r="C303" s="259" t="s">
        <v>1049</v>
      </c>
      <c r="D303" s="259">
        <v>23015</v>
      </c>
      <c r="E303" s="243" t="s">
        <v>61</v>
      </c>
      <c r="F303" s="221" t="b">
        <f t="shared" si="8"/>
        <v>0</v>
      </c>
    </row>
    <row r="304" spans="1:6" ht="15" x14ac:dyDescent="0.25">
      <c r="A304" s="258">
        <v>174</v>
      </c>
      <c r="B304" s="258" t="s">
        <v>1038</v>
      </c>
      <c r="C304" s="258" t="s">
        <v>1048</v>
      </c>
      <c r="D304" s="258">
        <v>23010</v>
      </c>
      <c r="E304" s="243" t="s">
        <v>61</v>
      </c>
      <c r="F304" s="221" t="b">
        <f t="shared" si="8"/>
        <v>0</v>
      </c>
    </row>
    <row r="305" spans="1:6" ht="15" x14ac:dyDescent="0.25">
      <c r="A305" s="259">
        <v>549</v>
      </c>
      <c r="B305" s="259" t="s">
        <v>1461</v>
      </c>
      <c r="C305" s="259" t="s">
        <v>1462</v>
      </c>
      <c r="D305" s="259">
        <v>20900</v>
      </c>
      <c r="E305" s="243" t="s">
        <v>61</v>
      </c>
      <c r="F305" s="221" t="b">
        <f t="shared" si="8"/>
        <v>0</v>
      </c>
    </row>
    <row r="306" spans="1:6" ht="15" x14ac:dyDescent="0.25">
      <c r="A306" s="258">
        <v>551</v>
      </c>
      <c r="B306" s="258" t="s">
        <v>1463</v>
      </c>
      <c r="C306" s="258" t="s">
        <v>1464</v>
      </c>
      <c r="D306" s="258">
        <v>20985</v>
      </c>
      <c r="E306" s="243" t="s">
        <v>61</v>
      </c>
      <c r="F306" s="221" t="b">
        <f t="shared" si="8"/>
        <v>0</v>
      </c>
    </row>
    <row r="307" spans="1:6" ht="15" x14ac:dyDescent="0.25">
      <c r="A307" s="259">
        <v>553</v>
      </c>
      <c r="B307" s="259" t="s">
        <v>1465</v>
      </c>
      <c r="C307" s="259" t="s">
        <v>1466</v>
      </c>
      <c r="D307" s="259">
        <v>22385</v>
      </c>
      <c r="E307" s="243" t="s">
        <v>61</v>
      </c>
      <c r="F307" s="221" t="b">
        <f t="shared" si="8"/>
        <v>0</v>
      </c>
    </row>
    <row r="308" spans="1:6" ht="15" x14ac:dyDescent="0.25">
      <c r="A308" s="258">
        <v>352</v>
      </c>
      <c r="B308" s="258" t="s">
        <v>1256</v>
      </c>
      <c r="C308" s="258" t="s">
        <v>1263</v>
      </c>
      <c r="D308" s="258">
        <v>22205</v>
      </c>
      <c r="E308" s="243" t="s">
        <v>61</v>
      </c>
      <c r="F308" s="221" t="b">
        <f t="shared" si="8"/>
        <v>0</v>
      </c>
    </row>
    <row r="309" spans="1:6" ht="15" x14ac:dyDescent="0.25">
      <c r="A309" s="259">
        <v>335</v>
      </c>
      <c r="B309" s="259" t="s">
        <v>909</v>
      </c>
      <c r="C309" s="259" t="s">
        <v>1231</v>
      </c>
      <c r="D309" s="259">
        <v>21635</v>
      </c>
      <c r="E309" s="243" t="s">
        <v>61</v>
      </c>
      <c r="F309" s="221" t="b">
        <f t="shared" si="8"/>
        <v>0</v>
      </c>
    </row>
    <row r="310" spans="1:6" ht="15" x14ac:dyDescent="0.25">
      <c r="A310" s="258">
        <v>235</v>
      </c>
      <c r="B310" s="258" t="s">
        <v>1100</v>
      </c>
      <c r="C310" s="258" t="s">
        <v>1101</v>
      </c>
      <c r="D310" s="258">
        <v>21155</v>
      </c>
      <c r="E310" s="243" t="s">
        <v>61</v>
      </c>
      <c r="F310" s="221" t="b">
        <f t="shared" si="8"/>
        <v>0</v>
      </c>
    </row>
    <row r="311" spans="1:6" ht="15" x14ac:dyDescent="0.25">
      <c r="A311" s="259">
        <v>559</v>
      </c>
      <c r="B311" s="259" t="s">
        <v>1470</v>
      </c>
      <c r="C311" s="259" t="s">
        <v>1471</v>
      </c>
      <c r="D311" s="259">
        <v>22390</v>
      </c>
      <c r="E311" s="243" t="s">
        <v>61</v>
      </c>
      <c r="F311" s="221" t="b">
        <f t="shared" si="8"/>
        <v>0</v>
      </c>
    </row>
    <row r="312" spans="1:6" ht="15" x14ac:dyDescent="0.25">
      <c r="A312" s="258">
        <v>563</v>
      </c>
      <c r="B312" s="258" t="s">
        <v>1472</v>
      </c>
      <c r="C312" s="258" t="s">
        <v>1473</v>
      </c>
      <c r="D312" s="258">
        <v>21230</v>
      </c>
      <c r="E312" s="243" t="s">
        <v>61</v>
      </c>
      <c r="F312" s="221" t="b">
        <f t="shared" si="8"/>
        <v>0</v>
      </c>
    </row>
    <row r="313" spans="1:6" ht="15" x14ac:dyDescent="0.25">
      <c r="A313" s="259">
        <v>335</v>
      </c>
      <c r="B313" s="259" t="s">
        <v>909</v>
      </c>
      <c r="C313" s="259" t="s">
        <v>1630</v>
      </c>
      <c r="D313" s="259">
        <v>21515</v>
      </c>
      <c r="E313" s="243" t="s">
        <v>61</v>
      </c>
      <c r="F313" s="221" t="b">
        <f t="shared" si="8"/>
        <v>0</v>
      </c>
    </row>
    <row r="314" spans="1:6" ht="15" x14ac:dyDescent="0.25">
      <c r="A314" s="258">
        <v>279</v>
      </c>
      <c r="B314" s="258" t="s">
        <v>1162</v>
      </c>
      <c r="C314" s="258" t="s">
        <v>1168</v>
      </c>
      <c r="D314" s="258">
        <v>21200</v>
      </c>
      <c r="E314" s="243" t="s">
        <v>61</v>
      </c>
      <c r="F314" s="221" t="b">
        <f t="shared" si="8"/>
        <v>0</v>
      </c>
    </row>
    <row r="315" spans="1:6" ht="15" x14ac:dyDescent="0.25">
      <c r="A315" s="259">
        <v>568</v>
      </c>
      <c r="B315" s="259" t="s">
        <v>1474</v>
      </c>
      <c r="C315" s="259" t="s">
        <v>1475</v>
      </c>
      <c r="D315" s="259">
        <v>26930</v>
      </c>
      <c r="E315" s="243" t="s">
        <v>61</v>
      </c>
      <c r="F315" s="221" t="b">
        <f t="shared" si="8"/>
        <v>0</v>
      </c>
    </row>
    <row r="316" spans="1:6" ht="15" x14ac:dyDescent="0.25">
      <c r="A316" s="258">
        <v>461</v>
      </c>
      <c r="B316" s="258" t="s">
        <v>1382</v>
      </c>
      <c r="C316" s="258" t="s">
        <v>1387</v>
      </c>
      <c r="D316" s="258">
        <v>22690</v>
      </c>
      <c r="E316" s="243" t="s">
        <v>61</v>
      </c>
      <c r="F316" s="221" t="b">
        <f t="shared" si="8"/>
        <v>0</v>
      </c>
    </row>
    <row r="317" spans="1:6" ht="15" x14ac:dyDescent="0.25">
      <c r="A317" s="259">
        <v>473</v>
      </c>
      <c r="B317" s="259" t="s">
        <v>1401</v>
      </c>
      <c r="C317" s="259" t="s">
        <v>1403</v>
      </c>
      <c r="D317" s="259">
        <v>22860</v>
      </c>
      <c r="E317" s="243" t="s">
        <v>61</v>
      </c>
      <c r="F317" s="221" t="b">
        <f t="shared" si="8"/>
        <v>0</v>
      </c>
    </row>
    <row r="318" spans="1:6" ht="15" x14ac:dyDescent="0.25">
      <c r="A318" s="258">
        <v>473</v>
      </c>
      <c r="B318" s="258" t="s">
        <v>1401</v>
      </c>
      <c r="C318" s="258" t="s">
        <v>1404</v>
      </c>
      <c r="D318" s="258">
        <v>22865</v>
      </c>
      <c r="E318" s="243" t="s">
        <v>61</v>
      </c>
      <c r="F318" s="221" t="b">
        <f t="shared" si="8"/>
        <v>0</v>
      </c>
    </row>
    <row r="319" spans="1:6" ht="15" x14ac:dyDescent="0.25">
      <c r="A319" s="259">
        <v>573</v>
      </c>
      <c r="B319" s="259" t="s">
        <v>1483</v>
      </c>
      <c r="C319" s="259" t="s">
        <v>1553</v>
      </c>
      <c r="D319" s="259">
        <v>21735</v>
      </c>
      <c r="E319" s="243" t="s">
        <v>61</v>
      </c>
      <c r="F319" s="221" t="b">
        <f t="shared" si="8"/>
        <v>0</v>
      </c>
    </row>
    <row r="320" spans="1:6" ht="15" x14ac:dyDescent="0.25">
      <c r="A320" s="258">
        <v>712</v>
      </c>
      <c r="B320" s="258" t="s">
        <v>1514</v>
      </c>
      <c r="C320" s="258" t="s">
        <v>1514</v>
      </c>
      <c r="D320" s="258">
        <v>29193</v>
      </c>
      <c r="E320" s="243" t="s">
        <v>61</v>
      </c>
      <c r="F320" s="221" t="b">
        <f t="shared" si="8"/>
        <v>0</v>
      </c>
    </row>
    <row r="321" spans="1:6" ht="15" x14ac:dyDescent="0.25">
      <c r="A321" s="259">
        <v>575</v>
      </c>
      <c r="B321" s="259" t="s">
        <v>1484</v>
      </c>
      <c r="C321" s="259" t="s">
        <v>1487</v>
      </c>
      <c r="D321" s="259">
        <v>21135</v>
      </c>
      <c r="E321" s="243" t="s">
        <v>61</v>
      </c>
      <c r="F321" s="221" t="b">
        <f t="shared" si="8"/>
        <v>0</v>
      </c>
    </row>
    <row r="322" spans="1:6" ht="15" x14ac:dyDescent="0.25">
      <c r="A322" s="258">
        <v>575</v>
      </c>
      <c r="B322" s="258" t="s">
        <v>1484</v>
      </c>
      <c r="C322" s="258" t="s">
        <v>1485</v>
      </c>
      <c r="D322" s="258">
        <v>21125</v>
      </c>
      <c r="E322" s="243" t="s">
        <v>61</v>
      </c>
      <c r="F322" s="221" t="b">
        <f t="shared" si="8"/>
        <v>0</v>
      </c>
    </row>
    <row r="323" spans="1:6" ht="15" x14ac:dyDescent="0.25">
      <c r="A323" s="259">
        <v>285</v>
      </c>
      <c r="B323" s="259" t="s">
        <v>1171</v>
      </c>
      <c r="C323" s="259" t="s">
        <v>1175</v>
      </c>
      <c r="D323" s="259">
        <v>21285</v>
      </c>
      <c r="E323" s="243" t="s">
        <v>61</v>
      </c>
      <c r="F323" s="221" t="b">
        <f t="shared" si="8"/>
        <v>0</v>
      </c>
    </row>
    <row r="324" spans="1:6" ht="15" x14ac:dyDescent="0.25">
      <c r="A324" s="258">
        <v>141</v>
      </c>
      <c r="B324" s="258" t="s">
        <v>1012</v>
      </c>
      <c r="C324" s="258" t="s">
        <v>1017</v>
      </c>
      <c r="D324" s="258">
        <v>20460</v>
      </c>
      <c r="E324" s="243" t="s">
        <v>61</v>
      </c>
      <c r="F324" s="221" t="b">
        <f t="shared" si="8"/>
        <v>0</v>
      </c>
    </row>
    <row r="325" spans="1:6" ht="15" x14ac:dyDescent="0.25">
      <c r="A325" s="259">
        <v>238</v>
      </c>
      <c r="B325" s="259" t="s">
        <v>1102</v>
      </c>
      <c r="C325" s="259" t="s">
        <v>1103</v>
      </c>
      <c r="D325" s="259">
        <v>20905</v>
      </c>
      <c r="E325" s="243" t="s">
        <v>61</v>
      </c>
      <c r="F325" s="221"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2020-11-20T14:24:57Z</cp:lastPrinted>
  <dcterms:created xsi:type="dcterms:W3CDTF">1997-12-04T19:04:30Z</dcterms:created>
  <dcterms:modified xsi:type="dcterms:W3CDTF">2023-12-05T19:14:01Z</dcterms:modified>
</cp:coreProperties>
</file>