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466" i="1" l="1"/>
  <c r="F9"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1" i="10"/>
  <c r="C12"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C119"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58" i="1"/>
  <c r="F291" i="1"/>
  <c r="G291" i="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4" i="1"/>
  <c r="G645" i="1"/>
  <c r="G651" i="1"/>
  <c r="G652" i="1"/>
  <c r="J652" i="1" s="1"/>
  <c r="G653" i="1"/>
  <c r="H653" i="1"/>
  <c r="G654" i="1"/>
  <c r="H654" i="1"/>
  <c r="G655" i="1"/>
  <c r="H655" i="1"/>
  <c r="H656" i="1"/>
  <c r="J656" i="1" s="1"/>
  <c r="A40" i="12"/>
  <c r="J258" i="1"/>
  <c r="J572" i="1"/>
  <c r="I170" i="1"/>
  <c r="G477" i="1"/>
  <c r="G339" i="1"/>
  <c r="G353" i="1" s="1"/>
  <c r="J140" i="1"/>
  <c r="H140" i="1"/>
  <c r="C120" i="2" l="1"/>
  <c r="C121" i="2"/>
  <c r="G409" i="1"/>
  <c r="H646" i="1" s="1"/>
  <c r="L402" i="1"/>
  <c r="C139" i="2" s="1"/>
  <c r="G646" i="1"/>
  <c r="C91" i="2"/>
  <c r="F339" i="1"/>
  <c r="F353" i="1" s="1"/>
  <c r="J642" i="1"/>
  <c r="L561" i="1"/>
  <c r="J625"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F661" i="1" s="1"/>
  <c r="H648" i="1"/>
  <c r="J645"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H665" i="1" s="1"/>
  <c r="H668" i="1" s="1"/>
  <c r="G36" i="14"/>
  <c r="H36" i="14" s="1"/>
  <c r="I36" i="14" s="1"/>
  <c r="C10" i="10"/>
  <c r="C109" i="2"/>
  <c r="L230" i="1"/>
  <c r="G24" i="14" s="1"/>
  <c r="L338" i="1"/>
  <c r="F62" i="2"/>
  <c r="F63" i="2" s="1"/>
  <c r="C23" i="10"/>
  <c r="G163" i="2"/>
  <c r="G162" i="2"/>
  <c r="G160" i="2"/>
  <c r="G159" i="2"/>
  <c r="G158" i="2"/>
  <c r="G103" i="2"/>
  <c r="F103" i="2"/>
  <c r="C103" i="2"/>
  <c r="F91" i="2"/>
  <c r="E50" i="2"/>
  <c r="E51" i="2" s="1"/>
  <c r="C50" i="2"/>
  <c r="F31" i="2"/>
  <c r="C31" i="2"/>
  <c r="E18" i="2"/>
  <c r="E144" i="2"/>
  <c r="E145" i="2" s="1"/>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J620" i="1"/>
  <c r="D103" i="2"/>
  <c r="I140" i="1"/>
  <c r="A22" i="12"/>
  <c r="G50" i="2"/>
  <c r="H649" i="1"/>
  <c r="J653" i="1"/>
  <c r="G572" i="1"/>
  <c r="I435" i="1"/>
  <c r="G435" i="1"/>
  <c r="I664" i="1"/>
  <c r="F194" i="1" l="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H673" i="1"/>
  <c r="C6" i="10" s="1"/>
  <c r="G4" i="14"/>
  <c r="H4" i="14" s="1"/>
  <c r="I4" i="14" s="1"/>
  <c r="L546" i="1"/>
  <c r="J626" i="1"/>
  <c r="F104" i="2"/>
  <c r="B14" i="16"/>
  <c r="B22" i="16" s="1"/>
  <c r="G628" i="1"/>
  <c r="J628" i="1"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28" i="10"/>
  <c r="D23" i="10" s="1"/>
  <c r="H24" i="14"/>
  <c r="I24" i="14" s="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<sst xmlns="http://schemas.openxmlformats.org/spreadsheetml/2006/main" count="5542" uniqueCount="1643">
  <si>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</si>
  <si>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</si>
  <si>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</si>
  <si>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</si>
  <si>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</si>
  <si>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</si>
  <si>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</si>
  <si>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</si>
  <si>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</si>
  <si>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</si>
  <si>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</si>
  <si>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</si>
  <si>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</si>
  <si>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</si>
  <si>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</si>
  <si>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</si>
  <si>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</si>
  <si>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</si>
  <si>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</si>
  <si>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</si>
  <si>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</si>
  <si>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</si>
  <si>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</si>
  <si>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</si>
  <si>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</si>
  <si>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</si>
  <si>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</si>
  <si>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</si>
  <si>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</si>
  <si>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</si>
  <si>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</si>
  <si>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</si>
  <si>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</si>
  <si>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</si>
  <si>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</si>
  <si>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</si>
  <si>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</si>
  <si>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</si>
  <si>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</si>
  <si>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</si>
  <si>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</si>
  <si>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</si>
  <si>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</si>
  <si>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</si>
  <si>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</si>
  <si>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</si>
  <si>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</si>
  <si>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</si>
  <si>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</si>
  <si>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</si>
  <si>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</si>
  <si>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</si>
  <si>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</si>
  <si>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</si>
  <si>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</si>
  <si>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</si>
  <si>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</si>
  <si>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</si>
  <si>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</si>
  <si>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</si>
  <si>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</si>
  <si>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</si>
  <si>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</si>
  <si>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</si>
  <si>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</si>
  <si>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</si>
  <si>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</si>
  <si>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</si>
  <si>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</si>
  <si>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</si>
  <si>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</si>
  <si>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</si>
  <si>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</si>
  <si>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</si>
  <si>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</si>
  <si>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</si>
  <si>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</si>
  <si>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</si>
  <si>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</si>
  <si>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</si>
  <si>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</si>
  <si>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</si>
  <si>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</si>
  <si>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</si>
  <si>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</si>
  <si>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</si>
  <si>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</si>
  <si>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</si>
  <si>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</si>
  <si>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</si>
  <si>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</si>
  <si>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</si>
  <si>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</si>
  <si>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</si>
  <si>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</si>
  <si>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</si>
  <si>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</si>
  <si>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</si>
  <si>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</si>
  <si>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</si>
  <si>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</si>
  <si>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</si>
  <si>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</si>
  <si>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</si>
  <si>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</si>
  <si>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</si>
  <si>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</si>
  <si>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</si>
  <si>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</si>
  <si>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</si>
  <si>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</si>
  <si>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</si>
  <si>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</si>
  <si>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</si>
  <si>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</si>
  <si>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</si>
  <si>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</si>
  <si>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</si>
  <si>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</si>
  <si>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</si>
  <si>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</si>
  <si>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</si>
  <si>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</si>
  <si>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</si>
  <si>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</si>
  <si>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</si>
  <si>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</si>
  <si>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</si>
  <si>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</si>
  <si>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</si>
  <si>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</si>
  <si>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</si>
  <si>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</si>
  <si>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</si>
  <si>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</si>
  <si>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</si>
  <si>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</si>
  <si>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</si>
  <si>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</si>
  <si>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</si>
  <si>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</si>
  <si>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</si>
  <si>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</si>
  <si>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</si>
  <si>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</si>
  <si>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</si>
  <si>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</si>
  <si>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</si>
  <si>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</si>
  <si>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</si>
  <si>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</si>
  <si>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</si>
  <si>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</si>
  <si>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</si>
  <si>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</si>
  <si>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</si>
  <si>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</si>
  <si>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</si>
  <si>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</si>
  <si>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</si>
  <si>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</si>
  <si>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</si>
  <si>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</si>
  <si>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</si>
  <si>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</si>
  <si>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</si>
  <si>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</si>
  <si>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</si>
  <si>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</si>
  <si>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</si>
  <si>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</si>
  <si>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</si>
  <si>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</si>
  <si>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</si>
  <si>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</si>
  <si>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</si>
  <si>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</si>
  <si>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</si>
  <si>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</si>
  <si>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</si>
  <si>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</si>
  <si>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</si>
  <si>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</si>
  <si>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</si>
  <si>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</si>
  <si>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</si>
  <si>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</si>
  <si>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</si>
  <si>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</si>
  <si>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</si>
  <si>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</si>
  <si>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</si>
  <si>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</si>
  <si>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</si>
  <si>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</si>
  <si>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</si>
  <si>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</si>
  <si>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</si>
  <si>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</si>
  <si>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</si>
  <si>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</si>
  <si>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</si>
  <si>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</si>
  <si>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</si>
  <si>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</si>
  <si>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</si>
  <si>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</si>
  <si>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</si>
  <si>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</si>
  <si>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</si>
  <si>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</si>
  <si>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</si>
  <si>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</si>
  <si>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</si>
  <si>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</si>
  <si>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</si>
  <si>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</si>
  <si>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</si>
  <si>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</si>
  <si>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</si>
  <si>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</si>
  <si>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</si>
  <si>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</si>
  <si>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</si>
  <si>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</si>
  <si>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</si>
  <si>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</si>
  <si>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</si>
  <si>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</si>
  <si>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</si>
  <si>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</si>
  <si>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</si>
  <si>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</si>
  <si>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</si>
  <si>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</si>
  <si>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</si>
  <si>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</si>
  <si>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</si>
  <si>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</si>
  <si>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</si>
  <si>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</si>
  <si>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</si>
  <si>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</si>
  <si>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</si>
  <si>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</si>
  <si>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</si>
  <si>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</si>
  <si>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</si>
  <si>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</si>
  <si>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</si>
  <si>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</si>
  <si>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</si>
  <si>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</si>
  <si>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</si>
  <si>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</si>
  <si>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</si>
  <si>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</si>
  <si>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</si>
  <si>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</si>
  <si>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</si>
  <si>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</si>
  <si>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</si>
  <si>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</si>
  <si>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</si>
  <si>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</si>
  <si>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</si>
  <si>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</si>
  <si>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</si>
  <si>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</si>
  <si>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</si>
  <si>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</si>
  <si>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</si>
  <si>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</si>
  <si>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</si>
  <si>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</si>
  <si>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</si>
  <si>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</si>
  <si>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</si>
  <si>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</si>
  <si>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</si>
  <si>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</si>
  <si>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</si>
  <si>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</si>
  <si>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</si>
  <si>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</si>
  <si>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</si>
  <si>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</si>
  <si>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</si>
  <si>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</si>
  <si>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</si>
  <si>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</si>
  <si>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</si>
  <si>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</si>
  <si>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</si>
  <si>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</si>
  <si>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</si>
  <si>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</si>
  <si>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</si>
  <si>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</si>
  <si>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</si>
  <si>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</si>
  <si>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</si>
  <si>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</si>
  <si>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</si>
  <si>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</si>
  <si>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</si>
  <si>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</si>
  <si>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</si>
  <si>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</si>
  <si>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</si>
  <si>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</si>
  <si>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</si>
  <si>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</si>
  <si>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</si>
  <si>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</si>
  <si>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</si>
  <si>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</si>
  <si>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</si>
  <si>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</si>
  <si>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</si>
  <si>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</si>
  <si>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</si>
  <si>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</si>
  <si>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</si>
  <si>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</si>
  <si>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</si>
  <si>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</si>
  <si>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</si>
  <si>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</si>
  <si>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</si>
  <si>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</si>
  <si>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</si>
  <si>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</si>
  <si>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</si>
  <si>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</si>
  <si>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</si>
  <si>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</si>
  <si>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</si>
  <si>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</si>
  <si>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</si>
  <si>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</si>
  <si>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</si>
  <si>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</si>
  <si>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</si>
  <si>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</si>
  <si>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</si>
  <si>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</si>
  <si>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</si>
  <si>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</si>
  <si>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</si>
  <si>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</si>
  <si>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</si>
  <si>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</si>
  <si>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</si>
  <si>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</si>
  <si>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</si>
  <si>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</si>
  <si>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</si>
  <si>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</si>
  <si>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</si>
  <si>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</si>
  <si>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</si>
  <si>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</si>
  <si>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</si>
  <si>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</si>
  <si>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</si>
  <si>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</si>
  <si>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</si>
  <si>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</si>
  <si>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</si>
  <si>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</si>
  <si>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</si>
  <si>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</si>
  <si>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</si>
  <si>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</si>
  <si>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</si>
  <si>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</si>
  <si>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</si>
  <si>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</si>
  <si>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</si>
  <si>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</si>
  <si>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</si>
  <si>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</si>
  <si>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</si>
  <si>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</si>
  <si>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</si>
  <si>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</si>
  <si>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</si>
  <si>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</si>
  <si>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</si>
  <si>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</si>
  <si>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</si>
  <si>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</si>
  <si>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</si>
  <si>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</si>
  <si>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</si>
  <si>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</si>
  <si>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</si>
  <si>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</si>
  <si>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</si>
  <si>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</si>
  <si>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</si>
  <si>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</si>
  <si>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</si>
  <si>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</si>
  <si>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</si>
  <si>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</si>
  <si>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</si>
  <si>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</si>
  <si>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</si>
  <si>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</si>
  <si>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</si>
  <si>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</si>
  <si>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</si>
  <si>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</si>
  <si>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</si>
  <si>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</si>
  <si>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</si>
  <si>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</si>
  <si>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</si>
  <si>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</si>
  <si>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</si>
  <si>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</si>
  <si>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</si>
  <si>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</si>
  <si>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</si>
  <si>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</si>
  <si>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</si>
  <si>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</si>
  <si>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</si>
  <si>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</si>
  <si>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</si>
  <si>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</si>
  <si>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</si>
  <si>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</si>
  <si>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</si>
  <si>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</si>
  <si>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</si>
  <si>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</si>
  <si>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</si>
  <si>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</si>
  <si>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</si>
  <si>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</si>
  <si>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</si>
  <si>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</si>
  <si>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</si>
  <si>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</si>
  <si>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</si>
  <si>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</si>
  <si>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</si>
  <si>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</si>
  <si>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</si>
  <si>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</si>
  <si>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</si>
  <si>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</si>
  <si>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</si>
  <si>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</si>
  <si>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</si>
  <si>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</si>
  <si>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</si>
  <si>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</si>
  <si>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</si>
  <si>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</si>
  <si>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</si>
  <si>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</si>
  <si>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</si>
  <si>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</si>
  <si>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</si>
  <si>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</si>
  <si>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</si>
  <si>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</si>
  <si>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</si>
  <si>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</si>
  <si>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</si>
  <si>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</si>
  <si>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</si>
  <si>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</si>
  <si>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</si>
  <si>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</si>
  <si>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</si>
  <si>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</si>
  <si>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</si>
  <si>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</si>
  <si>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</si>
  <si>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</si>
  <si>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</si>
  <si>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</si>
  <si>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</si>
  <si>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</si>
  <si>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</si>
  <si>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</si>
  <si>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</si>
  <si>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</si>
  <si>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</si>
  <si>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</si>
  <si>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</si>
  <si>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</si>
  <si>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</si>
  <si>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</si>
  <si>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</si>
  <si>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</si>
  <si>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</si>
  <si>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</si>
  <si>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</si>
  <si>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</si>
  <si>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</si>
  <si>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</si>
  <si>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</si>
  <si>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</si>
  <si>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</si>
  <si>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</si>
  <si>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</si>
  <si>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</si>
  <si>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</si>
  <si>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</si>
  <si>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</si>
  <si>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</si>
  <si>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</si>
  <si>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</si>
  <si>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</si>
  <si>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</si>
  <si>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</si>
  <si>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</si>
  <si>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</si>
  <si>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</si>
  <si>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</si>
  <si>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</si>
  <si>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</si>
  <si>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</si>
  <si>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</si>
  <si>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</si>
  <si>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</si>
  <si>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</si>
  <si>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</si>
  <si>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</si>
  <si>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</si>
  <si>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</si>
  <si>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</si>
  <si>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</si>
  <si>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</si>
  <si>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</si>
  <si>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</si>
  <si>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</si>
  <si>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</si>
  <si>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</si>
  <si>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</si>
  <si>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</si>
  <si>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</si>
  <si>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</si>
  <si>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</si>
  <si>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</si>
  <si>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</si>
  <si>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</si>
  <si>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</si>
  <si>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</si>
  <si>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</si>
  <si>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</si>
  <si>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</si>
  <si>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</si>
  <si>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</si>
  <si>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</si>
  <si>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</si>
  <si>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</si>
  <si>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</si>
  <si>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</si>
  <si>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</si>
  <si>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</si>
  <si>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</si>
  <si>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</si>
  <si>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</si>
  <si>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</si>
  <si>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</si>
  <si>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</si>
  <si>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</si>
  <si>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</si>
  <si>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</si>
  <si>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</si>
  <si>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</si>
  <si>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</si>
  <si>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</si>
  <si>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</si>
  <si>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</si>
  <si>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</si>
  <si>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</si>
  <si>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</si>
  <si>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</si>
  <si>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</si>
  <si>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</si>
  <si>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</si>
  <si>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</si>
  <si>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</si>
  <si>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</si>
  <si>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</si>
  <si>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</si>
  <si>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</si>
  <si>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</si>
  <si>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</si>
  <si>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</si>
  <si>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</si>
  <si>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</si>
  <si>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</si>
  <si>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</si>
  <si>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</si>
  <si>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</si>
  <si>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</si>
  <si>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</si>
  <si>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</si>
  <si>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</si>
  <si>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</si>
  <si>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</si>
  <si>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</si>
  <si>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</si>
  <si>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</si>
  <si>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</si>
  <si>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</si>
  <si>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</si>
  <si>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</si>
  <si>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</si>
  <si>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</si>
  <si>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</si>
  <si>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</si>
  <si>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</si>
  <si>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</si>
  <si>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</si>
  <si>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</si>
  <si>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</si>
  <si>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</si>
  <si>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</si>
  <si>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</si>
  <si>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</si>
  <si>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</si>
  <si>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</si>
  <si>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</si>
  <si>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</si>
  <si>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</si>
  <si>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</si>
  <si>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</si>
  <si>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</si>
  <si>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</si>
  <si>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</si>
  <si>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</si>
  <si>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</si>
  <si>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</si>
  <si>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</si>
  <si>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</si>
  <si>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</si>
  <si>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</si>
  <si>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</si>
  <si>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</si>
  <si>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</si>
  <si>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</si>
  <si>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</si>
  <si>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</si>
  <si>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</si>
  <si>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</si>
  <si>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</si>
  <si>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</si>
  <si>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</si>
  <si>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</si>
  <si>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</si>
  <si>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</si>
  <si>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</si>
  <si>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</si>
  <si>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</si>
  <si>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</si>
  <si>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</si>
  <si>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</si>
  <si>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</si>
  <si>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</si>
  <si>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</si>
  <si>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</si>
  <si>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</si>
  <si>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</si>
  <si>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</si>
  <si>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</si>
  <si>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</si>
  <si>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</si>
  <si>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</si>
  <si>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</si>
  <si>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</si>
  <si>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</si>
  <si>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</si>
  <si>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</si>
  <si>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</si>
  <si>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</si>
  <si>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</si>
  <si>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</si>
  <si>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</si>
  <si>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</si>
  <si>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</si>
  <si>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</si>
  <si>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</si>
  <si>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</si>
  <si>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</si>
  <si>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</si>
  <si>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</si>
  <si>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</si>
  <si>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</si>
  <si>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</si>
  <si>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</si>
  <si>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</si>
  <si>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</si>
  <si>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</si>
  <si>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</si>
  <si>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</si>
  <si>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</si>
  <si>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</si>
  <si>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</si>
  <si>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</si>
  <si>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</si>
  <si>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</si>
  <si>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</si>
  <si>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</si>
  <si>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</si>
  <si>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</si>
  <si>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</si>
  <si>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</si>
  <si>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</si>
  <si>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</si>
  <si>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</si>
  <si>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</si>
  <si>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</si>
  <si>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</si>
  <si>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</si>
  <si>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</si>
  <si>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</si>
  <si>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</si>
  <si>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</si>
  <si>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</si>
  <si>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</si>
  <si>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</si>
  <si>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</si>
  <si>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</si>
  <si>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</si>
  <si>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</si>
  <si>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</si>
  <si>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</si>
  <si>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</si>
  <si>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</si>
  <si>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</si>
  <si>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</si>
  <si>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</si>
  <si>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</si>
  <si>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</si>
  <si>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</si>
  <si>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</si>
  <si>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</si>
  <si>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</si>
  <si>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</si>
  <si>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</si>
  <si>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</si>
  <si>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</si>
  <si>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</si>
  <si>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</si>
  <si>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</si>
  <si>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</si>
  <si>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</si>
  <si>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</si>
  <si>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</si>
  <si>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</si>
  <si>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</si>
  <si>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</si>
  <si>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</si>
  <si>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</si>
  <si>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</si>
  <si>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</si>
  <si>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</si>
  <si>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</si>
  <si>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</si>
  <si>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</si>
  <si>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</si>
  <si>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</si>
  <si>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</si>
  <si>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</si>
  <si>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</si>
  <si>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</si>
  <si>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</si>
  <si>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</si>
  <si>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</si>
  <si>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</si>
  <si>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</si>
  <si>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</si>
  <si>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</si>
  <si>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</si>
  <si>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</si>
  <si>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</si>
  <si>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</si>
  <si>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</si>
  <si>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</si>
  <si>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</si>
  <si>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</si>
  <si>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</si>
  <si>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</si>
  <si>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</si>
  <si>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</si>
  <si>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</si>
  <si>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</si>
  <si>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</si>
  <si>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</si>
  <si>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</si>
  <si>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</si>
  <si>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</si>
  <si>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</si>
  <si>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</si>
  <si>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</si>
  <si>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</si>
  <si>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</si>
  <si>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</si>
  <si>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</si>
  <si>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</si>
  <si>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</si>
  <si>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</si>
  <si>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</si>
  <si>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</si>
  <si>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</si>
  <si>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</si>
  <si>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</si>
  <si>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</si>
  <si>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</si>
  <si>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</si>
  <si>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</si>
  <si>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</si>
  <si>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</si>
  <si>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</si>
  <si>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</si>
  <si>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</si>
  <si>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</si>
  <si>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</si>
  <si>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</si>
  <si>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</si>
  <si>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</si>
  <si>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</si>
  <si>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</si>
  <si>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</si>
  <si>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</si>
  <si>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</si>
  <si>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</si>
  <si>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</si>
  <si>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</si>
  <si>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</si>
  <si>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</si>
  <si>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</si>
  <si>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</si>
  <si>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</si>
  <si>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</si>
  <si>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</si>
  <si>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</si>
  <si>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</si>
  <si>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</si>
  <si>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</si>
  <si>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</si>
  <si>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</si>
  <si>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</si>
  <si>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</si>
  <si>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</si>
  <si>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</si>
  <si>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</si>
  <si>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</si>
  <si>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</si>
  <si>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</si>
  <si>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</si>
  <si>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</si>
  <si>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</si>
  <si>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</si>
  <si>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</si>
  <si>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</si>
  <si>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</si>
  <si>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</si>
  <si>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</si>
  <si>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</si>
  <si>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</si>
  <si>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</si>
  <si>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</si>
  <si>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</si>
  <si>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</si>
  <si>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</si>
  <si>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</si>
  <si>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</si>
  <si>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</si>
  <si>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</si>
  <si>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</si>
  <si>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</si>
  <si>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</si>
  <si>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</si>
  <si>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</si>
  <si>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</si>
  <si>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</si>
  <si>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</si>
  <si>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</si>
  <si>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</si>
  <si>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</si>
  <si>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</si>
  <si>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</si>
  <si>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</si>
  <si>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</si>
  <si>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</si>
  <si>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</si>
  <si>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</si>
  <si>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</si>
  <si>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</si>
  <si>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</si>
  <si>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</si>
  <si>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</si>
  <si>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</si>
  <si>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</si>
  <si>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</si>
  <si>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</si>
  <si>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</si>
  <si>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</si>
  <si>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</si>
  <si>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</si>
  <si>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</si>
  <si>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</si>
  <si>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</si>
  <si>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</si>
  <si>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</si>
  <si>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</si>
  <si>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</si>
  <si>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</si>
  <si>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</si>
  <si>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</si>
  <si>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</si>
  <si>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</si>
  <si>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</si>
  <si>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</si>
  <si>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</si>
  <si>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</si>
  <si>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</si>
  <si>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</si>
  <si>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</si>
  <si>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</si>
  <si>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</si>
  <si>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</si>
  <si>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</si>
  <si>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</si>
  <si>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</si>
  <si>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</si>
  <si>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</si>
  <si>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</si>
  <si>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</si>
  <si>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</si>
  <si>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</si>
  <si>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</si>
  <si>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</si>
  <si>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</si>
  <si>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</si>
  <si>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</si>
  <si>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</si>
  <si>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</si>
  <si>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</si>
  <si>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</si>
  <si>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</si>
  <si>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</si>
  <si>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</si>
  <si>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</si>
  <si>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</si>
  <si>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</si>
  <si>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</si>
  <si>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</si>
  <si>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</si>
  <si>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</si>
  <si>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</si>
  <si>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</si>
  <si>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</si>
  <si>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</si>
  <si>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</si>
  <si>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</si>
  <si>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</si>
  <si>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</si>
  <si>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</si>
  <si>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</si>
  <si>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</si>
  <si>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</si>
  <si>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</si>
  <si>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</si>
  <si>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</si>
  <si>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</si>
  <si>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</si>
  <si>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</si>
  <si>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</si>
  <si>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</si>
  <si>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</si>
  <si>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</si>
  <si>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</si>
  <si>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</si>
  <si>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</si>
  <si>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</si>
  <si>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</si>
  <si>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</si>
  <si>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</si>
  <si>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</si>
  <si>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</si>
  <si>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</si>
  <si>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</si>
  <si>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</si>
  <si>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</si>
  <si>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</si>
  <si>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</si>
  <si>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</si>
  <si>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</si>
  <si>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</si>
  <si>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</si>
  <si>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</si>
  <si>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</si>
  <si>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</si>
  <si>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</si>
  <si>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</si>
  <si>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</si>
  <si>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</si>
  <si>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</si>
  <si>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</si>
  <si>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</si>
  <si>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</si>
  <si>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</si>
  <si>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</si>
  <si>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</si>
  <si>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</si>
  <si>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</si>
  <si>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</si>
  <si>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</si>
  <si>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</si>
  <si>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</si>
  <si>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</si>
  <si>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</si>
  <si>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</si>
  <si>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</si>
  <si>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</si>
  <si>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</si>
  <si>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</si>
  <si>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</si>
  <si>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</si>
  <si>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</si>
  <si>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</si>
  <si>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</si>
  <si>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</si>
  <si>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</si>
  <si>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</si>
  <si>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</si>
  <si>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</si>
  <si>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</si>
  <si>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</si>
  <si>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</si>
  <si>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</si>
  <si>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</si>
  <si>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</si>
  <si>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</si>
  <si>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</si>
  <si>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</si>
  <si>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</si>
  <si>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</si>
  <si>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</si>
  <si>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</si>
  <si>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</si>
  <si>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</si>
  <si>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</si>
  <si>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</si>
  <si>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</si>
  <si>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</si>
  <si>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</si>
  <si>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</si>
  <si>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</si>
  <si>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</si>
  <si>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</si>
  <si>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</si>
  <si>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</si>
  <si>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</si>
  <si>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</si>
  <si>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</si>
  <si>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</si>
  <si>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</si>
  <si>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</si>
  <si>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</si>
  <si>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</si>
  <si>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</si>
  <si>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</si>
  <si>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</si>
  <si>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</si>
  <si>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</si>
  <si>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</si>
  <si>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</si>
  <si>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</si>
  <si>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</si>
  <si>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</si>
  <si>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</si>
  <si>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</si>
  <si>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</si>
  <si>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</si>
  <si>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</si>
  <si>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</si>
  <si>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</si>
  <si>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</si>
  <si>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</si>
  <si>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</si>
  <si>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</si>
  <si>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</si>
  <si>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</si>
  <si>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</si>
  <si>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</si>
  <si>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</si>
  <si>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</si>
  <si>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</si>
  <si>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</si>
  <si>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</si>
  <si>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</si>
  <si>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</si>
  <si>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</si>
  <si>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</si>
  <si>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</si>
  <si>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</si>
  <si>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</si>
  <si>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</si>
  <si>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</si>
  <si>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</si>
  <si>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</si>
  <si>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</si>
  <si>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</si>
  <si>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</si>
  <si>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</si>
  <si>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</si>
  <si>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</si>
  <si>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</si>
  <si>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</si>
  <si>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</si>
  <si>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</si>
  <si>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</si>
  <si>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</si>
  <si>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</si>
  <si>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</si>
  <si>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</si>
  <si>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</si>
  <si>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</si>
  <si>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</si>
  <si>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</si>
  <si>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</si>
  <si>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</si>
  <si>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</si>
  <si>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</si>
  <si>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</si>
  <si>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</si>
  <si>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</si>
  <si>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</si>
  <si>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</si>
  <si>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</si>
  <si>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</si>
  <si>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</si>
  <si>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</si>
  <si>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</si>
  <si>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</si>
  <si>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</si>
  <si>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</si>
  <si>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</si>
  <si>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</si>
  <si>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</si>
  <si>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</si>
  <si>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</si>
  <si>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</si>
  <si>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</si>
  <si>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</si>
  <si>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</si>
  <si>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</si>
  <si>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</si>
  <si>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</si>
  <si>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</si>
  <si>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</si>
  <si>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</si>
  <si>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</si>
  <si>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</si>
  <si>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</si>
  <si>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</si>
  <si>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</si>
  <si>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</si>
  <si>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</si>
  <si>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</si>
  <si>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</si>
  <si>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</si>
  <si>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</si>
  <si>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</si>
  <si>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</si>
  <si>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</si>
  <si>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</si>
  <si>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</si>
  <si>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</si>
  <si>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</si>
  <si>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</si>
  <si>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</si>
  <si>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</si>
  <si>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</si>
  <si>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</si>
  <si>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</si>
  <si>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</si>
  <si>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</si>
  <si>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</si>
  <si>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</si>
  <si>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</si>
  <si>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</si>
  <si>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</si>
  <si>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</si>
  <si>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</si>
  <si>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</si>
  <si>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</si>
  <si>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</si>
  <si>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</si>
  <si>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</si>
  <si>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</si>
  <si>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</si>
  <si>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</si>
  <si>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</si>
  <si>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</si>
  <si>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</si>
  <si>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</si>
  <si>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</si>
  <si>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</si>
  <si>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</si>
  <si>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</si>
  <si>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</si>
  <si>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</si>
  <si>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</si>
  <si>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</si>
  <si>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</si>
  <si>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</si>
  <si>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</si>
  <si>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</si>
  <si>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</si>
  <si>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</si>
  <si>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</si>
  <si>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</si>
  <si>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</si>
  <si>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</si>
  <si>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</si>
  <si>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</si>
  <si>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</si>
  <si>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</si>
  <si>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</si>
  <si>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</si>
  <si>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</si>
  <si>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</si>
  <si>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</si>
  <si>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</si>
  <si>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</si>
  <si>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</si>
  <si>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</si>
  <si>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</si>
  <si>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</si>
  <si>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</si>
  <si>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</si>
  <si>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</si>
  <si>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</si>
  <si>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</si>
  <si>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</si>
  <si>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</si>
  <si>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</si>
  <si>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</si>
  <si>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</si>
  <si>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</si>
  <si>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</si>
  <si>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</si>
  <si>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</si>
  <si>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</si>
  <si>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</si>
  <si>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</si>
  <si>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</si>
  <si>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</si>
  <si>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</si>
  <si>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</si>
  <si>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</si>
  <si>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</si>
  <si>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</si>
  <si>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</si>
  <si>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</si>
  <si>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</si>
  <si>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</si>
  <si>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</si>
  <si>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</si>
  <si>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</si>
  <si>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</si>
  <si>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</si>
  <si>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</si>
  <si>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</si>
  <si>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</si>
  <si>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</si>
  <si>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</si>
  <si>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</si>
  <si>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</si>
  <si>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</si>
  <si>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</si>
  <si>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</si>
  <si>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</si>
  <si>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</si>
  <si>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</si>
  <si>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</si>
  <si>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</si>
  <si>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</si>
  <si>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</si>
  <si>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</si>
  <si>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</si>
  <si>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</si>
  <si>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</si>
  <si>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</si>
  <si>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</si>
  <si>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</si>
  <si>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</si>
  <si>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</si>
  <si>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</si>
  <si>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</si>
  <si>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</si>
  <si>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</si>
  <si>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</si>
  <si>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</si>
  <si>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</si>
  <si>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</si>
  <si>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</si>
  <si>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</si>
  <si>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</si>
  <si>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</si>
  <si>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</si>
  <si>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</si>
  <si>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</si>
  <si>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</si>
  <si>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</si>
  <si>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</si>
  <si>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</si>
  <si>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</si>
  <si>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</si>
  <si>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</si>
  <si>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</si>
  <si>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</si>
  <si>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</si>
  <si>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</si>
  <si>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</si>
  <si>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</si>
  <si>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</si>
  <si>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</si>
  <si>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</si>
  <si>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</si>
  <si>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</si>
  <si>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</si>
  <si>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</si>
  <si>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</si>
  <si>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</si>
  <si>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</si>
  <si>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</si>
  <si>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</si>
  <si>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</si>
  <si>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</si>
  <si>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</si>
  <si>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</si>
  <si>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</si>
  <si>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</si>
  <si>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</si>
  <si>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</si>
  <si>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</si>
  <si>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</si>
  <si>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</si>
  <si>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</si>
  <si>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</si>
  <si>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</si>
  <si>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</si>
  <si>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</si>
  <si>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</si>
  <si>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</si>
  <si>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</si>
  <si>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</si>
  <si>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</si>
  <si>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</si>
  <si>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</si>
  <si>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</si>
  <si>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</si>
  <si>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</si>
  <si>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</si>
  <si>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</si>
  <si>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</si>
  <si>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</si>
  <si>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</si>
  <si>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</si>
  <si>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</si>
  <si>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</si>
  <si>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</si>
  <si>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</si>
  <si>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</si>
  <si>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</si>
  <si>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</si>
  <si>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</si>
  <si>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</si>
  <si>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</si>
  <si>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</si>
  <si>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</si>
  <si>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</si>
  <si>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</si>
  <si>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</si>
  <si>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</si>
  <si>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</si>
  <si>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</si>
  <si>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</si>
  <si>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</si>
  <si>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</si>
  <si>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</si>
  <si>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</si>
  <si>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</si>
  <si>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</si>
  <si>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</si>
  <si>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</si>
  <si>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</si>
  <si>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</si>
  <si>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</si>
  <si>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</si>
  <si>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</si>
  <si>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</si>
  <si>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</si>
  <si>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</si>
  <si>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</si>
  <si>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</si>
  <si>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</si>
  <si>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</si>
  <si>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</si>
  <si>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</si>
  <si>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</si>
  <si>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</si>
  <si>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</si>
  <si>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</si>
  <si>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</si>
  <si>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</si>
  <si>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</si>
  <si>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</si>
  <si>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</si>
  <si>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</si>
  <si>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</si>
  <si>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</si>
  <si>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</si>
  <si>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</si>
  <si>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</si>
  <si>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</si>
  <si>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</si>
  <si>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</si>
  <si>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</si>
  <si>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</si>
  <si>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</si>
  <si>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</si>
  <si>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</si>
  <si>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</si>
  <si>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</si>
  <si>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</si>
  <si>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</si>
  <si>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</si>
  <si>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</si>
  <si>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</si>
  <si>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</si>
  <si>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</si>
  <si>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</si>
  <si>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</si>
  <si>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</si>
  <si>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</si>
  <si>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</si>
  <si>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</si>
  <si>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</si>
  <si>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</si>
  <si>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</si>
  <si>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</si>
  <si>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</si>
  <si>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</si>
  <si>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</si>
  <si>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</si>
  <si>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</si>
  <si>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</si>
  <si>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</si>
  <si>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</si>
  <si>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</si>
  <si>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</si>
  <si>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</si>
  <si>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</si>
  <si>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</si>
  <si>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</si>
  <si>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</si>
  <si>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</si>
  <si>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</si>
  <si>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</si>
  <si>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</si>
  <si>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</si>
  <si>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</si>
  <si>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</si>
  <si>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</si>
  <si>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</si>
  <si>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</si>
  <si>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</si>
  <si>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</si>
  <si>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</si>
  <si>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</si>
  <si>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</si>
  <si>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</si>
  <si>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</si>
  <si>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</si>
  <si>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</si>
  <si>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</si>
  <si>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</si>
  <si>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</si>
  <si>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</si>
  <si>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</si>
  <si>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</si>
  <si>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</si>
  <si>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</si>
  <si>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</si>
  <si>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</si>
  <si>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</si>
  <si>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</si>
  <si>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</si>
  <si>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</si>
  <si>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</si>
  <si>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</si>
  <si>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</si>
  <si>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</si>
  <si>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</si>
  <si>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</si>
  <si>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</si>
  <si>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</si>
  <si>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</si>
  <si>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</si>
  <si>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</si>
  <si>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</si>
  <si>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</si>
  <si>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</si>
  <si>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</si>
  <si>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</si>
  <si>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</si>
  <si>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</si>
  <si>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</si>
  <si>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</si>
  <si>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</si>
  <si>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</si>
  <si>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</si>
  <si>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</si>
  <si>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</si>
  <si>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</si>
  <si>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</si>
  <si>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</si>
  <si>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</si>
  <si>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</si>
  <si>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</si>
  <si>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</si>
  <si>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</si>
  <si>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</si>
  <si>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</si>
  <si>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</si>
  <si>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</si>
  <si>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</si>
  <si>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</si>
  <si>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</si>
  <si>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</si>
  <si>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</si>
  <si>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</si>
  <si>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</si>
  <si>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</si>
  <si>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</si>
  <si>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</si>
  <si>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</si>
  <si>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</si>
  <si>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</si>
  <si>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</si>
  <si>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</si>
  <si>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</si>
  <si>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</si>
  <si>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</si>
  <si>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</si>
  <si>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</si>
  <si>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</si>
  <si>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</si>
  <si>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</si>
  <si>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</si>
  <si>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</si>
  <si>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</si>
  <si>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</si>
  <si>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</si>
  <si>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</si>
  <si>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</si>
  <si>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</si>
  <si>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</si>
  <si>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</si>
  <si>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</si>
  <si>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</si>
  <si>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</si>
  <si>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</si>
  <si>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</si>
  <si>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</si>
  <si>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</si>
  <si>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</si>
  <si>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</si>
  <si>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</si>
  <si>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</si>
  <si>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</si>
  <si>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</si>
  <si>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</si>
  <si>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</si>
  <si>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</si>
  <si>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</si>
  <si>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</si>
  <si>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</si>
  <si>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</si>
  <si>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</si>
  <si>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</si>
  <si>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</si>
  <si>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</si>
  <si>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</si>
  <si>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</si>
  <si>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</si>
  <si>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</si>
  <si>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</si>
  <si>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</si>
  <si>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</si>
  <si>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</si>
  <si>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</si>
  <si>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</si>
  <si>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</si>
  <si>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</si>
  <si>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</si>
  <si>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</si>
  <si>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</si>
  <si>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</si>
  <si>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</si>
  <si>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</si>
  <si>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</si>
  <si>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</si>
  <si>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</si>
  <si>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</si>
  <si>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</si>
  <si>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</si>
  <si>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</si>
  <si>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</si>
  <si>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</si>
  <si>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</si>
  <si>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</si>
  <si>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</si>
  <si>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</si>
  <si>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</si>
  <si>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</si>
  <si>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</si>
  <si>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</si>
  <si>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</si>
  <si>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</si>
  <si>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</si>
  <si>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</si>
  <si>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</si>
  <si>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</si>
  <si>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</si>
  <si>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</si>
  <si>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Hart's Location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</si>
</sst>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30" activePane="bottomRight" state="frozen"/>
      <selection pane="topRight" activeCell="F1" sqref="F1"/>
      <selection pane="bottomLeft" activeCell="A4" sqref="A4"/>
      <selection pane="bottomRight" activeCell="F671" sqref="F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236</v>
      </c>
      <c r="C2" s="21">
        <v>236</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SUM(21060.23+1959.78)</f>
        <v>23020.01</v>
      </c>
      <c r="G9" s="18"/>
      <c r="H9" s="18"/>
      <c r="I9" s="18"/>
      <c r="J9" s="67">
        <f>SUM(I440)</f>
        <v>133710.41</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23020.01</v>
      </c>
      <c r="G19" s="41">
        <f>SUM(G9:G18)</f>
        <v>0</v>
      </c>
      <c r="H19" s="41">
        <f>SUM(H9:H18)</f>
        <v>0</v>
      </c>
      <c r="I19" s="41">
        <f>SUM(I9:I18)</f>
        <v>0</v>
      </c>
      <c r="J19" s="41">
        <f>SUM(J9:J18)</f>
        <v>133710.41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12345.65</v>
      </c>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12345.65</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915</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133710.41</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9759.36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10674.36</v>
      </c>
      <c r="G51" s="41">
        <f>SUM(G35:G50)</f>
        <v>0</v>
      </c>
      <c r="H51" s="41">
        <f>SUM(H35:H50)</f>
        <v>0</v>
      </c>
      <c r="I51" s="41">
        <f>SUM(I35:I50)</f>
        <v>0</v>
      </c>
      <c r="J51" s="41">
        <f>SUM(J35:J50)</f>
        <v>133710.41</v>
      </c>
      <c r="K51" s="45" t="s">
        <v>288</v>
      </c>
      <c r="L51" s="45" t="s">
        <v>288</v>
      </c>
      <c r="N51" s="264"/>
    </row>
    <row r="52" spans="1:14" s="3" customFormat="1" ht="12.2" customHeight="1" thickTop="1" x14ac:dyDescent="0.15">
      <c r="A52" s="38" t="s">
        <v>455</v>
      </c>
      <c r="B52" s="39" t="s">
        <v>289</v>
      </c>
      <c r="C52" s="6">
        <v>37</v>
      </c>
      <c r="D52" s="39" t="s">
        <v>653</v>
      </c>
      <c r="E52" s="39"/>
      <c r="F52" s="41">
        <f>F51+F32</f>
        <v>23020.010000000002</v>
      </c>
      <c r="G52" s="41">
        <f>G51+G32</f>
        <v>0</v>
      </c>
      <c r="H52" s="41">
        <f>H51+H32</f>
        <v>0</v>
      </c>
      <c r="I52" s="41">
        <f>I51+I32</f>
        <v>0</v>
      </c>
      <c r="J52" s="41">
        <f>J51+J32</f>
        <v>133710.41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8778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8778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0.98</v>
      </c>
      <c r="G96" s="18"/>
      <c r="H96" s="18"/>
      <c r="I96" s="18"/>
      <c r="J96" s="18">
        <v>69.959999999999994</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0.98</v>
      </c>
      <c r="G111" s="41">
        <f>SUM(G96:G110)</f>
        <v>0</v>
      </c>
      <c r="H111" s="41">
        <f>SUM(H96:H110)</f>
        <v>0</v>
      </c>
      <c r="I111" s="41">
        <f>SUM(I96:I110)</f>
        <v>0</v>
      </c>
      <c r="J111" s="41">
        <f>SUM(J96:J110)</f>
        <v>69.959999999999994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8778.98</v>
      </c>
      <c r="G112" s="41">
        <f>G60+G111</f>
        <v>0</v>
      </c>
      <c r="H112" s="41">
        <f>H60+H79+H94+H111</f>
        <v>0</v>
      </c>
      <c r="I112" s="41">
        <f>I60+I111</f>
        <v>0</v>
      </c>
      <c r="J112" s="41">
        <f>J60+J111</f>
        <v>69.959999999999994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27837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27837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220</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220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28057</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2637.39</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2637.39</v>
      </c>
      <c r="G170" s="41">
        <f>G147+G163+SUM(G164:G169)</f>
        <v>0</v>
      </c>
      <c r="H170" s="41">
        <f>H147+H163+SUM(H164:H169)</f>
        <v>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8000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8000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8000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39473.369999999995</v>
      </c>
      <c r="G194" s="47">
        <f>G112+G140+G170+G193</f>
        <v>0</v>
      </c>
      <c r="H194" s="47">
        <f>H112+H140+H170+H193</f>
        <v>0</v>
      </c>
      <c r="I194" s="47">
        <f>I112+I140+I170+I193</f>
        <v>0</v>
      </c>
      <c r="J194" s="47">
        <f>J112+J140+J193</f>
        <v>8069.96</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v>19153.46</v>
      </c>
      <c r="I198" s="18"/>
      <c r="J198" s="18"/>
      <c r="K198" s="18"/>
      <c r="L198" s="19">
        <f>SUM(F198:K198)</f>
        <v>19153.46</v>
      </c>
      <c r="M198" s="8"/>
      <c r="N198" s="266"/>
    </row>
    <row r="199" spans="1:14" s="3" customFormat="1" ht="12.2" customHeight="1" x14ac:dyDescent="0.15">
      <c r="A199" s="1" t="s">
        <v>439</v>
      </c>
      <c r="B199" s="2" t="s">
        <v>341</v>
      </c>
      <c r="C199" s="2" t="s">
        <v>291</v>
      </c>
      <c r="D199" s="2" t="s">
        <v>431</v>
      </c>
      <c r="E199" s="6">
        <v>1200</v>
      </c>
      <c r="F199" s="18"/>
      <c r="G199" s="18"/>
      <c r="H199" s="18">
        <v>2284.02</v>
      </c>
      <c r="I199" s="18"/>
      <c r="J199" s="18"/>
      <c r="K199" s="18"/>
      <c r="L199" s="19">
        <f>SUM(F199:K199)</f>
        <v>2284.02</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c r="G205" s="18">
        <v>889.13</v>
      </c>
      <c r="H205" s="18">
        <v>4336</v>
      </c>
      <c r="I205" s="18"/>
      <c r="J205" s="18"/>
      <c r="K205" s="18"/>
      <c r="L205" s="19">
        <f t="shared" si="0"/>
        <v>5225.13</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0</v>
      </c>
      <c r="G212" s="41">
        <f t="shared" si="1"/>
        <v>889.13</v>
      </c>
      <c r="H212" s="41">
        <f t="shared" si="1"/>
        <v>25773.48</v>
      </c>
      <c r="I212" s="41">
        <f t="shared" si="1"/>
        <v>0</v>
      </c>
      <c r="J212" s="41">
        <f t="shared" si="1"/>
        <v>0</v>
      </c>
      <c r="K212" s="41">
        <f t="shared" si="1"/>
        <v>0</v>
      </c>
      <c r="L212" s="41">
        <f t="shared" si="1"/>
        <v>26662.61</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0</v>
      </c>
      <c r="G258" s="41">
        <f t="shared" si="8"/>
        <v>889.13</v>
      </c>
      <c r="H258" s="41">
        <f t="shared" si="8"/>
        <v>25773.48</v>
      </c>
      <c r="I258" s="41">
        <f t="shared" si="8"/>
        <v>0</v>
      </c>
      <c r="J258" s="41">
        <f t="shared" si="8"/>
        <v>0</v>
      </c>
      <c r="K258" s="41">
        <f t="shared" si="8"/>
        <v>0</v>
      </c>
      <c r="L258" s="41">
        <f t="shared" si="8"/>
        <v>26662.61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8000</v>
      </c>
      <c r="L267" s="19">
        <f t="shared" si="9"/>
        <v>8000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8000</v>
      </c>
      <c r="L271" s="41">
        <f t="shared" si="9"/>
        <v>8000</v>
      </c>
      <c r="M271" s="8"/>
      <c r="N271" s="266"/>
    </row>
    <row r="272" spans="1:14" s="34" customFormat="1" ht="12.2" customHeight="1" thickTop="1" x14ac:dyDescent="0.2">
      <c r="A272" s="43" t="s">
        <v>464</v>
      </c>
      <c r="B272" s="40">
        <v>10</v>
      </c>
      <c r="C272" s="40">
        <v>18</v>
      </c>
      <c r="D272" s="39" t="s">
        <v>431</v>
      </c>
      <c r="E272" s="40"/>
      <c r="F272" s="42">
        <f t="shared" ref="F272:L272" si="11">F258+F271</f>
        <v>0</v>
      </c>
      <c r="G272" s="42">
        <f t="shared" si="11"/>
        <v>889.13</v>
      </c>
      <c r="H272" s="42">
        <f t="shared" si="11"/>
        <v>25773.48</v>
      </c>
      <c r="I272" s="42">
        <f t="shared" si="11"/>
        <v>0</v>
      </c>
      <c r="J272" s="42">
        <f t="shared" si="11"/>
        <v>0</v>
      </c>
      <c r="K272" s="42">
        <f t="shared" si="11"/>
        <v>8000</v>
      </c>
      <c r="L272" s="42">
        <f t="shared" si="11"/>
        <v>34662.61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v>4000</v>
      </c>
      <c r="H398" s="18">
        <v>22.4</v>
      </c>
      <c r="I398" s="18"/>
      <c r="J398" s="24" t="s">
        <v>288</v>
      </c>
      <c r="K398" s="24" t="s">
        <v>288</v>
      </c>
      <c r="L398" s="56">
        <f t="shared" si="26"/>
        <v>4022.4</v>
      </c>
      <c r="M398" s="8"/>
      <c r="N398" s="266"/>
    </row>
    <row r="399" spans="1:14" s="3" customFormat="1" ht="12.2" customHeight="1" x14ac:dyDescent="0.15">
      <c r="A399" s="79" t="s">
        <v>558</v>
      </c>
      <c r="B399" s="2" t="s">
        <v>381</v>
      </c>
      <c r="C399" s="6">
        <v>11</v>
      </c>
      <c r="D399" s="2" t="s">
        <v>432</v>
      </c>
      <c r="E399" s="6"/>
      <c r="F399" s="18"/>
      <c r="G399" s="18">
        <v>4000</v>
      </c>
      <c r="H399" s="18">
        <v>47.56</v>
      </c>
      <c r="I399" s="18"/>
      <c r="J399" s="24" t="s">
        <v>288</v>
      </c>
      <c r="K399" s="24" t="s">
        <v>288</v>
      </c>
      <c r="L399" s="56">
        <f t="shared" si="26"/>
        <v>4047.56</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8000</v>
      </c>
      <c r="H402" s="47">
        <f>SUM(H396:H401)</f>
        <v>69.960000000000008</v>
      </c>
      <c r="I402" s="47">
        <f>SUM(I396:I401)</f>
        <v>0</v>
      </c>
      <c r="J402" s="45" t="s">
        <v>288</v>
      </c>
      <c r="K402" s="45" t="s">
        <v>288</v>
      </c>
      <c r="L402" s="47">
        <f>SUM(L396:L401)</f>
        <v>8069.96</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8000</v>
      </c>
      <c r="H409" s="47">
        <f>H394+H402+H408</f>
        <v>69.960000000000008</v>
      </c>
      <c r="I409" s="47">
        <f>I394+I402+I408</f>
        <v>0</v>
      </c>
      <c r="J409" s="24" t="s">
        <v>288</v>
      </c>
      <c r="K409" s="24" t="s">
        <v>288</v>
      </c>
      <c r="L409" s="47">
        <f>L394+L402+L408</f>
        <v>8069.96</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133710.41</v>
      </c>
      <c r="H440" s="18"/>
      <c r="I440" s="56">
        <f t="shared" ref="I440:I446" si="33">SUM(F440:H440)</f>
        <v>133710.41</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133710.41</v>
      </c>
      <c r="H447" s="13">
        <f>SUM(H440:H446)</f>
        <v>0</v>
      </c>
      <c r="I447" s="13">
        <f>SUM(I440:I446)</f>
        <v>133710.41</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133710.41</v>
      </c>
      <c r="H460" s="18"/>
      <c r="I460" s="56">
        <f t="shared" si="34"/>
        <v>133710.41</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133710.41</v>
      </c>
      <c r="H461" s="83">
        <f>SUM(H455:H460)</f>
        <v>0</v>
      </c>
      <c r="I461" s="83">
        <f>SUM(I455:I460)</f>
        <v>133710.41</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133710.41</v>
      </c>
      <c r="H462" s="42">
        <f>H453+H461</f>
        <v>0</v>
      </c>
      <c r="I462" s="42">
        <f>I453+I461</f>
        <v>133710.41</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f>SUM(2763.24+3100.36)</f>
        <v>5863.6</v>
      </c>
      <c r="G466" s="18"/>
      <c r="H466" s="18"/>
      <c r="I466" s="18"/>
      <c r="J466" s="18">
        <v>125640.45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39473.370000000003</v>
      </c>
      <c r="G469" s="18"/>
      <c r="H469" s="18"/>
      <c r="I469" s="18"/>
      <c r="J469" s="18">
        <v>8069.96</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39473.370000000003</v>
      </c>
      <c r="G471" s="53">
        <f>SUM(G469:G470)</f>
        <v>0</v>
      </c>
      <c r="H471" s="53">
        <f>SUM(H469:H470)</f>
        <v>0</v>
      </c>
      <c r="I471" s="53">
        <f>SUM(I469:I470)</f>
        <v>0</v>
      </c>
      <c r="J471" s="53">
        <f>SUM(J469:J470)</f>
        <v>8069.96</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34662.61</v>
      </c>
      <c r="G473" s="18"/>
      <c r="H473" s="18"/>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34662.61</v>
      </c>
      <c r="G475" s="53">
        <f>SUM(G473:G474)</f>
        <v>0</v>
      </c>
      <c r="H475" s="53">
        <f>SUM(H473:H474)</f>
        <v>0</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10674.36</v>
      </c>
      <c r="G477" s="53">
        <f>(G466+G471)- G475</f>
        <v>0</v>
      </c>
      <c r="H477" s="53">
        <f>(H466+H471)- H475</f>
        <v>0</v>
      </c>
      <c r="I477" s="53">
        <f>(I466+I471)- I475</f>
        <v>0</v>
      </c>
      <c r="J477" s="53">
        <f>(J466+J471)- J475</f>
        <v>133710.41</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0</v>
      </c>
      <c r="I525" s="108">
        <f t="shared" si="36"/>
        <v>0</v>
      </c>
      <c r="J525" s="108">
        <f t="shared" si="36"/>
        <v>0</v>
      </c>
      <c r="K525" s="108">
        <f t="shared" si="36"/>
        <v>0</v>
      </c>
      <c r="L525" s="89">
        <f t="shared" si="36"/>
        <v>0</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0</v>
      </c>
      <c r="I546" s="89">
        <f t="shared" si="41"/>
        <v>0</v>
      </c>
      <c r="J546" s="89">
        <f t="shared" si="41"/>
        <v>0</v>
      </c>
      <c r="K546" s="89">
        <f t="shared" si="41"/>
        <v>0</v>
      </c>
      <c r="L546" s="89">
        <f t="shared" si="41"/>
        <v>0</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0</v>
      </c>
      <c r="G553" s="89">
        <f t="shared" si="42"/>
        <v>0</v>
      </c>
      <c r="H553" s="89">
        <f t="shared" si="42"/>
        <v>0</v>
      </c>
      <c r="I553" s="89">
        <f t="shared" si="42"/>
        <v>0</v>
      </c>
      <c r="J553" s="89">
        <f t="shared" si="42"/>
        <v>0</v>
      </c>
      <c r="K553" s="89">
        <f t="shared" si="42"/>
        <v>0</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19153.46</v>
      </c>
      <c r="G576" s="18"/>
      <c r="H576" s="18"/>
      <c r="I576" s="87">
        <f>SUM(F576:H576)</f>
        <v>19153.46</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2284.02</v>
      </c>
      <c r="G580" s="18"/>
      <c r="H580" s="18"/>
      <c r="I580" s="87">
        <f t="shared" si="47"/>
        <v>2284.02</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c r="I592" s="18"/>
      <c r="J592" s="18"/>
      <c r="K592" s="104">
        <f t="shared" ref="K592:K598" si="48">SUM(H592:J592)</f>
        <v>0</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0</v>
      </c>
      <c r="I599" s="108">
        <f>SUM(I592:I598)</f>
        <v>0</v>
      </c>
      <c r="J599" s="108">
        <f>SUM(J592:J598)</f>
        <v>0</v>
      </c>
      <c r="K599" s="108">
        <f>SUM(K592:K598)</f>
        <v>0</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23020.01</v>
      </c>
      <c r="H618" s="109">
        <f>SUM(F52)</f>
        <v>23020.010000000002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133710.41</v>
      </c>
      <c r="H622" s="109">
        <f>SUM(J52)</f>
        <v>133710.41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10674.36</v>
      </c>
      <c r="H623" s="109">
        <f>F477</f>
        <v>10674.36</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133710.41</v>
      </c>
      <c r="H627" s="109">
        <f>J477</f>
        <v>133710.41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39473.369999999995</v>
      </c>
      <c r="H628" s="104">
        <f>SUM(F469)</f>
        <v>39473.370000000003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8069.96</v>
      </c>
      <c r="H632" s="104">
        <f>SUM(J469)</f>
        <v>8069.96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34662.61</v>
      </c>
      <c r="H633" s="104">
        <f>SUM(F473)</f>
        <v>34662.61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8069.96</v>
      </c>
      <c r="H638" s="164">
        <f>SUM(J469)</f>
        <v>8069.96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133710.41</v>
      </c>
      <c r="H641" s="104">
        <f>SUM(G462)</f>
        <v>133710.41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133710.41</v>
      </c>
      <c r="H643" s="104">
        <f>SUM(I462)</f>
        <v>133710.41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69.959999999999994</v>
      </c>
      <c r="H645" s="104">
        <f>H409</f>
        <v>69.960000000000008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8000</v>
      </c>
      <c r="H646" s="104">
        <f>G409</f>
        <v>8000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8069.96</v>
      </c>
      <c r="H647" s="104">
        <f>L409</f>
        <v>8069.96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0</v>
      </c>
      <c r="H648" s="104">
        <f>L209+L227+L245</f>
        <v>0</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8000</v>
      </c>
      <c r="H656" s="104">
        <f>K267+K348</f>
        <v>8000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26662.61</v>
      </c>
      <c r="G661" s="19">
        <f>(L230+L310+L360)</f>
        <v>0</v>
      </c>
      <c r="H661" s="19">
        <f>(L248+L329+L361)</f>
        <v>0</v>
      </c>
      <c r="I661" s="19">
        <f>SUM(F661:H661)</f>
        <v>26662.61</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0</v>
      </c>
      <c r="G663" s="19">
        <f>(L227+L307)-(J227+J307)</f>
        <v>0</v>
      </c>
      <c r="H663" s="19">
        <f>(L245+L326)-(J245+J326)</f>
        <v>0</v>
      </c>
      <c r="I663" s="19">
        <f>SUM(F663:H663)</f>
        <v>0</v>
      </c>
      <c r="J663"/>
      <c r="K663" s="13"/>
      <c r="L663" s="13"/>
      <c r="M663" s="9"/>
    </row>
    <row r="664" spans="1:13" s="3" customFormat="1" ht="12.2" customHeight="1" x14ac:dyDescent="0.15">
      <c r="A664" s="198" t="s">
        <v>129</v>
      </c>
      <c r="B664" s="169"/>
      <c r="C664" s="169"/>
      <c r="D664" s="169"/>
      <c r="E664" s="169"/>
      <c r="F664" s="199">
        <f>SUM(F576:F588)+SUM(H603:H605)+SUM(L612)</f>
        <v>21437.48</v>
      </c>
      <c r="G664" s="199">
        <f>SUM(G576:G588)+SUM(I603:I605)+L613</f>
        <v>0</v>
      </c>
      <c r="H664" s="199">
        <f>SUM(H576:H588)+SUM(J603:J605)+L614</f>
        <v>0</v>
      </c>
      <c r="I664" s="19">
        <f>SUM(F664:H664)</f>
        <v>21437.48</v>
      </c>
      <c r="J664" s="13"/>
      <c r="K664" s="13"/>
      <c r="L664" s="13"/>
      <c r="M664" s="9"/>
    </row>
    <row r="665" spans="1:13" s="3" customFormat="1" ht="12.2" customHeight="1" x14ac:dyDescent="0.15">
      <c r="A665" s="1" t="s">
        <v>130</v>
      </c>
      <c r="F665" s="19">
        <f>F661-SUM(F662:F664)</f>
        <v>5225.130000000001</v>
      </c>
      <c r="G665" s="19">
        <f>G661-SUM(G662:G664)</f>
        <v>0</v>
      </c>
      <c r="H665" s="19">
        <f>H661-SUM(H662:H664)</f>
        <v>0</v>
      </c>
      <c r="I665" s="19">
        <f>I661-SUM(I662:I664)</f>
        <v>5225.130000000001</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-5225.13</v>
      </c>
      <c r="G670" s="18"/>
      <c r="H670" s="18"/>
      <c r="I670" s="19">
        <f>SUM(F670:H670)</f>
        <v>-5225.13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Hart's Location School District</v>
      </c>
      <c r="C5" s="344"/>
      <c r="D5" s="344"/>
      <c r="E5" s="344"/>
      <c r="F5" s="344"/>
    </row>
    <row r="8" spans="1:9" ht="18" x14ac:dyDescent="0.25">
      <c r="A8" s="323" t="s">
        <v>1591</v>
      </c>
      <c r="F8" s="330" t="s">
        <v>1609</v>
      </c>
    </row>
    <row r="9" spans="1:9" ht="15" x14ac:dyDescent="0.2">
      <c r="A9" s="321" t="s">
        <v>1592</v>
      </c>
      <c r="B9" s="324">
        <f>'DOE25'!G97</f>
        <v>0</v>
      </c>
      <c r="F9" s="321" t="s">
        <v>1605</v>
      </c>
    </row>
    <row r="10" spans="1:9" ht="15" x14ac:dyDescent="0.2">
      <c r="A10" s="321" t="s">
        <v>1593</v>
      </c>
      <c r="B10" s="324">
        <f>'DOE25'!G112-'DOE25'!G97</f>
        <v>0</v>
      </c>
      <c r="F10" s="321" t="s">
        <v>1606</v>
      </c>
    </row>
    <row r="11" spans="1:9" ht="15" x14ac:dyDescent="0.2">
      <c r="A11" s="321" t="s">
        <v>1594</v>
      </c>
      <c r="B11" s="324">
        <f>'DOE25'!G140</f>
        <v>0</v>
      </c>
      <c r="F11" s="321" t="s">
        <v>1607</v>
      </c>
    </row>
    <row r="12" spans="1:9" ht="15" x14ac:dyDescent="0.2">
      <c r="A12" s="321" t="s">
        <v>1595</v>
      </c>
      <c r="B12" s="324">
        <f>'DOE25'!G170</f>
        <v>0</v>
      </c>
      <c r="F12" s="321" t="s">
        <v>1608</v>
      </c>
    </row>
    <row r="13" spans="1:9" ht="15" x14ac:dyDescent="0.2">
      <c r="A13" s="321" t="s">
        <v>1596</v>
      </c>
      <c r="B13" s="324">
        <f>'DOE25'!G193-'DOE25'!G180</f>
        <v>0</v>
      </c>
      <c r="F13" s="321" t="s">
        <v>1618</v>
      </c>
    </row>
    <row r="14" spans="1:9" ht="18" x14ac:dyDescent="0.25">
      <c r="A14" s="323" t="s">
        <v>732</v>
      </c>
      <c r="B14" s="325">
        <f>SUM(B9:B13)</f>
        <v>0</v>
      </c>
    </row>
    <row r="16" spans="1:9" ht="18" x14ac:dyDescent="0.25">
      <c r="A16" s="323" t="s">
        <v>786</v>
      </c>
      <c r="F16" s="330" t="s">
        <v>1610</v>
      </c>
    </row>
    <row r="17" spans="1:6" ht="15" x14ac:dyDescent="0.2">
      <c r="A17" s="321" t="s">
        <v>1597</v>
      </c>
      <c r="B17" s="324">
        <f>'DOE25'!L363-'DOE25'!L362</f>
        <v>0</v>
      </c>
      <c r="F17" s="321" t="s">
        <v>1611</v>
      </c>
    </row>
    <row r="18" spans="1:6" ht="15" x14ac:dyDescent="0.2">
      <c r="A18" s="321" t="s">
        <v>1598</v>
      </c>
      <c r="B18" s="338"/>
      <c r="F18" s="330" t="s">
        <v>1637</v>
      </c>
    </row>
    <row r="19" spans="1:6" ht="18" x14ac:dyDescent="0.25">
      <c r="A19" s="323" t="s">
        <v>725</v>
      </c>
      <c r="B19" s="325">
        <f>SUM(B17:B18)</f>
        <v>0</v>
      </c>
    </row>
    <row r="21" spans="1:6" ht="18.75" thickBot="1" x14ac:dyDescent="0.3">
      <c r="A21" s="323" t="s">
        <v>1599</v>
      </c>
    </row>
    <row r="22" spans="1:6" ht="18.75" thickTop="1" x14ac:dyDescent="0.25">
      <c r="A22" s="323" t="s">
        <v>1600</v>
      </c>
      <c r="B22" s="329">
        <f>B14-B19</f>
        <v>0</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 sqref="B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Hart's Location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E11" sqref="E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Hart's Location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21437.48</v>
      </c>
      <c r="D5" s="20">
        <f>SUM('DOE25'!L198:L201)+SUM('DOE25'!L216:L219)+SUM('DOE25'!L234:L237)-F5-G5-H5</f>
        <v>21437.48</v>
      </c>
      <c r="E5" s="243"/>
      <c r="F5" s="244"/>
      <c r="G5" s="53">
        <f>SUM('DOE25'!J198:J201)+SUM('DOE25'!J216:J219)+SUM('DOE25'!J234:J237)</f>
        <v>0</v>
      </c>
      <c r="H5" s="53">
        <f>SUM('DOE25'!K198:K201)+SUM('DOE25'!K216:K219)+SUM('DOE25'!K234:K237)</f>
        <v>0</v>
      </c>
      <c r="I5" s="256"/>
    </row>
    <row r="6" spans="1:9" x14ac:dyDescent="0.2">
      <c r="A6" s="32">
        <v>2100</v>
      </c>
      <c r="B6" t="s">
        <v>796</v>
      </c>
      <c r="C6" s="276">
        <f t="shared" si="0"/>
        <v>0</v>
      </c>
      <c r="D6" s="20">
        <f>'DOE25'!L203+'DOE25'!L221+'DOE25'!L239-F6-G6-H6</f>
        <v>0</v>
      </c>
      <c r="E6" s="243"/>
      <c r="F6" s="244"/>
      <c r="G6" s="53">
        <f>'DOE25'!J203+'DOE25'!J221+'DOE25'!J239</f>
        <v>0</v>
      </c>
      <c r="H6" s="53">
        <f>'DOE25'!K203+'DOE25'!K221+'DOE25'!K239</f>
        <v>0</v>
      </c>
      <c r="I6" s="256"/>
    </row>
    <row r="7" spans="1:9" x14ac:dyDescent="0.2">
      <c r="A7" s="32">
        <v>2200</v>
      </c>
      <c r="B7" t="s">
        <v>821</v>
      </c>
      <c r="C7" s="276">
        <f t="shared" si="0"/>
        <v>0</v>
      </c>
      <c r="D7" s="20">
        <f>'DOE25'!L204+'DOE25'!L222+'DOE25'!L240-F7-G7-H7</f>
        <v>0</v>
      </c>
      <c r="E7" s="243"/>
      <c r="F7" s="244"/>
      <c r="G7" s="53">
        <f>'DOE25'!J204+'DOE25'!J222+'DOE25'!J240</f>
        <v>0</v>
      </c>
      <c r="H7" s="53">
        <f>'DOE25'!K204+'DOE25'!K222+'DOE25'!K240</f>
        <v>0</v>
      </c>
      <c r="I7" s="256"/>
    </row>
    <row r="8" spans="1:9" x14ac:dyDescent="0.2">
      <c r="A8" s="32">
        <v>2300</v>
      </c>
      <c r="B8" t="s">
        <v>797</v>
      </c>
      <c r="C8" s="276">
        <f t="shared" si="0"/>
        <v>2214</v>
      </c>
      <c r="D8" s="243"/>
      <c r="E8" s="20">
        <f>'DOE25'!L205+'DOE25'!L223+'DOE25'!L241-F8-G8-H8-D9-D11</f>
        <v>2214</v>
      </c>
      <c r="F8" s="244"/>
      <c r="G8" s="53">
        <f>'DOE25'!J205+'DOE25'!J223+'DOE25'!J241</f>
        <v>0</v>
      </c>
      <c r="H8" s="53">
        <f>'DOE25'!K205+'DOE25'!K223+'DOE25'!K241</f>
        <v>0</v>
      </c>
      <c r="I8" s="256"/>
    </row>
    <row r="9" spans="1:9" ht="14.25" x14ac:dyDescent="0.2">
      <c r="A9" s="32">
        <v>2310</v>
      </c>
      <c r="B9" s="185" t="s">
        <v>890</v>
      </c>
      <c r="C9" s="276">
        <f t="shared" si="0"/>
        <v>1889.13</v>
      </c>
      <c r="D9" s="244">
        <v>1889.13</v>
      </c>
      <c r="E9" s="243"/>
      <c r="F9" s="253"/>
      <c r="G9" s="253"/>
      <c r="H9" s="253"/>
      <c r="I9" s="256"/>
    </row>
    <row r="10" spans="1:9" ht="14.25" x14ac:dyDescent="0.2">
      <c r="A10" s="32">
        <v>2317</v>
      </c>
      <c r="B10" s="185" t="s">
        <v>891</v>
      </c>
      <c r="C10" s="276">
        <f t="shared" si="0"/>
        <v>1000</v>
      </c>
      <c r="D10" s="243"/>
      <c r="E10" s="244">
        <v>1000</v>
      </c>
      <c r="F10" s="253"/>
      <c r="G10" s="253"/>
      <c r="H10" s="253"/>
      <c r="I10" s="256"/>
    </row>
    <row r="11" spans="1:9" ht="14.25" x14ac:dyDescent="0.2">
      <c r="A11" s="32">
        <v>2321</v>
      </c>
      <c r="B11" s="185" t="s">
        <v>892</v>
      </c>
      <c r="C11" s="276">
        <f t="shared" si="0"/>
        <v>1122</v>
      </c>
      <c r="D11" s="244">
        <v>1122</v>
      </c>
      <c r="E11" s="243"/>
      <c r="F11" s="253"/>
      <c r="G11" s="253"/>
      <c r="H11" s="253"/>
      <c r="I11" s="256"/>
    </row>
    <row r="12" spans="1:9" x14ac:dyDescent="0.2">
      <c r="A12" s="32">
        <v>2400</v>
      </c>
      <c r="B12" t="s">
        <v>711</v>
      </c>
      <c r="C12" s="276">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6">
        <f t="shared" si="0"/>
        <v>0</v>
      </c>
      <c r="D15" s="20">
        <f>'DOE25'!L209+'DOE25'!L227+'DOE25'!L245-F15-G15-H15</f>
        <v>0</v>
      </c>
      <c r="E15" s="243"/>
      <c r="F15" s="244"/>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'DOE25'!L359+'DOE25'!L360+'DOE25'!L361-'DOE25'!I368-F29-G29-H29</f>
        <v>0</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0</v>
      </c>
      <c r="D31" s="20">
        <f>'DOE25'!L291+'DOE25'!L310+'DOE25'!L329+'DOE25'!L334+'DOE25'!L335+'DOE25'!L336-F31-G31-H31</f>
        <v>0</v>
      </c>
      <c r="E31" s="243"/>
      <c r="F31" s="244"/>
      <c r="G31" s="53">
        <f>'DOE25'!J291+'DOE25'!J310+'DOE25'!J329+'DOE25'!J334+'DOE25'!J335+'DOE25'!J336</f>
        <v>0</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24448.61</v>
      </c>
      <c r="E33" s="245">
        <f t="shared" si="1"/>
        <v>3214</v>
      </c>
      <c r="F33" s="245">
        <f t="shared" si="1"/>
        <v>0</v>
      </c>
      <c r="G33" s="245">
        <f t="shared" si="1"/>
        <v>0</v>
      </c>
      <c r="H33" s="245">
        <f t="shared" si="1"/>
        <v>0</v>
      </c>
      <c r="I33" s="245">
        <f t="shared" si="1"/>
        <v>0</v>
      </c>
    </row>
    <row r="35" spans="1:9" ht="12" thickBot="1" x14ac:dyDescent="0.25">
      <c r="B35" s="251" t="s">
        <v>831</v>
      </c>
      <c r="D35" s="252">
        <f>E33</f>
        <v>3214</v>
      </c>
      <c r="E35" s="248"/>
    </row>
    <row r="36" spans="1:9" ht="12" thickTop="1" x14ac:dyDescent="0.2">
      <c r="B36" t="s">
        <v>810</v>
      </c>
      <c r="D36" s="20">
        <f>D33</f>
        <v>24448.61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5" sqref="A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Hart's Location School District</v>
      </c>
      <c r="B2" s="126">
        <f>'DOE25'!B2</f>
        <v>236</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26662.61</v>
      </c>
      <c r="G4" s="303">
        <f>'DOE25'!L212+'DOE25'!L291</f>
        <v>26662.61</v>
      </c>
      <c r="H4" s="337">
        <f>F4-G4</f>
        <v>0</v>
      </c>
      <c r="I4" s="309" t="str">
        <f>IF(H4=0,"","Does not match DOE25 page 7 and 11 Totals!!")</f>
        <v/>
      </c>
      <c r="N4"/>
    </row>
    <row r="5" spans="1:18" x14ac:dyDescent="0.2">
      <c r="A5" s="21" t="s">
        <v>1562</v>
      </c>
      <c r="B5" s="304">
        <f>IFERROR(VLOOKUP(A5,'School Tables'!$C$3:$D$365,2,FALSE),"")</f>
        <v>99999</v>
      </c>
      <c r="C5" s="297" t="str">
        <f>IFERROR(INDEX('School Tables'!$B$3:$B$365,MATCH('School Level Expenditures'!B5,'School Tables'!$D$3:$D$365,0)),"")</f>
        <v>Other District Expenditures</v>
      </c>
      <c r="D5" s="294">
        <v>26662.61</v>
      </c>
      <c r="E5" s="294"/>
      <c r="F5" s="312">
        <f>D5+E5</f>
        <v>26662.61</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Hart's Location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23020.01</v>
      </c>
      <c r="D8" s="95">
        <f>'DOE25'!G9</f>
        <v>0</v>
      </c>
      <c r="E8" s="95">
        <f>'DOE25'!H9</f>
        <v>0</v>
      </c>
      <c r="F8" s="95">
        <f>'DOE25'!I9</f>
        <v>0</v>
      </c>
      <c r="G8" s="95">
        <f>'DOE25'!J9</f>
        <v>133710.41</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23020.01</v>
      </c>
      <c r="D18" s="41">
        <f>SUM(D8:D17)</f>
        <v>0</v>
      </c>
      <c r="E18" s="41">
        <f>SUM(E8:E17)</f>
        <v>0</v>
      </c>
      <c r="F18" s="41">
        <f>SUM(F8:F17)</f>
        <v>0</v>
      </c>
      <c r="G18" s="41">
        <f>SUM(G8:G17)</f>
        <v>133710.41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12345.65</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12345.65</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915</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133710.41</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9759.36</v>
      </c>
      <c r="D49" s="24" t="s">
        <v>288</v>
      </c>
      <c r="E49" s="24" t="s">
        <v>288</v>
      </c>
      <c r="F49" s="24" t="s">
        <v>288</v>
      </c>
      <c r="G49" s="24" t="s">
        <v>288</v>
      </c>
      <c r="H49" s="124"/>
      <c r="I49" s="124"/>
    </row>
    <row r="50" spans="1:9" ht="12.75" thickTop="1" thickBot="1" x14ac:dyDescent="0.25">
      <c r="A50" s="38" t="s">
        <v>884</v>
      </c>
      <c r="B50" s="48"/>
      <c r="C50" s="41">
        <f>SUM(C34:C49)</f>
        <v>10674.36</v>
      </c>
      <c r="D50" s="41">
        <f>SUM(D34:D49)</f>
        <v>0</v>
      </c>
      <c r="E50" s="41">
        <f>SUM(E34:E49)</f>
        <v>0</v>
      </c>
      <c r="F50" s="41">
        <f>SUM(F34:F49)</f>
        <v>0</v>
      </c>
      <c r="G50" s="41">
        <f>SUM(G34:G49)</f>
        <v>133710.41</v>
      </c>
      <c r="H50" s="124"/>
      <c r="I50" s="124"/>
    </row>
    <row r="51" spans="1:9" ht="12" thickTop="1" x14ac:dyDescent="0.2">
      <c r="A51" s="38" t="s">
        <v>885</v>
      </c>
      <c r="B51" s="2"/>
      <c r="C51" s="41">
        <f>C50+C31</f>
        <v>23020.010000000002</v>
      </c>
      <c r="D51" s="41">
        <f>D50+D31</f>
        <v>0</v>
      </c>
      <c r="E51" s="41">
        <f>E50+E31</f>
        <v>0</v>
      </c>
      <c r="F51" s="41">
        <f>F50+F31</f>
        <v>0</v>
      </c>
      <c r="G51" s="41">
        <f>G50+G31</f>
        <v>133710.41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8778</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0.98</v>
      </c>
      <c r="D59" s="95">
        <f>'DOE25'!G96</f>
        <v>0</v>
      </c>
      <c r="E59" s="95">
        <f>'DOE25'!H96</f>
        <v>0</v>
      </c>
      <c r="F59" s="95">
        <f>'DOE25'!I96</f>
        <v>0</v>
      </c>
      <c r="G59" s="95">
        <f>'DOE25'!J96</f>
        <v>69.959999999999994</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0.98</v>
      </c>
      <c r="D62" s="130">
        <f>SUM(D57:D61)</f>
        <v>0</v>
      </c>
      <c r="E62" s="130">
        <f>SUM(E57:E61)</f>
        <v>0</v>
      </c>
      <c r="F62" s="130">
        <f>SUM(F57:F61)</f>
        <v>0</v>
      </c>
      <c r="G62" s="130">
        <f>SUM(G57:G61)</f>
        <v>69.959999999999994</v>
      </c>
      <c r="H62"/>
      <c r="I62"/>
    </row>
    <row r="63" spans="1:9" ht="12" thickTop="1" x14ac:dyDescent="0.2">
      <c r="A63" s="29" t="s">
        <v>175</v>
      </c>
      <c r="B63" s="6"/>
      <c r="C63" s="22">
        <f>C56+C62</f>
        <v>8778.98</v>
      </c>
      <c r="D63" s="22">
        <f>D56+D62</f>
        <v>0</v>
      </c>
      <c r="E63" s="22">
        <f>E56+E62</f>
        <v>0</v>
      </c>
      <c r="F63" s="22">
        <f>F56+F62</f>
        <v>0</v>
      </c>
      <c r="G63" s="22">
        <f>G56+G62</f>
        <v>69.959999999999994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27837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27837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220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220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28057</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0</v>
      </c>
      <c r="E88" s="341">
        <f>SUM('DOE25'!H153:H162)</f>
        <v>0</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2637.39</v>
      </c>
      <c r="D90" s="24" t="s">
        <v>288</v>
      </c>
      <c r="E90" s="24" t="s">
        <v>288</v>
      </c>
      <c r="F90" s="24" t="s">
        <v>288</v>
      </c>
      <c r="G90" s="24" t="s">
        <v>288</v>
      </c>
    </row>
    <row r="91" spans="1:9" ht="12.75" thickTop="1" thickBot="1" x14ac:dyDescent="0.25">
      <c r="A91" s="33" t="s">
        <v>750</v>
      </c>
      <c r="C91" s="131">
        <f>SUM(C85:C90)</f>
        <v>2637.39</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8000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8000</v>
      </c>
    </row>
    <row r="104" spans="1:7" ht="12.75" thickTop="1" thickBot="1" x14ac:dyDescent="0.25">
      <c r="A104" s="33" t="s">
        <v>761</v>
      </c>
      <c r="C104" s="86">
        <f>C63+C81+C91+C103</f>
        <v>39473.369999999995</v>
      </c>
      <c r="D104" s="86">
        <f>D63+D81+D91+D103</f>
        <v>0</v>
      </c>
      <c r="E104" s="86">
        <f>E63+E81+E91+E103</f>
        <v>0</v>
      </c>
      <c r="F104" s="86">
        <f>F63+F81+F91+F103</f>
        <v>0</v>
      </c>
      <c r="G104" s="86">
        <f>G63+G81+G103</f>
        <v>8069.96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19153.46</v>
      </c>
      <c r="D109" s="24" t="s">
        <v>288</v>
      </c>
      <c r="E109" s="95">
        <f>('DOE25'!L277)+('DOE25'!L296)+('DOE25'!L315)</f>
        <v>0</v>
      </c>
      <c r="F109" s="24" t="s">
        <v>288</v>
      </c>
      <c r="G109" s="24" t="s">
        <v>288</v>
      </c>
    </row>
    <row r="110" spans="1:7" x14ac:dyDescent="0.2">
      <c r="A110" t="s">
        <v>198</v>
      </c>
      <c r="B110" s="32" t="s">
        <v>199</v>
      </c>
      <c r="C110" s="95">
        <f>('DOE25'!L199)+('DOE25'!L217)+('DOE25'!L235)</f>
        <v>2284.02</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21437.48</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0</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5225.13</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0</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5225.13</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8069.96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-69.960000000000036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8000</v>
      </c>
      <c r="D144" s="141">
        <f>SUM(D130:D143)</f>
        <v>0</v>
      </c>
      <c r="E144" s="141">
        <f>SUM(E130:E143)</f>
        <v>0</v>
      </c>
      <c r="F144" s="141">
        <f>SUM(F130:F143)</f>
        <v>0</v>
      </c>
      <c r="G144" s="141">
        <f>SUM(G130:G143)</f>
        <v>0</v>
      </c>
    </row>
    <row r="145" spans="1:9" ht="12.75" thickTop="1" thickBot="1" x14ac:dyDescent="0.25">
      <c r="A145" s="33" t="s">
        <v>244</v>
      </c>
      <c r="C145" s="86">
        <f>(C115+C128+C144)</f>
        <v>34662.61</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Hart's Location School District</v>
      </c>
    </row>
    <row r="3" spans="1:4" x14ac:dyDescent="0.2">
      <c r="B3" s="188" t="s">
        <v>1587</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1588</v>
      </c>
      <c r="C9" s="181" t="s">
        <v>720</v>
      </c>
      <c r="D9" s="181" t="s">
        <v>721</v>
      </c>
    </row>
    <row r="10" spans="1:4" x14ac:dyDescent="0.2">
      <c r="A10">
        <v>1100</v>
      </c>
      <c r="B10" t="s">
        <v>702</v>
      </c>
      <c r="C10" s="179">
        <f>ROUND('DOE25'!L198+'DOE25'!L216+'DOE25'!L234+'DOE25'!L277+'DOE25'!L296+'DOE25'!L315,0)</f>
        <v>19153</v>
      </c>
      <c r="D10" s="182">
        <f>ROUND((C10/$C$28)*100,1)</f>
        <v>71.8</v>
      </c>
    </row>
    <row r="11" spans="1:4" x14ac:dyDescent="0.2">
      <c r="A11">
        <v>1200</v>
      </c>
      <c r="B11" t="s">
        <v>703</v>
      </c>
      <c r="C11" s="179">
        <f>ROUND('DOE25'!L199+'DOE25'!L217+'DOE25'!L235+'DOE25'!L278+'DOE25'!L297+'DOE25'!L316,0)</f>
        <v>2284</v>
      </c>
      <c r="D11" s="182">
        <f>ROUND((C11/$C$28)*100,1)</f>
        <v>8.6</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0</v>
      </c>
      <c r="D15" s="182">
        <f t="shared" ref="D15:D27" si="0">ROUND((C15/$C$28)*100,1)</f>
        <v>0</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5225</v>
      </c>
      <c r="D17" s="182">
        <f t="shared" si="0"/>
        <v>19.600000000000001</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0</v>
      </c>
      <c r="D21" s="182">
        <f t="shared" si="0"/>
        <v>0</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26662</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26662</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8778</v>
      </c>
      <c r="D35" s="182">
        <f t="shared" ref="D35:D40" si="1">ROUND((C35/$C$41)*100,1)</f>
        <v>22.2</v>
      </c>
    </row>
    <row r="36" spans="1:4" x14ac:dyDescent="0.2">
      <c r="B36" s="185" t="s">
        <v>739</v>
      </c>
      <c r="C36" s="179">
        <f>SUM('DOE25'!F112:J112)-SUM('DOE25'!G97:G110)+('DOE25'!F175+'DOE25'!F176+'DOE25'!I175+'DOE25'!I176)-C35</f>
        <v>70.93999999999869</v>
      </c>
      <c r="D36" s="182">
        <f t="shared" si="1"/>
        <v>0.2</v>
      </c>
    </row>
    <row r="37" spans="1:4" x14ac:dyDescent="0.2">
      <c r="A37" s="183" t="s">
        <v>835</v>
      </c>
      <c r="B37" s="185" t="s">
        <v>728</v>
      </c>
      <c r="C37" s="179">
        <f>ROUND('DOE25'!F117+'DOE25'!F118,0)</f>
        <v>27837</v>
      </c>
      <c r="D37" s="182">
        <f t="shared" si="1"/>
        <v>70.400000000000006</v>
      </c>
    </row>
    <row r="38" spans="1:4" x14ac:dyDescent="0.2">
      <c r="A38" s="183" t="s">
        <v>734</v>
      </c>
      <c r="B38" s="185" t="s">
        <v>729</v>
      </c>
      <c r="C38" s="179">
        <f>ROUND(SUM('DOE25'!F140:J140)-SUM('DOE25'!F117:F119),0)</f>
        <v>220</v>
      </c>
      <c r="D38" s="182">
        <f t="shared" si="1"/>
        <v>0.6</v>
      </c>
    </row>
    <row r="39" spans="1:4" x14ac:dyDescent="0.2">
      <c r="A39">
        <v>4000</v>
      </c>
      <c r="B39" s="185" t="s">
        <v>730</v>
      </c>
      <c r="C39" s="179">
        <f>ROUND('DOE25'!F170+'DOE25'!G170+'DOE25'!H170+'DOE25'!I170,0)</f>
        <v>2637</v>
      </c>
      <c r="D39" s="182">
        <f t="shared" si="1"/>
        <v>6.7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39542.94</v>
      </c>
      <c r="D41" s="184">
        <f>SUM(D35:D40)</f>
        <v>100.10000000000001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Hart's Location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2020-11-25T21:53:38Z</cp:lastPrinted>
  <dcterms:created xsi:type="dcterms:W3CDTF">1997-12-04T19:04:30Z</dcterms:created>
  <dcterms:modified xsi:type="dcterms:W3CDTF">2020-11-25T21:57:18Z</dcterms:modified>
</cp:coreProperties>
</file>