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27" i="1" l="1"/>
  <c r="G527" i="1"/>
  <c r="F527" i="1"/>
  <c r="K522" i="1"/>
  <c r="J522" i="1"/>
  <c r="I522" i="1"/>
  <c r="H522" i="1"/>
  <c r="G522" i="1"/>
  <c r="F522" i="1"/>
  <c r="C19" i="12"/>
  <c r="B19" i="12"/>
  <c r="C10" i="12"/>
  <c r="B10" i="12"/>
  <c r="K345" i="1"/>
  <c r="H605" i="1"/>
  <c r="H283" i="1"/>
  <c r="F283" i="1"/>
  <c r="G277" i="1"/>
  <c r="F277" i="1"/>
  <c r="D11" i="13" l="1"/>
  <c r="F5" i="13" l="1"/>
  <c r="F470" i="1" l="1"/>
  <c r="F86" i="1"/>
  <c r="F9" i="1" l="1"/>
  <c r="H13" i="1" l="1"/>
  <c r="D9" i="13" l="1"/>
  <c r="C37" i="12" l="1"/>
  <c r="B12" i="12"/>
  <c r="C20" i="12"/>
  <c r="B11" i="12" l="1"/>
  <c r="G612" i="1" l="1"/>
  <c r="F612" i="1"/>
  <c r="H155" i="1" l="1"/>
  <c r="H359" i="1" l="1"/>
  <c r="H208" i="1"/>
  <c r="H206" i="1"/>
  <c r="H205" i="1"/>
  <c r="H204" i="1"/>
  <c r="H203" i="1"/>
  <c r="H199" i="1"/>
  <c r="H198"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E131" i="2"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56" i="2" s="1"/>
  <c r="F79" i="1"/>
  <c r="C57" i="2" s="1"/>
  <c r="F94" i="1"/>
  <c r="C58" i="2" s="1"/>
  <c r="F111" i="1"/>
  <c r="G111" i="1"/>
  <c r="H79" i="1"/>
  <c r="H94" i="1"/>
  <c r="H111" i="1"/>
  <c r="I111" i="1"/>
  <c r="I112" i="1" s="1"/>
  <c r="J111" i="1"/>
  <c r="J112" i="1" s="1"/>
  <c r="F121" i="1"/>
  <c r="F136" i="1"/>
  <c r="G121" i="1"/>
  <c r="G136" i="1"/>
  <c r="H121" i="1"/>
  <c r="H136" i="1"/>
  <c r="I121" i="1"/>
  <c r="I136" i="1"/>
  <c r="J121" i="1"/>
  <c r="J140" i="1" s="1"/>
  <c r="J136" i="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2" i="1"/>
  <c r="G653" i="1"/>
  <c r="H653" i="1"/>
  <c r="G654" i="1"/>
  <c r="H654" i="1"/>
  <c r="G655" i="1"/>
  <c r="H655" i="1"/>
  <c r="H656" i="1"/>
  <c r="J656" i="1" s="1"/>
  <c r="G62" i="2"/>
  <c r="I170" i="1"/>
  <c r="H140" i="1"/>
  <c r="A40" i="12" l="1"/>
  <c r="J652" i="1"/>
  <c r="I409" i="1"/>
  <c r="F409" i="1"/>
  <c r="H644" i="1" s="1"/>
  <c r="J572" i="1"/>
  <c r="H112" i="1"/>
  <c r="H409" i="1"/>
  <c r="H645" i="1" s="1"/>
  <c r="J645" i="1" s="1"/>
  <c r="L257" i="1"/>
  <c r="D50" i="2"/>
  <c r="G662" i="1"/>
  <c r="E125" i="2"/>
  <c r="E110" i="2"/>
  <c r="G663" i="1"/>
  <c r="E123" i="2"/>
  <c r="E121" i="2"/>
  <c r="E120" i="2"/>
  <c r="E112" i="2"/>
  <c r="E124" i="2"/>
  <c r="E119" i="2"/>
  <c r="A31" i="12"/>
  <c r="E111" i="2"/>
  <c r="K339" i="1"/>
  <c r="K353" i="1" s="1"/>
  <c r="G339" i="1"/>
  <c r="G353" i="1" s="1"/>
  <c r="C125" i="2"/>
  <c r="C119" i="2"/>
  <c r="C12" i="10"/>
  <c r="C110" i="2"/>
  <c r="D15" i="13"/>
  <c r="C15" i="13" s="1"/>
  <c r="G651" i="1"/>
  <c r="J651" i="1" s="1"/>
  <c r="C13" i="10"/>
  <c r="C121" i="2"/>
  <c r="C120" i="2"/>
  <c r="F258" i="1"/>
  <c r="F272" i="1" s="1"/>
  <c r="C11" i="10"/>
  <c r="J258" i="1"/>
  <c r="J272" i="1" s="1"/>
  <c r="C32" i="10"/>
  <c r="C112" i="2"/>
  <c r="C91" i="2"/>
  <c r="I370" i="1"/>
  <c r="H635" i="1" s="1"/>
  <c r="J635" i="1" s="1"/>
  <c r="H193" i="1"/>
  <c r="E114" i="2"/>
  <c r="C20" i="10"/>
  <c r="D6" i="13"/>
  <c r="C6" i="13" s="1"/>
  <c r="E13" i="13"/>
  <c r="C13" i="13" s="1"/>
  <c r="L402" i="1"/>
  <c r="C139" i="2" s="1"/>
  <c r="G646" i="1"/>
  <c r="H462" i="1"/>
  <c r="H642" i="1" s="1"/>
  <c r="J642" i="1" s="1"/>
  <c r="G553" i="1"/>
  <c r="F339" i="1"/>
  <c r="F353" i="1" s="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28" i="16"/>
  <c r="L329" i="1"/>
  <c r="E122" i="2"/>
  <c r="L291" i="1"/>
  <c r="E5" i="14" s="1"/>
  <c r="L615" i="1"/>
  <c r="K599" i="1"/>
  <c r="G648" i="1" s="1"/>
  <c r="K572" i="1"/>
  <c r="L571" i="1"/>
  <c r="H572" i="1"/>
  <c r="L566" i="1"/>
  <c r="I572" i="1"/>
  <c r="K546" i="1"/>
  <c r="H52" i="1"/>
  <c r="H620" i="1" s="1"/>
  <c r="J620" i="1" s="1"/>
  <c r="C114" i="2"/>
  <c r="G112" i="1"/>
  <c r="B10" i="16" s="1"/>
  <c r="E118" i="2"/>
  <c r="L248" i="1"/>
  <c r="L212" i="1"/>
  <c r="D5" i="14" s="1"/>
  <c r="F5" i="14" s="1"/>
  <c r="F4" i="14" s="1"/>
  <c r="H648"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I193" i="1"/>
  <c r="E91" i="2"/>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J621" i="1"/>
  <c r="D103" i="2"/>
  <c r="I140" i="1"/>
  <c r="A22" i="12"/>
  <c r="J653" i="1"/>
  <c r="G572" i="1"/>
  <c r="I435" i="1"/>
  <c r="G435" i="1"/>
  <c r="I664" i="1"/>
  <c r="H194" i="1" l="1"/>
  <c r="G630" i="1" s="1"/>
  <c r="G637" i="1"/>
  <c r="I473" i="1"/>
  <c r="L572" i="1"/>
  <c r="G647" i="1"/>
  <c r="J469" i="1"/>
  <c r="C141" i="2"/>
  <c r="C144" i="2" s="1"/>
  <c r="B17" i="16"/>
  <c r="B19" i="16" s="1"/>
  <c r="G473" i="1"/>
  <c r="E51" i="2"/>
  <c r="D51" i="2"/>
  <c r="E128" i="2"/>
  <c r="E115" i="2"/>
  <c r="F661" i="1"/>
  <c r="F665" i="1" s="1"/>
  <c r="F668" i="1" s="1"/>
  <c r="H661" i="1"/>
  <c r="H665" i="1" s="1"/>
  <c r="H668" i="1" s="1"/>
  <c r="F194" i="1"/>
  <c r="G36" i="14"/>
  <c r="H36" i="14" s="1"/>
  <c r="I36" i="14" s="1"/>
  <c r="C81" i="2"/>
  <c r="H649" i="1"/>
  <c r="J649" i="1" s="1"/>
  <c r="F51" i="2"/>
  <c r="G24" i="14"/>
  <c r="H24" i="14" s="1"/>
  <c r="I24" i="14" s="1"/>
  <c r="E104" i="2"/>
  <c r="C36" i="10"/>
  <c r="L435" i="1"/>
  <c r="I662" i="1"/>
  <c r="G104" i="2"/>
  <c r="L339" i="1"/>
  <c r="L353" i="1" s="1"/>
  <c r="I194" i="1"/>
  <c r="G636" i="1"/>
  <c r="G51" i="2"/>
  <c r="D104" i="2"/>
  <c r="L409" i="1"/>
  <c r="C27" i="10"/>
  <c r="C28" i="10" s="1"/>
  <c r="D23" i="10" s="1"/>
  <c r="G4" i="14"/>
  <c r="H4" i="14" s="1"/>
  <c r="I4" i="14" s="1"/>
  <c r="L546" i="1"/>
  <c r="F104" i="2"/>
  <c r="B14" i="16"/>
  <c r="E33" i="13"/>
  <c r="D35" i="13" s="1"/>
  <c r="J648" i="1"/>
  <c r="L258" i="1"/>
  <c r="L272" i="1" s="1"/>
  <c r="F473"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B22" i="16" l="1"/>
  <c r="H469" i="1"/>
  <c r="H471" i="1" s="1"/>
  <c r="J471" i="1"/>
  <c r="H638" i="1"/>
  <c r="H632" i="1"/>
  <c r="J632" i="1" s="1"/>
  <c r="G631" i="1"/>
  <c r="I469" i="1"/>
  <c r="G634" i="1"/>
  <c r="H473" i="1"/>
  <c r="H637" i="1"/>
  <c r="I475" i="1"/>
  <c r="J637" i="1"/>
  <c r="G633" i="1"/>
  <c r="G475" i="1"/>
  <c r="H636" i="1"/>
  <c r="J636" i="1" s="1"/>
  <c r="H630" i="1"/>
  <c r="J630" i="1" s="1"/>
  <c r="G629" i="1"/>
  <c r="G469" i="1"/>
  <c r="G639" i="1"/>
  <c r="J473" i="1"/>
  <c r="G628" i="1"/>
  <c r="F469" i="1"/>
  <c r="E145" i="2"/>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9" i="1" l="1"/>
  <c r="J475" i="1"/>
  <c r="F475" i="1"/>
  <c r="H633" i="1"/>
  <c r="J633" i="1" s="1"/>
  <c r="J639" i="1"/>
  <c r="H631" i="1"/>
  <c r="J631" i="1" s="1"/>
  <c r="I471" i="1"/>
  <c r="I477" i="1" s="1"/>
  <c r="H626" i="1" s="1"/>
  <c r="J626" i="1" s="1"/>
  <c r="H629" i="1"/>
  <c r="J629" i="1" s="1"/>
  <c r="G471" i="1"/>
  <c r="G477" i="1" s="1"/>
  <c r="J477" i="1"/>
  <c r="H627" i="1" s="1"/>
  <c r="J627" i="1" s="1"/>
  <c r="H475" i="1"/>
  <c r="H477" i="1" s="1"/>
  <c r="H625" i="1" s="1"/>
  <c r="J625" i="1" s="1"/>
  <c r="H634" i="1"/>
  <c r="J634" i="1" s="1"/>
  <c r="H628" i="1"/>
  <c r="J628" i="1" s="1"/>
  <c r="F471" i="1"/>
  <c r="I668" i="1"/>
  <c r="D28" i="10"/>
  <c r="D37" i="10"/>
  <c r="D36" i="10"/>
  <c r="D35" i="10"/>
  <c r="D40" i="10"/>
  <c r="D39" i="10"/>
  <c r="F477" i="1" l="1"/>
  <c r="H623" i="1" s="1"/>
  <c r="J623" i="1" s="1"/>
  <c r="B33" i="16"/>
  <c r="H624" i="1"/>
  <c r="J624"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<sst xmlns="http://schemas.openxmlformats.org/spreadsheetml/2006/main" count="5554" uniqueCount="1645">
  <si>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</si>
  <si>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</si>
  <si>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</si>
  <si>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</si>
  <si>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</si>
  <si>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</si>
  <si>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</si>
  <si>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</si>
  <si>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</si>
  <si>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</si>
  <si>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</si>
  <si>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</si>
  <si>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</si>
  <si>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</si>
  <si>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</si>
  <si>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</si>
  <si>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</si>
  <si>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</si>
  <si>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</si>
  <si>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</si>
  <si>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</si>
  <si>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</si>
  <si>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</si>
  <si>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</si>
  <si>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</si>
  <si>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</si>
  <si>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</si>
  <si>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</si>
  <si>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</si>
  <si>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</si>
  <si>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</si>
  <si>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</si>
  <si>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</si>
  <si>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</si>
  <si>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</si>
  <si>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</si>
  <si>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</si>
  <si>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</si>
  <si>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</si>
  <si>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</si>
  <si>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</si>
  <si>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</si>
  <si>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</si>
  <si>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</si>
  <si>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</si>
  <si>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</si>
  <si>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</si>
  <si>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</si>
  <si>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</si>
  <si>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</si>
  <si>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</si>
  <si>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</si>
  <si>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</si>
  <si>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</si>
  <si>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</si>
  <si>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</si>
  <si>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</si>
  <si>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</si>
  <si>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</si>
  <si>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</si>
  <si>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</si>
  <si>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</si>
  <si>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</si>
  <si>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</si>
  <si>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</si>
  <si>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</si>
  <si>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</si>
  <si>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</si>
  <si>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</si>
  <si>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</si>
  <si>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</si>
  <si>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</si>
  <si>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</si>
  <si>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</si>
  <si>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</si>
  <si>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</si>
  <si>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</si>
  <si>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</si>
  <si>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</si>
  <si>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</si>
  <si>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</si>
  <si>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</si>
  <si>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</si>
  <si>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</si>
  <si>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</si>
  <si>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</si>
  <si>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</si>
  <si>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</si>
  <si>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</si>
  <si>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</si>
  <si>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</si>
  <si>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</si>
  <si>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</si>
  <si>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</si>
  <si>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</si>
  <si>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</si>
  <si>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</si>
  <si>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</si>
  <si>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</si>
  <si>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</si>
  <si>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</si>
  <si>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</si>
  <si>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</si>
  <si>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</si>
  <si>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</si>
  <si>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</si>
  <si>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</si>
  <si>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</si>
  <si>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</si>
  <si>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</si>
  <si>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</si>
  <si>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</si>
  <si>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</si>
  <si>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</si>
  <si>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</si>
  <si>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</si>
  <si>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</si>
  <si>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</si>
  <si>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</si>
  <si>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</si>
  <si>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</si>
  <si>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</si>
  <si>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</si>
  <si>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</si>
  <si>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</si>
  <si>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</si>
  <si>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</si>
  <si>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</si>
  <si>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</si>
  <si>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</si>
  <si>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</si>
  <si>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</si>
  <si>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</si>
  <si>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</si>
  <si>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</si>
  <si>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</si>
  <si>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</si>
  <si>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</si>
  <si>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</si>
  <si>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</si>
  <si>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</si>
  <si>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</si>
  <si>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</si>
  <si>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</si>
  <si>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</si>
  <si>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</si>
  <si>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</si>
  <si>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</si>
  <si>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</si>
  <si>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</si>
  <si>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</si>
  <si>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</si>
  <si>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</si>
  <si>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</si>
  <si>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</si>
  <si>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</si>
  <si>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</si>
  <si>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</si>
  <si>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</si>
  <si>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</si>
  <si>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</si>
  <si>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</si>
  <si>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</si>
  <si>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</si>
  <si>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</si>
  <si>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</si>
  <si>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</si>
  <si>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</si>
  <si>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</si>
  <si>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</si>
  <si>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</si>
  <si>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</si>
  <si>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</si>
  <si>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</si>
  <si>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</si>
  <si>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</si>
  <si>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</si>
  <si>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</si>
  <si>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</si>
  <si>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</si>
  <si>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</si>
  <si>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</si>
  <si>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</si>
  <si>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</si>
  <si>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</si>
  <si>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</si>
  <si>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</si>
  <si>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</si>
  <si>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</si>
  <si>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</si>
  <si>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</si>
  <si>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</si>
  <si>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</si>
  <si>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</si>
  <si>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</si>
  <si>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</si>
  <si>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</si>
  <si>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</si>
  <si>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</si>
  <si>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</si>
  <si>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</si>
  <si>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</si>
  <si>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</si>
  <si>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</si>
  <si>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</si>
  <si>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</si>
  <si>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</si>
  <si>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</si>
  <si>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</si>
  <si>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</si>
  <si>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</si>
  <si>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</si>
  <si>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</si>
  <si>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</si>
  <si>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</si>
  <si>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</si>
  <si>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</si>
  <si>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</si>
  <si>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</si>
  <si>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</si>
  <si>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</si>
  <si>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</si>
  <si>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</si>
  <si>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</si>
  <si>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</si>
  <si>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</si>
  <si>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</si>
  <si>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</si>
  <si>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</si>
  <si>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</si>
  <si>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</si>
  <si>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</si>
  <si>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</si>
  <si>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</si>
  <si>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</si>
  <si>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</si>
  <si>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</si>
  <si>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</si>
  <si>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</si>
  <si>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</si>
  <si>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</si>
  <si>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</si>
  <si>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</si>
  <si>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</si>
  <si>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</si>
  <si>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</si>
  <si>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</si>
  <si>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</si>
  <si>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</si>
  <si>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</si>
  <si>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</si>
  <si>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</si>
  <si>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</si>
  <si>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</si>
  <si>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</si>
  <si>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</si>
  <si>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</si>
  <si>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</si>
  <si>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</si>
  <si>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</si>
  <si>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</si>
  <si>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</si>
  <si>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</si>
  <si>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</si>
  <si>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</si>
  <si>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</si>
  <si>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</si>
  <si>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</si>
  <si>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</si>
  <si>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</si>
  <si>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</si>
  <si>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</si>
  <si>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</si>
  <si>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</si>
  <si>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</si>
  <si>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</si>
  <si>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</si>
  <si>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</si>
  <si>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</si>
  <si>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</si>
  <si>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</si>
  <si>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</si>
  <si>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</si>
  <si>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</si>
  <si>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</si>
  <si>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</si>
  <si>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</si>
  <si>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</si>
  <si>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</si>
  <si>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</si>
  <si>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</si>
  <si>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</si>
  <si>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</si>
  <si>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</si>
  <si>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</si>
  <si>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</si>
  <si>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</si>
  <si>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</si>
  <si>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</si>
  <si>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</si>
  <si>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</si>
  <si>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</si>
  <si>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</si>
  <si>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</si>
  <si>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</si>
  <si>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</si>
  <si>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</si>
  <si>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</si>
  <si>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</si>
  <si>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</si>
  <si>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</si>
  <si>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</si>
  <si>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</si>
  <si>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</si>
  <si>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</si>
  <si>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</si>
  <si>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</si>
  <si>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</si>
  <si>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</si>
  <si>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</si>
  <si>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</si>
  <si>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</si>
  <si>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</si>
  <si>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</si>
  <si>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</si>
  <si>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</si>
  <si>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</si>
  <si>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</si>
  <si>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</si>
  <si>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</si>
  <si>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</si>
  <si>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</si>
  <si>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</si>
  <si>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</si>
  <si>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</si>
  <si>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</si>
  <si>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</si>
  <si>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</si>
  <si>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</si>
  <si>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</si>
  <si>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</si>
  <si>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</si>
  <si>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</si>
  <si>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</si>
  <si>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</si>
  <si>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</si>
  <si>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</si>
  <si>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</si>
  <si>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</si>
  <si>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</si>
  <si>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</si>
  <si>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</si>
  <si>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</si>
  <si>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</si>
  <si>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</si>
  <si>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</si>
  <si>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</si>
  <si>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</si>
  <si>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</si>
  <si>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</si>
  <si>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</si>
  <si>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</si>
  <si>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</si>
  <si>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</si>
  <si>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</si>
  <si>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</si>
  <si>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</si>
  <si>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</si>
  <si>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</si>
  <si>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</si>
  <si>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</si>
  <si>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</si>
  <si>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</si>
  <si>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</si>
  <si>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</si>
  <si>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</si>
  <si>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</si>
  <si>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</si>
  <si>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</si>
  <si>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</si>
  <si>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</si>
  <si>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</si>
  <si>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</si>
  <si>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</si>
  <si>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</si>
  <si>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</si>
  <si>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</si>
  <si>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</si>
  <si>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</si>
  <si>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</si>
  <si>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</si>
  <si>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</si>
  <si>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</si>
  <si>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</si>
  <si>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</si>
  <si>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</si>
  <si>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</si>
  <si>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</si>
  <si>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</si>
  <si>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</si>
  <si>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</si>
  <si>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</si>
  <si>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</si>
  <si>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</si>
  <si>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</si>
  <si>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</si>
  <si>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</si>
  <si>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</si>
  <si>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</si>
  <si>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</si>
  <si>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</si>
  <si>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</si>
  <si>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</si>
  <si>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</si>
  <si>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</si>
  <si>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</si>
  <si>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</si>
  <si>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</si>
  <si>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</si>
  <si>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</si>
  <si>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</si>
  <si>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</si>
  <si>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</si>
  <si>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</si>
  <si>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</si>
  <si>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</si>
  <si>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</si>
  <si>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</si>
  <si>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</si>
  <si>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</si>
  <si>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</si>
  <si>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</si>
  <si>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</si>
  <si>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</si>
  <si>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</si>
  <si>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</si>
  <si>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</si>
  <si>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</si>
  <si>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</si>
  <si>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</si>
  <si>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</si>
  <si>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</si>
  <si>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</si>
  <si>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</si>
  <si>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</si>
  <si>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</si>
  <si>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</si>
  <si>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</si>
  <si>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</si>
  <si>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</si>
  <si>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</si>
  <si>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</si>
  <si>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</si>
  <si>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</si>
  <si>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</si>
  <si>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</si>
  <si>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</si>
  <si>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</si>
  <si>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</si>
  <si>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</si>
  <si>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</si>
  <si>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</si>
  <si>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</si>
  <si>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</si>
  <si>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</si>
  <si>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</si>
  <si>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</si>
  <si>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</si>
  <si>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</si>
  <si>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</si>
  <si>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</si>
  <si>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</si>
  <si>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</si>
  <si>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</si>
  <si>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</si>
  <si>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</si>
  <si>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</si>
  <si>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</si>
  <si>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</si>
  <si>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</si>
  <si>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</si>
  <si>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</si>
  <si>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</si>
  <si>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</si>
  <si>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</si>
  <si>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</si>
  <si>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</si>
  <si>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</si>
  <si>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</si>
  <si>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</si>
  <si>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</si>
  <si>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</si>
  <si>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</si>
  <si>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</si>
  <si>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</si>
  <si>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</si>
  <si>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</si>
  <si>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</si>
  <si>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</si>
  <si>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</si>
  <si>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</si>
  <si>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</si>
  <si>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</si>
  <si>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</si>
  <si>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</si>
  <si>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</si>
  <si>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</si>
  <si>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</si>
  <si>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</si>
  <si>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</si>
  <si>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</si>
  <si>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</si>
  <si>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</si>
  <si>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</si>
  <si>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</si>
  <si>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</si>
  <si>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</si>
  <si>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</si>
  <si>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</si>
  <si>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</si>
  <si>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</si>
  <si>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</si>
  <si>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</si>
  <si>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</si>
  <si>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</si>
  <si>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</si>
  <si>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</si>
  <si>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</si>
  <si>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</si>
  <si>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</si>
  <si>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</si>
  <si>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</si>
  <si>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</si>
  <si>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</si>
  <si>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</si>
  <si>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</si>
  <si>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</si>
  <si>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</si>
  <si>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</si>
  <si>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</si>
  <si>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</si>
  <si>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</si>
  <si>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</si>
  <si>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</si>
  <si>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</si>
  <si>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</si>
  <si>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</si>
  <si>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</si>
  <si>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</si>
  <si>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</si>
  <si>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</si>
  <si>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</si>
  <si>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</si>
  <si>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</si>
  <si>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</si>
  <si>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</si>
  <si>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</si>
  <si>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</si>
  <si>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</si>
  <si>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</si>
  <si>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</si>
  <si>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</si>
  <si>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</si>
  <si>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</si>
  <si>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</si>
  <si>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</si>
  <si>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</si>
  <si>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</si>
  <si>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</si>
  <si>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</si>
  <si>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</si>
  <si>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</si>
  <si>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</si>
  <si>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</si>
  <si>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</si>
  <si>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</si>
  <si>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</si>
  <si>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</si>
  <si>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</si>
  <si>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</si>
  <si>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</si>
  <si>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</si>
  <si>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</si>
  <si>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</si>
  <si>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</si>
  <si>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</si>
  <si>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</si>
  <si>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</si>
  <si>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</si>
  <si>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</si>
  <si>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</si>
  <si>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</si>
  <si>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</si>
  <si>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</si>
  <si>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</si>
  <si>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</si>
  <si>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</si>
  <si>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</si>
  <si>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</si>
  <si>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</si>
  <si>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</si>
  <si>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</si>
  <si>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</si>
  <si>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</si>
  <si>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</si>
  <si>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</si>
  <si>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</si>
  <si>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</si>
  <si>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</si>
  <si>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</si>
  <si>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</si>
  <si>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</si>
  <si>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</si>
  <si>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</si>
  <si>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</si>
  <si>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</si>
  <si>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</si>
  <si>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</si>
  <si>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</si>
  <si>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</si>
  <si>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</si>
  <si>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</si>
  <si>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</si>
  <si>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</si>
  <si>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</si>
  <si>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</si>
  <si>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</si>
  <si>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</si>
  <si>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</si>
  <si>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</si>
  <si>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</si>
  <si>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</si>
  <si>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</si>
  <si>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</si>
  <si>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</si>
  <si>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</si>
  <si>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</si>
  <si>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</si>
  <si>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</si>
  <si>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</si>
  <si>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</si>
  <si>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</si>
  <si>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</si>
  <si>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</si>
  <si>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</si>
  <si>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</si>
  <si>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</si>
  <si>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</si>
  <si>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</si>
  <si>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</si>
  <si>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</si>
  <si>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</si>
  <si>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</si>
  <si>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</si>
  <si>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</si>
  <si>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</si>
  <si>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</si>
  <si>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</si>
  <si>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</si>
  <si>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</si>
  <si>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</si>
  <si>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</si>
  <si>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</si>
  <si>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</si>
  <si>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</si>
  <si>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</si>
  <si>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</si>
  <si>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</si>
  <si>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</si>
  <si>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</si>
  <si>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</si>
  <si>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</si>
  <si>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</si>
  <si>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</si>
  <si>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</si>
  <si>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</si>
  <si>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</si>
  <si>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</si>
  <si>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</si>
  <si>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</si>
  <si>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</si>
  <si>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</si>
  <si>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</si>
  <si>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</si>
  <si>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</si>
  <si>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</si>
  <si>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</si>
  <si>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</si>
  <si>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</si>
  <si>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</si>
  <si>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</si>
  <si>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</si>
  <si>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</si>
  <si>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</si>
  <si>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</si>
  <si>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</si>
  <si>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</si>
  <si>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</si>
  <si>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</si>
  <si>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</si>
  <si>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</si>
  <si>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</si>
  <si>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</si>
  <si>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</si>
  <si>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</si>
  <si>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</si>
  <si>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</si>
  <si>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</si>
  <si>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</si>
  <si>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</si>
  <si>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</si>
  <si>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</si>
  <si>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</si>
  <si>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</si>
  <si>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</si>
  <si>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</si>
  <si>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</si>
  <si>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</si>
  <si>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</si>
  <si>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</si>
  <si>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</si>
  <si>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</si>
  <si>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</si>
  <si>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</si>
  <si>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</si>
  <si>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</si>
  <si>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</si>
  <si>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</si>
  <si>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</si>
  <si>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</si>
  <si>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</si>
  <si>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</si>
  <si>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</si>
  <si>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</si>
  <si>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</si>
  <si>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</si>
  <si>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</si>
  <si>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</si>
  <si>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</si>
  <si>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</si>
  <si>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</si>
  <si>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</si>
  <si>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</si>
  <si>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</si>
  <si>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</si>
  <si>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</si>
  <si>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</si>
  <si>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</si>
  <si>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</si>
  <si>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</si>
  <si>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</si>
  <si>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</si>
  <si>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</si>
  <si>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</si>
  <si>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</si>
  <si>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</si>
  <si>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</si>
  <si>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</si>
  <si>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</si>
  <si>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</si>
  <si>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</si>
  <si>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</si>
  <si>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</si>
  <si>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</si>
  <si>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</si>
  <si>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</si>
  <si>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</si>
  <si>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</si>
  <si>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</si>
  <si>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</si>
  <si>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</si>
  <si>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</si>
  <si>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</si>
  <si>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</si>
  <si>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</si>
  <si>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</si>
  <si>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</si>
  <si>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</si>
  <si>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</si>
  <si>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</si>
  <si>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</si>
  <si>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</si>
  <si>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</si>
  <si>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</si>
  <si>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</si>
  <si>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</si>
  <si>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</si>
  <si>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</si>
  <si>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</si>
  <si>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</si>
  <si>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</si>
  <si>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</si>
  <si>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</si>
  <si>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</si>
  <si>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</si>
  <si>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</si>
  <si>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</si>
  <si>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</si>
  <si>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</si>
  <si>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</si>
  <si>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</si>
  <si>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</si>
  <si>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</si>
  <si>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</si>
  <si>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</si>
  <si>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</si>
  <si>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</si>
  <si>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</si>
  <si>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</si>
  <si>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</si>
  <si>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</si>
  <si>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</si>
  <si>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</si>
  <si>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</si>
  <si>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</si>
  <si>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</si>
  <si>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</si>
  <si>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</si>
  <si>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</si>
  <si>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</si>
  <si>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</si>
  <si>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</si>
  <si>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</si>
  <si>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</si>
  <si>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</si>
  <si>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</si>
  <si>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</si>
  <si>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</si>
  <si>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</si>
  <si>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</si>
  <si>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</si>
  <si>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</si>
  <si>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</si>
  <si>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</si>
  <si>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</si>
  <si>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</si>
  <si>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</si>
  <si>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</si>
  <si>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</si>
  <si>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</si>
  <si>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</si>
  <si>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</si>
  <si>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</si>
  <si>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</si>
  <si>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</si>
  <si>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</si>
  <si>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</si>
  <si>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</si>
  <si>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</si>
  <si>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</si>
  <si>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</si>
  <si>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</si>
  <si>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</si>
  <si>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</si>
  <si>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</si>
  <si>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</si>
  <si>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</si>
  <si>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</si>
  <si>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</si>
  <si>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</si>
  <si>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</si>
  <si>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</si>
  <si>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</si>
  <si>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</si>
  <si>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</si>
  <si>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</si>
  <si>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</si>
  <si>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</si>
  <si>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</si>
  <si>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</si>
  <si>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</si>
  <si>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</si>
  <si>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</si>
  <si>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</si>
  <si>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</si>
  <si>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</si>
  <si>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</si>
  <si>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</si>
  <si>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</si>
  <si>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</si>
  <si>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</si>
  <si>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</si>
  <si>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</si>
  <si>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</si>
  <si>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</si>
  <si>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</si>
  <si>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</si>
  <si>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</si>
  <si>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</si>
  <si>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</si>
  <si>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</si>
  <si>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</si>
  <si>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</si>
  <si>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</si>
  <si>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</si>
  <si>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</si>
  <si>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</si>
  <si>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</si>
  <si>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</si>
  <si>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</si>
  <si>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</si>
  <si>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</si>
  <si>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</si>
  <si>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</si>
  <si>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</si>
  <si>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</si>
  <si>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</si>
  <si>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</si>
  <si>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</si>
  <si>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</si>
  <si>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</si>
  <si>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</si>
  <si>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</si>
  <si>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</si>
  <si>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</si>
  <si>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</si>
  <si>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</si>
  <si>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</si>
  <si>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</si>
  <si>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</si>
  <si>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</si>
  <si>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</si>
  <si>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</si>
  <si>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</si>
  <si>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</si>
  <si>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</si>
  <si>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</si>
  <si>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</si>
  <si>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</si>
  <si>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</si>
  <si>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</si>
  <si>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</si>
  <si>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</si>
  <si>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</si>
  <si>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</si>
  <si>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</si>
  <si>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</si>
  <si>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</si>
  <si>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</si>
  <si>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</si>
  <si>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</si>
  <si>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</si>
  <si>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</si>
  <si>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</si>
  <si>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</si>
  <si>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</si>
  <si>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</si>
  <si>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</si>
  <si>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</si>
  <si>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</si>
  <si>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</si>
  <si>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</si>
  <si>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</si>
  <si>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</si>
  <si>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</si>
  <si>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</si>
  <si>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</si>
  <si>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</si>
  <si>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</si>
  <si>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</si>
  <si>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</si>
  <si>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</si>
  <si>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</si>
  <si>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</si>
  <si>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</si>
  <si>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</si>
  <si>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</si>
  <si>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</si>
  <si>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</si>
  <si>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</si>
  <si>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</si>
  <si>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</si>
  <si>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</si>
  <si>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</si>
  <si>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</si>
  <si>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</si>
  <si>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</si>
  <si>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</si>
  <si>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</si>
  <si>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</si>
  <si>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</si>
  <si>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</si>
  <si>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</si>
  <si>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</si>
  <si>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</si>
  <si>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</si>
  <si>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</si>
  <si>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</si>
  <si>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</si>
  <si>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</si>
  <si>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</si>
  <si>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</si>
  <si>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</si>
  <si>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</si>
  <si>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</si>
  <si>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</si>
  <si>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</si>
  <si>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</si>
  <si>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</si>
  <si>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</si>
  <si>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</si>
  <si>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</si>
  <si>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</si>
  <si>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</si>
  <si>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</si>
  <si>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</si>
  <si>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</si>
  <si>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</si>
  <si>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</si>
  <si>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</si>
  <si>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</si>
  <si>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</si>
  <si>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</si>
  <si>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</si>
  <si>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</si>
  <si>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</si>
  <si>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</si>
  <si>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</si>
  <si>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</si>
  <si>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</si>
  <si>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</si>
  <si>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</si>
  <si>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</si>
  <si>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</si>
  <si>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</si>
  <si>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</si>
  <si>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</si>
  <si>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</si>
  <si>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</si>
  <si>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</si>
  <si>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</si>
  <si>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</si>
  <si>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</si>
  <si>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</si>
  <si>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</si>
  <si>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</si>
  <si>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</si>
  <si>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</si>
  <si>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</si>
  <si>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</si>
  <si>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</si>
  <si>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</si>
  <si>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</si>
  <si>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</si>
  <si>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</si>
  <si>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</si>
  <si>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</si>
  <si>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</si>
  <si>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</si>
  <si>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</si>
  <si>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</si>
  <si>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</si>
  <si>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</si>
  <si>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</si>
  <si>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</si>
  <si>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</si>
  <si>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</si>
  <si>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</si>
  <si>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</si>
  <si>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</si>
  <si>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</si>
  <si>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</si>
  <si>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</si>
  <si>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</si>
  <si>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</si>
  <si>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</si>
  <si>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</si>
  <si>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</si>
  <si>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</si>
  <si>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</si>
  <si>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</si>
  <si>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</si>
  <si>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</si>
  <si>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</si>
  <si>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</si>
  <si>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</si>
  <si>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</si>
  <si>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</si>
  <si>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</si>
  <si>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</si>
  <si>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</si>
  <si>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</si>
  <si>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</si>
  <si>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</si>
  <si>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</si>
  <si>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</si>
  <si>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</si>
  <si>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</si>
  <si>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</si>
  <si>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</si>
  <si>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</si>
  <si>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</si>
  <si>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</si>
  <si>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</si>
  <si>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</si>
  <si>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</si>
  <si>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</si>
  <si>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</si>
  <si>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</si>
  <si>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</si>
  <si>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</si>
  <si>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</si>
  <si>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</si>
  <si>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</si>
  <si>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</si>
  <si>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</si>
  <si>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</si>
  <si>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</si>
  <si>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</si>
  <si>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</si>
  <si>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</si>
  <si>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</si>
  <si>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</si>
  <si>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</si>
  <si>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</si>
  <si>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</si>
  <si>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</si>
  <si>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</si>
  <si>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</si>
  <si>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</si>
  <si>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</si>
  <si>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</si>
  <si>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</si>
  <si>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</si>
  <si>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</si>
  <si>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</si>
  <si>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</si>
  <si>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</si>
  <si>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</si>
  <si>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</si>
  <si>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</si>
  <si>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</si>
  <si>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</si>
  <si>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</si>
  <si>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</si>
  <si>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</si>
  <si>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</si>
  <si>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</si>
  <si>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</si>
  <si>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</si>
  <si>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</si>
  <si>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</si>
  <si>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</si>
  <si>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</si>
  <si>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</si>
  <si>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</si>
  <si>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</si>
  <si>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</si>
  <si>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</si>
  <si>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</si>
  <si>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</si>
  <si>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</si>
  <si>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</si>
  <si>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</si>
  <si>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</si>
  <si>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</si>
  <si>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</si>
  <si>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</si>
  <si>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</si>
  <si>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</si>
  <si>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</si>
  <si>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</si>
  <si>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</si>
  <si>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</si>
  <si>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</si>
  <si>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</si>
  <si>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</si>
  <si>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</si>
  <si>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</si>
  <si>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</si>
  <si>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</si>
  <si>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</si>
  <si>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</si>
  <si>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</si>
  <si>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</si>
  <si>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</si>
  <si>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</si>
  <si>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</si>
  <si>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</si>
  <si>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</si>
  <si>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</si>
  <si>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</si>
  <si>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</si>
  <si>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</si>
  <si>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</si>
  <si>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</si>
  <si>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</si>
  <si>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</si>
  <si>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</si>
  <si>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</si>
  <si>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</si>
  <si>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</si>
  <si>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</si>
  <si>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</si>
  <si>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</si>
  <si>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</si>
  <si>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</si>
  <si>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</si>
  <si>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</si>
  <si>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</si>
  <si>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</si>
  <si>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</si>
  <si>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</si>
  <si>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</si>
  <si>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</si>
  <si>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</si>
  <si>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</si>
  <si>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</si>
  <si>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</si>
  <si>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</si>
  <si>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</si>
  <si>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</si>
  <si>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</si>
  <si>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</si>
  <si>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</si>
  <si>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</si>
  <si>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</si>
  <si>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</si>
  <si>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</si>
  <si>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</si>
  <si>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</si>
  <si>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</si>
  <si>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</si>
  <si>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</si>
  <si>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</si>
  <si>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</si>
  <si>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</si>
  <si>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</si>
  <si>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</si>
  <si>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</si>
  <si>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</si>
  <si>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</si>
  <si>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</si>
  <si>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</si>
  <si>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</si>
  <si>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</si>
  <si>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</si>
  <si>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</si>
  <si>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</si>
  <si>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</si>
  <si>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</si>
  <si>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</si>
  <si>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</si>
  <si>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</si>
  <si>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</si>
  <si>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</si>
  <si>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</si>
  <si>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</si>
  <si>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</si>
  <si>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</si>
  <si>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</si>
  <si>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</si>
  <si>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</si>
  <si>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</si>
  <si>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</si>
  <si>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</si>
  <si>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</si>
  <si>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</si>
  <si>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</si>
  <si>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</si>
  <si>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</si>
  <si>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</si>
  <si>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</si>
  <si>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</si>
  <si>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</si>
  <si>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</si>
  <si>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</si>
  <si>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</si>
  <si>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</si>
  <si>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</si>
  <si>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</si>
  <si>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</si>
  <si>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</si>
  <si>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</si>
  <si>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</si>
  <si>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</si>
  <si>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</si>
  <si>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</si>
  <si>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</si>
  <si>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</si>
  <si>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</si>
  <si>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</si>
  <si>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</si>
  <si>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</si>
  <si>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</si>
  <si>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</si>
  <si>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</si>
  <si>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</si>
  <si>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</si>
  <si>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</si>
  <si>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</si>
  <si>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</si>
  <si>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</si>
  <si>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</si>
  <si>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</si>
  <si>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</si>
  <si>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</si>
  <si>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</si>
  <si>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</si>
  <si>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</si>
  <si>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</si>
  <si>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</si>
  <si>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</si>
  <si>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</si>
  <si>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</si>
  <si>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</si>
  <si>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</si>
  <si>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</si>
  <si>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</si>
  <si>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</si>
  <si>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</si>
  <si>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</si>
  <si>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</si>
  <si>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</si>
  <si>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</si>
  <si>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</si>
  <si>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</si>
  <si>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</si>
  <si>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</si>
  <si>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</si>
  <si>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</si>
  <si>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</si>
  <si>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</si>
  <si>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</si>
  <si>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</si>
  <si>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</si>
  <si>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</si>
  <si>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</si>
  <si>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</si>
  <si>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</si>
  <si>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</si>
  <si>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</si>
  <si>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</si>
  <si>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</si>
  <si>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</si>
  <si>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</si>
  <si>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</si>
  <si>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</si>
  <si>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</si>
  <si>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</si>
  <si>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</si>
  <si>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</si>
  <si>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</si>
  <si>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</si>
  <si>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</si>
  <si>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</si>
  <si>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</si>
  <si>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</si>
  <si>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</si>
  <si>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</si>
  <si>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</si>
  <si>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</si>
  <si>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</si>
  <si>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</si>
  <si>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</si>
  <si>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</si>
  <si>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</si>
  <si>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</si>
  <si>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</si>
  <si>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</si>
  <si>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</si>
  <si>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</si>
  <si>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</si>
  <si>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</si>
  <si>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</si>
  <si>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</si>
  <si>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</si>
  <si>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</si>
  <si>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</si>
  <si>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</si>
  <si>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</si>
  <si>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</si>
  <si>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</si>
  <si>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</si>
  <si>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</si>
  <si>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</si>
  <si>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</si>
  <si>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</si>
  <si>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</si>
  <si>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</si>
  <si>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</si>
  <si>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</si>
  <si>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</si>
  <si>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</si>
  <si>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</si>
  <si>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</si>
  <si>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</si>
  <si>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</si>
  <si>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</si>
  <si>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</si>
  <si>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</si>
  <si>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</si>
  <si>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</si>
  <si>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</si>
  <si>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</si>
  <si>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</si>
  <si>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</si>
  <si>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</si>
  <si>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</si>
  <si>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</si>
  <si>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</si>
  <si>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</si>
  <si>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</si>
  <si>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</si>
  <si>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</si>
  <si>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</si>
  <si>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</si>
  <si>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</si>
  <si>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</si>
  <si>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</si>
  <si>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</si>
  <si>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</si>
  <si>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</si>
  <si>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</si>
  <si>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</si>
  <si>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</si>
  <si>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</si>
  <si>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</si>
  <si>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</si>
  <si>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</si>
  <si>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</si>
  <si>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</si>
  <si>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</si>
  <si>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</si>
  <si>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</si>
  <si>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</si>
  <si>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</si>
  <si>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</si>
  <si>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</si>
  <si>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</si>
  <si>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</si>
  <si>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</si>
  <si>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</si>
  <si>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</si>
  <si>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</si>
  <si>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</si>
  <si>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</si>
  <si>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</si>
  <si>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</si>
  <si>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</si>
  <si>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</si>
  <si>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</si>
  <si>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</si>
  <si>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</si>
  <si>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</si>
  <si>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</si>
  <si>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</si>
  <si>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</si>
  <si>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</si>
  <si>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</si>
  <si>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</si>
  <si>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</si>
  <si>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</si>
  <si>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</si>
  <si>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</si>
  <si>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</si>
  <si>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</si>
  <si>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</si>
  <si>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</si>
  <si>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</si>
  <si>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</si>
  <si>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</si>
  <si>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</si>
  <si>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</si>
  <si>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</si>
  <si>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</si>
  <si>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</si>
  <si>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</si>
  <si>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</si>
  <si>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</si>
  <si>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</si>
  <si>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</si>
  <si>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</si>
  <si>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</si>
  <si>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</si>
  <si>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</si>
  <si>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</si>
  <si>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</si>
  <si>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</si>
  <si>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</si>
  <si>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</si>
  <si>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</si>
  <si>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</si>
  <si>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</si>
  <si>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</si>
  <si>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</si>
  <si>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</si>
  <si>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</si>
  <si>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</si>
  <si>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</si>
  <si>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</si>
  <si>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</si>
  <si>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</si>
  <si>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</si>
  <si>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</si>
  <si>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</si>
  <si>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</si>
  <si>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</si>
  <si>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</si>
  <si>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</si>
  <si>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</si>
  <si>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</si>
  <si>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</si>
  <si>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</si>
  <si>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</si>
  <si>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</si>
  <si>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</si>
  <si>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</si>
  <si>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</si>
  <si>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</si>
  <si>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</si>
  <si>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</si>
  <si>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</si>
  <si>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</si>
  <si>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</si>
  <si>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</si>
  <si>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</si>
  <si>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</si>
  <si>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</si>
  <si>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</si>
  <si>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</si>
  <si>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</si>
  <si>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</si>
  <si>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</si>
  <si>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</si>
  <si>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</si>
  <si>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</si>
  <si>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</si>
  <si>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</si>
  <si>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</si>
  <si>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</si>
  <si>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</si>
  <si>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</si>
  <si>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</si>
  <si>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</si>
  <si>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</si>
  <si>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</si>
  <si>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</si>
  <si>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</si>
  <si>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</si>
  <si>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</si>
  <si>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</si>
  <si>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</si>
  <si>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</si>
  <si>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</si>
  <si>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</si>
  <si>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</si>
  <si>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</si>
  <si>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</si>
  <si>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</si>
  <si>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</si>
  <si>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</si>
  <si>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</si>
  <si>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</si>
  <si>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</si>
  <si>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</si>
  <si>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</si>
  <si>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</si>
  <si>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</si>
  <si>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</si>
  <si>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</si>
  <si>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</si>
  <si>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</si>
  <si>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</si>
  <si>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</si>
  <si>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</si>
  <si>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</si>
  <si>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</si>
  <si>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</si>
  <si>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</si>
  <si>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</si>
  <si>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</si>
  <si>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</si>
  <si>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</si>
  <si>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</si>
  <si>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</si>
  <si>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</si>
  <si>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</si>
  <si>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</si>
  <si>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</si>
  <si>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</si>
  <si>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</si>
  <si>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</si>
  <si>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</si>
  <si>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</si>
  <si>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</si>
  <si>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</si>
  <si>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</si>
  <si>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</si>
  <si>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</si>
  <si>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</si>
  <si>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</si>
  <si>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</si>
  <si>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</si>
  <si>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</si>
  <si>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</si>
  <si>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</si>
  <si>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</si>
  <si>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</si>
  <si>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</si>
  <si>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</si>
  <si>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</si>
  <si>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</si>
  <si>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</si>
  <si>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</si>
  <si>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</si>
  <si>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</si>
  <si>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</si>
  <si>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</si>
  <si>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</si>
  <si>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</si>
  <si>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</si>
  <si>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</si>
  <si>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</si>
  <si>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</si>
  <si>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</si>
  <si>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</si>
  <si>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</si>
  <si>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</si>
  <si>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</si>
  <si>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</si>
  <si>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</si>
  <si>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</si>
  <si>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</si>
  <si>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</si>
  <si>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</si>
  <si>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</si>
  <si>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</si>
  <si>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</si>
  <si>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</si>
  <si>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</si>
  <si>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</si>
  <si>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</si>
  <si>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</si>
  <si>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</si>
  <si>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</si>
  <si>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</si>
  <si>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</si>
  <si>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</si>
  <si>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</si>
  <si>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</si>
  <si>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</si>
  <si>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t>
  </si>
  <si>
    <t>DEFERRED REVENUE</t>
  </si>
  <si>
    <t>Henniker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</si>
</sst>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64"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245</v>
      </c>
      <c r="C2" s="21">
        <v>245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473940.43+40495.99</f>
        <v>514436.42</v>
      </c>
      <c r="G9" s="18">
        <v>17889.18</v>
      </c>
      <c r="H9" s="18">
        <v>-20373.37</v>
      </c>
      <c r="I9" s="18"/>
      <c r="J9" s="67">
        <f>SUM(I440)</f>
        <v>414080.04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2206.3000000000002</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56458.42</v>
      </c>
      <c r="H13" s="18">
        <f>20866.27</f>
        <v>20866.27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980</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515416.42</v>
      </c>
      <c r="G19" s="41">
        <f>SUM(G9:G18)</f>
        <v>76553.899999999994</v>
      </c>
      <c r="H19" s="41">
        <f>SUM(H9:H18)</f>
        <v>492.90000000000146</v>
      </c>
      <c r="I19" s="41">
        <f>SUM(I9:I18)</f>
        <v>0</v>
      </c>
      <c r="J19" s="41">
        <f>SUM(J9:J18)</f>
        <v>414080.04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2206.3000000000002</v>
      </c>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7104.6</v>
      </c>
      <c r="G23" s="18">
        <v>521.45000000000005</v>
      </c>
      <c r="H23" s="18">
        <v>402.82</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1502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5598.46</v>
      </c>
      <c r="G25" s="18">
        <v>27236</v>
      </c>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9959.44</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27070.42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7795.01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53441.22</v>
      </c>
      <c r="G32" s="41">
        <f>SUM(G22:G31)</f>
        <v>35552.46</v>
      </c>
      <c r="H32" s="41">
        <f>SUM(H22:H31)</f>
        <v>402.82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140479.51999999999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41001.440000000002</v>
      </c>
      <c r="H48" s="18">
        <v>90.08</v>
      </c>
      <c r="I48" s="18"/>
      <c r="J48" s="13">
        <f>SUM(I460)</f>
        <v>414080.04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301495.67999999999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461975.19999999995</v>
      </c>
      <c r="G51" s="41">
        <f>SUM(G35:G50)</f>
        <v>41001.440000000002</v>
      </c>
      <c r="H51" s="41">
        <f>SUM(H35:H50)</f>
        <v>90.08</v>
      </c>
      <c r="I51" s="41">
        <f>SUM(I35:I50)</f>
        <v>0</v>
      </c>
      <c r="J51" s="41">
        <f>SUM(J35:J50)</f>
        <v>414080.04</v>
      </c>
      <c r="K51" s="45" t="s">
        <v>288</v>
      </c>
      <c r="L51" s="45" t="s">
        <v>288</v>
      </c>
      <c r="N51" s="264"/>
    </row>
    <row r="52" spans="1:14" s="3" customFormat="1" ht="12.2" customHeight="1" thickTop="1" x14ac:dyDescent="0.15">
      <c r="A52" s="38" t="s">
        <v>455</v>
      </c>
      <c r="B52" s="39" t="s">
        <v>289</v>
      </c>
      <c r="C52" s="6">
        <v>37</v>
      </c>
      <c r="D52" s="39" t="s">
        <v>653</v>
      </c>
      <c r="E52" s="39"/>
      <c r="F52" s="41">
        <f>F51+F32</f>
        <v>515416.41999999993</v>
      </c>
      <c r="G52" s="41">
        <f>G51+G32</f>
        <v>76553.899999999994</v>
      </c>
      <c r="H52" s="41">
        <f>H51+H32</f>
        <v>492.9</v>
      </c>
      <c r="I52" s="41">
        <f>I51+I32</f>
        <v>0</v>
      </c>
      <c r="J52" s="41">
        <f>J51+J32</f>
        <v>414080.04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4957636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v>0</v>
      </c>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4957636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17820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17820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f>44841.94</f>
        <v>44841.94</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44841.94</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1913.01</v>
      </c>
      <c r="G96" s="18"/>
      <c r="H96" s="18"/>
      <c r="I96" s="18"/>
      <c r="J96" s="18">
        <v>1600.04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67852.490000000005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8186.3</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4864.97</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18440.98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33405.259999999995</v>
      </c>
      <c r="G111" s="41">
        <f>SUM(G96:G110)</f>
        <v>67852.490000000005</v>
      </c>
      <c r="H111" s="41">
        <f>SUM(H96:H110)</f>
        <v>0</v>
      </c>
      <c r="I111" s="41">
        <f>SUM(I96:I110)</f>
        <v>0</v>
      </c>
      <c r="J111" s="41">
        <f>SUM(J96:J110)</f>
        <v>1600.04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5053703.2</v>
      </c>
      <c r="G112" s="41">
        <f>G60+G111</f>
        <v>67852.490000000005</v>
      </c>
      <c r="H112" s="41">
        <f>H60+H79+H94+H111</f>
        <v>0</v>
      </c>
      <c r="I112" s="41">
        <f>I60+I111</f>
        <v>0</v>
      </c>
      <c r="J112" s="41">
        <f>J60+J111</f>
        <v>1600.04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1727799.41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661545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2389344.41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146510.65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2811.88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16000</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146510.65</v>
      </c>
      <c r="G136" s="41">
        <f>SUM(G123:G135)</f>
        <v>2811.88</v>
      </c>
      <c r="H136" s="41">
        <f>SUM(H123:H135)</f>
        <v>16000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2535855.06</v>
      </c>
      <c r="G140" s="41">
        <f>G121+SUM(G136:G137)</f>
        <v>2811.88</v>
      </c>
      <c r="H140" s="41">
        <f>H121+SUM(H136:H139)</f>
        <v>16000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80991.06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1801.47+4425.33+15686.58+10646.61+4222.7</f>
        <v>36782.69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123517.13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79955.02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6640.55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6640.55</v>
      </c>
      <c r="G163" s="41">
        <f>SUM(G150:G162)</f>
        <v>123517.13</v>
      </c>
      <c r="H163" s="41">
        <f>SUM(H150:H162)</f>
        <v>197728.77000000002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6640.55</v>
      </c>
      <c r="G170" s="41">
        <f>G147+G163+SUM(G164:G169)</f>
        <v>123517.13</v>
      </c>
      <c r="H170" s="41">
        <f>H147+H163+SUM(H164:H169)</f>
        <v>197728.77000000002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7596198.8099999996</v>
      </c>
      <c r="G194" s="47">
        <f>G112+G140+G170+G193</f>
        <v>194181.5</v>
      </c>
      <c r="H194" s="47">
        <f>H112+H140+H170+H193</f>
        <v>213728.77000000002</v>
      </c>
      <c r="I194" s="47">
        <f>I112+I140+I170+I193</f>
        <v>0</v>
      </c>
      <c r="J194" s="47">
        <f>J112+J140+J193</f>
        <v>1600.04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1915956.11</v>
      </c>
      <c r="G198" s="18">
        <v>1062694.71</v>
      </c>
      <c r="H198" s="18">
        <f>127638.45+19497.86</f>
        <v>147136.31</v>
      </c>
      <c r="I198" s="18">
        <v>93090.69</v>
      </c>
      <c r="J198" s="18">
        <v>3135.82</v>
      </c>
      <c r="K198" s="18">
        <v>648.85</v>
      </c>
      <c r="L198" s="19">
        <f>SUM(F198:K198)</f>
        <v>3222662.49</v>
      </c>
      <c r="M198" s="8"/>
      <c r="N198" s="266"/>
    </row>
    <row r="199" spans="1:14" s="3" customFormat="1" ht="12.2" customHeight="1" x14ac:dyDescent="0.15">
      <c r="A199" s="1" t="s">
        <v>439</v>
      </c>
      <c r="B199" s="2" t="s">
        <v>341</v>
      </c>
      <c r="C199" s="2" t="s">
        <v>291</v>
      </c>
      <c r="D199" s="2" t="s">
        <v>431</v>
      </c>
      <c r="E199" s="6">
        <v>1200</v>
      </c>
      <c r="F199" s="18">
        <v>687249.37</v>
      </c>
      <c r="G199" s="18">
        <v>230645.15</v>
      </c>
      <c r="H199" s="18">
        <f>120128.19+415176.83</f>
        <v>535305.02</v>
      </c>
      <c r="I199" s="18">
        <v>9594.35</v>
      </c>
      <c r="J199" s="18">
        <v>3151.98</v>
      </c>
      <c r="K199" s="18">
        <v>8654.7900000000009</v>
      </c>
      <c r="L199" s="19">
        <f>SUM(F199:K199)</f>
        <v>1474600.6600000001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19898.61</v>
      </c>
      <c r="G201" s="18">
        <v>4165.49</v>
      </c>
      <c r="H201" s="18">
        <v>0</v>
      </c>
      <c r="I201" s="18">
        <v>180</v>
      </c>
      <c r="J201" s="18">
        <v>0</v>
      </c>
      <c r="K201" s="18">
        <v>0</v>
      </c>
      <c r="L201" s="19">
        <f>SUM(F201:K201)</f>
        <v>24244.1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350520.2</v>
      </c>
      <c r="G203" s="18">
        <v>208276.2</v>
      </c>
      <c r="H203" s="18">
        <f>76153.23+65</f>
        <v>76218.23</v>
      </c>
      <c r="I203" s="18">
        <v>2501.61</v>
      </c>
      <c r="J203" s="18">
        <v>0</v>
      </c>
      <c r="K203" s="18">
        <v>742.25</v>
      </c>
      <c r="L203" s="19">
        <f t="shared" ref="L203:L209" si="0">SUM(F203:K203)</f>
        <v>638258.49</v>
      </c>
      <c r="M203" s="8"/>
      <c r="N203" s="266"/>
    </row>
    <row r="204" spans="1:14" s="3" customFormat="1" ht="12.2" customHeight="1" x14ac:dyDescent="0.15">
      <c r="A204" s="1" t="s">
        <v>443</v>
      </c>
      <c r="B204" s="2" t="s">
        <v>341</v>
      </c>
      <c r="C204" s="2" t="s">
        <v>295</v>
      </c>
      <c r="D204" s="2" t="s">
        <v>431</v>
      </c>
      <c r="E204" s="6">
        <v>2200</v>
      </c>
      <c r="F204" s="18">
        <v>157254.70000000001</v>
      </c>
      <c r="G204" s="18">
        <v>83054.570000000007</v>
      </c>
      <c r="H204" s="18">
        <f>7070.57+6839.15</f>
        <v>13909.72</v>
      </c>
      <c r="I204" s="18">
        <v>19795.95</v>
      </c>
      <c r="J204" s="18">
        <v>84005.24</v>
      </c>
      <c r="K204" s="18">
        <v>31935.24</v>
      </c>
      <c r="L204" s="19">
        <f t="shared" si="0"/>
        <v>389955.42</v>
      </c>
      <c r="M204" s="8"/>
      <c r="N204" s="266"/>
    </row>
    <row r="205" spans="1:14" s="3" customFormat="1" ht="12.2" customHeight="1" x14ac:dyDescent="0.15">
      <c r="A205" s="1" t="s">
        <v>444</v>
      </c>
      <c r="B205" s="2" t="s">
        <v>341</v>
      </c>
      <c r="C205" s="2" t="s">
        <v>296</v>
      </c>
      <c r="D205" s="2" t="s">
        <v>431</v>
      </c>
      <c r="E205" s="6">
        <v>2300</v>
      </c>
      <c r="F205" s="18">
        <v>6800</v>
      </c>
      <c r="G205" s="18">
        <v>520.22</v>
      </c>
      <c r="H205" s="18">
        <f>249444.64+11400.99</f>
        <v>260845.63</v>
      </c>
      <c r="I205" s="18">
        <v>1330.26</v>
      </c>
      <c r="J205" s="18">
        <v>0</v>
      </c>
      <c r="K205" s="18">
        <v>10096.5</v>
      </c>
      <c r="L205" s="19">
        <f t="shared" si="0"/>
        <v>279592.61</v>
      </c>
      <c r="M205" s="8"/>
      <c r="N205" s="266"/>
    </row>
    <row r="206" spans="1:14" s="3" customFormat="1" ht="12.2" customHeight="1" x14ac:dyDescent="0.15">
      <c r="A206" s="1" t="s">
        <v>445</v>
      </c>
      <c r="B206" s="2" t="s">
        <v>341</v>
      </c>
      <c r="C206" s="2" t="s">
        <v>297</v>
      </c>
      <c r="D206" s="2" t="s">
        <v>431</v>
      </c>
      <c r="E206" s="6">
        <v>2400</v>
      </c>
      <c r="F206" s="18">
        <v>304656.84000000003</v>
      </c>
      <c r="G206" s="18">
        <v>177115.29</v>
      </c>
      <c r="H206" s="18">
        <f>16753.64+5690.32</f>
        <v>22443.96</v>
      </c>
      <c r="I206" s="18">
        <v>120</v>
      </c>
      <c r="J206" s="18">
        <v>0</v>
      </c>
      <c r="K206" s="18">
        <v>1470</v>
      </c>
      <c r="L206" s="19">
        <f t="shared" si="0"/>
        <v>505806.09</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152105.4</v>
      </c>
      <c r="G208" s="18">
        <v>91278.96</v>
      </c>
      <c r="H208" s="18">
        <f>216856.03+72752.69</f>
        <v>289608.71999999997</v>
      </c>
      <c r="I208" s="18">
        <v>115942.47</v>
      </c>
      <c r="J208" s="18">
        <v>17281.43</v>
      </c>
      <c r="K208" s="18">
        <v>0</v>
      </c>
      <c r="L208" s="19">
        <f t="shared" si="0"/>
        <v>666216.98</v>
      </c>
      <c r="M208" s="8"/>
      <c r="N208" s="266"/>
    </row>
    <row r="209" spans="1:14" s="3" customFormat="1" ht="12.2" customHeight="1" x14ac:dyDescent="0.15">
      <c r="A209" s="1" t="s">
        <v>448</v>
      </c>
      <c r="B209" s="2" t="s">
        <v>341</v>
      </c>
      <c r="C209" s="2" t="s">
        <v>300</v>
      </c>
      <c r="D209" s="2" t="s">
        <v>431</v>
      </c>
      <c r="E209" s="6">
        <v>2700</v>
      </c>
      <c r="F209" s="18">
        <v>0</v>
      </c>
      <c r="G209" s="18">
        <v>0</v>
      </c>
      <c r="H209" s="18">
        <v>396588.64</v>
      </c>
      <c r="I209" s="18">
        <v>0</v>
      </c>
      <c r="J209" s="18">
        <v>0</v>
      </c>
      <c r="K209" s="18">
        <v>0</v>
      </c>
      <c r="L209" s="19">
        <f t="shared" si="0"/>
        <v>396588.64</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3594441.23</v>
      </c>
      <c r="G212" s="41">
        <f t="shared" si="1"/>
        <v>1857750.5899999999</v>
      </c>
      <c r="H212" s="41">
        <f t="shared" si="1"/>
        <v>1742056.23</v>
      </c>
      <c r="I212" s="41">
        <f t="shared" si="1"/>
        <v>242555.33000000002</v>
      </c>
      <c r="J212" s="41">
        <f t="shared" si="1"/>
        <v>107574.47</v>
      </c>
      <c r="K212" s="41">
        <f t="shared" si="1"/>
        <v>53547.630000000005</v>
      </c>
      <c r="L212" s="41">
        <f t="shared" si="1"/>
        <v>7597925.4799999995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6"/>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6"/>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0</v>
      </c>
      <c r="G234" s="18">
        <v>0</v>
      </c>
      <c r="H234" s="18">
        <v>0</v>
      </c>
      <c r="I234" s="18">
        <v>0</v>
      </c>
      <c r="J234" s="18">
        <v>0</v>
      </c>
      <c r="K234" s="18">
        <v>0</v>
      </c>
      <c r="L234" s="19">
        <f>SUM(F234:K234)</f>
        <v>0</v>
      </c>
      <c r="M234" s="8"/>
      <c r="N234" s="266"/>
    </row>
    <row r="235" spans="1:14" s="3" customFormat="1" ht="12.2" customHeight="1" x14ac:dyDescent="0.15">
      <c r="A235" s="1" t="s">
        <v>439</v>
      </c>
      <c r="B235" s="2" t="s">
        <v>350</v>
      </c>
      <c r="C235" s="2" t="s">
        <v>291</v>
      </c>
      <c r="D235" s="2" t="s">
        <v>431</v>
      </c>
      <c r="E235" s="6">
        <v>1200</v>
      </c>
      <c r="F235" s="18">
        <v>0</v>
      </c>
      <c r="G235" s="18">
        <v>0</v>
      </c>
      <c r="H235" s="18">
        <v>0</v>
      </c>
      <c r="I235" s="18">
        <v>0</v>
      </c>
      <c r="J235" s="18">
        <v>0</v>
      </c>
      <c r="K235" s="18">
        <v>0</v>
      </c>
      <c r="L235" s="19">
        <f>SUM(F235:K235)</f>
        <v>0</v>
      </c>
      <c r="M235" s="8"/>
      <c r="N235" s="2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6"/>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6"/>
    </row>
    <row r="245" spans="1:14" s="3" customFormat="1" ht="12.2" customHeight="1" x14ac:dyDescent="0.15">
      <c r="A245" s="1" t="s">
        <v>448</v>
      </c>
      <c r="B245" s="2" t="s">
        <v>350</v>
      </c>
      <c r="C245" s="2" t="s">
        <v>300</v>
      </c>
      <c r="D245" s="2" t="s">
        <v>431</v>
      </c>
      <c r="E245" s="6">
        <v>2700</v>
      </c>
      <c r="F245" s="18">
        <v>0</v>
      </c>
      <c r="G245" s="18">
        <v>0</v>
      </c>
      <c r="H245" s="18">
        <v>0</v>
      </c>
      <c r="I245" s="18">
        <v>0</v>
      </c>
      <c r="J245" s="18">
        <v>0</v>
      </c>
      <c r="K245" s="18">
        <v>0</v>
      </c>
      <c r="L245" s="19">
        <f t="shared" si="4"/>
        <v>0</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3594441.23</v>
      </c>
      <c r="G258" s="41">
        <f t="shared" si="8"/>
        <v>1857750.5899999999</v>
      </c>
      <c r="H258" s="41">
        <f t="shared" si="8"/>
        <v>1742056.23</v>
      </c>
      <c r="I258" s="41">
        <f t="shared" si="8"/>
        <v>242555.33000000002</v>
      </c>
      <c r="J258" s="41">
        <f t="shared" si="8"/>
        <v>107574.47</v>
      </c>
      <c r="K258" s="41">
        <f t="shared" si="8"/>
        <v>53547.630000000005</v>
      </c>
      <c r="L258" s="41">
        <f t="shared" si="8"/>
        <v>7597925.4799999995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3594441.23</v>
      </c>
      <c r="G272" s="42">
        <f t="shared" si="11"/>
        <v>1857750.5899999999</v>
      </c>
      <c r="H272" s="42">
        <f t="shared" si="11"/>
        <v>1742056.23</v>
      </c>
      <c r="I272" s="42">
        <f t="shared" si="11"/>
        <v>242555.33000000002</v>
      </c>
      <c r="J272" s="42">
        <f t="shared" si="11"/>
        <v>107574.47</v>
      </c>
      <c r="K272" s="42">
        <f t="shared" si="11"/>
        <v>53547.630000000005</v>
      </c>
      <c r="L272" s="42">
        <f t="shared" si="11"/>
        <v>7597925.4799999995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6794.28+11902.4</f>
        <v>18696.68</v>
      </c>
      <c r="G277" s="18">
        <f>1169.24+910.53</f>
        <v>2079.77</v>
      </c>
      <c r="H277" s="18">
        <v>63645.32</v>
      </c>
      <c r="I277" s="18">
        <v>601.42999999999995</v>
      </c>
      <c r="J277" s="18">
        <v>0</v>
      </c>
      <c r="K277" s="18">
        <v>6905.79</v>
      </c>
      <c r="L277" s="19">
        <f>SUM(F277:K277)</f>
        <v>91928.989999999991</v>
      </c>
      <c r="M277" s="8"/>
      <c r="N277" s="266"/>
    </row>
    <row r="278" spans="1:14" s="3" customFormat="1" ht="12.2" customHeight="1" x14ac:dyDescent="0.15">
      <c r="A278" s="1" t="s">
        <v>439</v>
      </c>
      <c r="B278" s="2" t="s">
        <v>357</v>
      </c>
      <c r="C278" s="2" t="s">
        <v>291</v>
      </c>
      <c r="D278" s="2" t="s">
        <v>431</v>
      </c>
      <c r="E278" s="6">
        <v>1200</v>
      </c>
      <c r="F278" s="18">
        <v>31604.91</v>
      </c>
      <c r="G278" s="18">
        <v>8235.4699999999993</v>
      </c>
      <c r="H278" s="18">
        <v>20068.099999999999</v>
      </c>
      <c r="I278" s="18">
        <v>976.06</v>
      </c>
      <c r="J278" s="18">
        <v>3341.49</v>
      </c>
      <c r="K278" s="18">
        <v>0</v>
      </c>
      <c r="L278" s="19">
        <f>SUM(F278:K278)</f>
        <v>64226.029999999992</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180</v>
      </c>
      <c r="J280" s="18">
        <v>0</v>
      </c>
      <c r="K280" s="18">
        <v>0</v>
      </c>
      <c r="L280" s="19">
        <f>SUM(F280:K280)</f>
        <v>180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6"/>
    </row>
    <row r="283" spans="1:14" s="3" customFormat="1" ht="12.2" customHeight="1" x14ac:dyDescent="0.15">
      <c r="A283" s="1" t="s">
        <v>443</v>
      </c>
      <c r="B283" s="2" t="s">
        <v>357</v>
      </c>
      <c r="C283" s="2" t="s">
        <v>295</v>
      </c>
      <c r="D283" s="2" t="s">
        <v>431</v>
      </c>
      <c r="E283" s="6">
        <v>2200</v>
      </c>
      <c r="F283" s="18">
        <f>14095+4156.36</f>
        <v>18251.36</v>
      </c>
      <c r="G283" s="18">
        <v>3494.92</v>
      </c>
      <c r="H283" s="18">
        <f>3875+13030.84</f>
        <v>16905.84</v>
      </c>
      <c r="I283" s="18">
        <v>0</v>
      </c>
      <c r="J283" s="18">
        <v>0</v>
      </c>
      <c r="K283" s="18">
        <v>0</v>
      </c>
      <c r="L283" s="19">
        <f t="shared" si="12"/>
        <v>38652.119999999995</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16000</v>
      </c>
      <c r="I287" s="18">
        <v>0</v>
      </c>
      <c r="J287" s="18">
        <v>0</v>
      </c>
      <c r="K287" s="18">
        <v>0</v>
      </c>
      <c r="L287" s="19">
        <f t="shared" si="12"/>
        <v>16000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68552.95</v>
      </c>
      <c r="G291" s="42">
        <f t="shared" si="13"/>
        <v>13810.16</v>
      </c>
      <c r="H291" s="42">
        <f t="shared" si="13"/>
        <v>116619.26</v>
      </c>
      <c r="I291" s="42">
        <f t="shared" si="13"/>
        <v>1757.4899999999998</v>
      </c>
      <c r="J291" s="42">
        <f t="shared" si="13"/>
        <v>3341.49</v>
      </c>
      <c r="K291" s="42">
        <f t="shared" si="13"/>
        <v>6905.79</v>
      </c>
      <c r="L291" s="41">
        <f t="shared" si="13"/>
        <v>210987.13999999998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6"/>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6"/>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68552.95</v>
      </c>
      <c r="G339" s="41">
        <f t="shared" si="20"/>
        <v>13810.16</v>
      </c>
      <c r="H339" s="41">
        <f t="shared" si="20"/>
        <v>116619.26</v>
      </c>
      <c r="I339" s="41">
        <f t="shared" si="20"/>
        <v>1757.4899999999998</v>
      </c>
      <c r="J339" s="41">
        <f t="shared" si="20"/>
        <v>3341.49</v>
      </c>
      <c r="K339" s="41">
        <f t="shared" si="20"/>
        <v>6905.79</v>
      </c>
      <c r="L339" s="41">
        <f t="shared" si="20"/>
        <v>210987.13999999998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448.46+2473.17</f>
        <v>2921.63</v>
      </c>
      <c r="L345" s="19">
        <f t="shared" ref="L345:L351" si="21">SUM(F345:K345)</f>
        <v>2921.63</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2921.63</v>
      </c>
      <c r="L352" s="41">
        <f>SUM(L342:L351)</f>
        <v>2921.63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68552.95</v>
      </c>
      <c r="G353" s="41">
        <f>G339</f>
        <v>13810.16</v>
      </c>
      <c r="H353" s="41">
        <f>H339</f>
        <v>116619.26</v>
      </c>
      <c r="I353" s="41">
        <f>I339</f>
        <v>1757.4899999999998</v>
      </c>
      <c r="J353" s="41">
        <f>J339</f>
        <v>3341.49</v>
      </c>
      <c r="K353" s="47">
        <f>K339+K352</f>
        <v>9827.42</v>
      </c>
      <c r="L353" s="41">
        <f>L339+L352</f>
        <v>213908.77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0</v>
      </c>
      <c r="G359" s="18">
        <v>0</v>
      </c>
      <c r="H359" s="18">
        <f>437.77+183206</f>
        <v>183643.77</v>
      </c>
      <c r="I359" s="18">
        <v>268.8</v>
      </c>
      <c r="J359" s="18">
        <v>0</v>
      </c>
      <c r="K359" s="18">
        <v>560.29999999999995</v>
      </c>
      <c r="L359" s="13">
        <f>SUM(F359:K359)</f>
        <v>184472.86999999997</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183643.77</v>
      </c>
      <c r="I363" s="47">
        <f t="shared" si="22"/>
        <v>268.8</v>
      </c>
      <c r="J363" s="47">
        <f t="shared" si="22"/>
        <v>0</v>
      </c>
      <c r="K363" s="47">
        <f t="shared" si="22"/>
        <v>560.29999999999995</v>
      </c>
      <c r="L363" s="47">
        <f t="shared" si="22"/>
        <v>184472.86999999997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268.8</v>
      </c>
      <c r="G369" s="63">
        <v>0</v>
      </c>
      <c r="H369" s="63">
        <v>0</v>
      </c>
      <c r="I369" s="56">
        <f>SUM(F369:H369)</f>
        <v>268.8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268.8</v>
      </c>
      <c r="G370" s="47">
        <f>SUM(G368:G369)</f>
        <v>0</v>
      </c>
      <c r="H370" s="47">
        <f>SUM(H368:H369)</f>
        <v>0</v>
      </c>
      <c r="I370" s="47">
        <f>SUM(I368:I369)</f>
        <v>268.8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584.66999999999996</v>
      </c>
      <c r="I397" s="18"/>
      <c r="J397" s="24" t="s">
        <v>288</v>
      </c>
      <c r="K397" s="24" t="s">
        <v>288</v>
      </c>
      <c r="L397" s="56">
        <f t="shared" si="26"/>
        <v>584.66999999999996</v>
      </c>
      <c r="M397" s="8"/>
      <c r="N397" s="266"/>
    </row>
    <row r="398" spans="1:14" s="3" customFormat="1" ht="12.2" customHeight="1" x14ac:dyDescent="0.15">
      <c r="A398" s="79" t="s">
        <v>515</v>
      </c>
      <c r="B398" s="2" t="s">
        <v>381</v>
      </c>
      <c r="C398" s="6">
        <v>10</v>
      </c>
      <c r="D398" s="2" t="s">
        <v>432</v>
      </c>
      <c r="E398" s="6"/>
      <c r="F398" s="18"/>
      <c r="G398" s="18"/>
      <c r="H398" s="18">
        <v>820.46</v>
      </c>
      <c r="I398" s="18"/>
      <c r="J398" s="24" t="s">
        <v>288</v>
      </c>
      <c r="K398" s="24" t="s">
        <v>288</v>
      </c>
      <c r="L398" s="56">
        <f t="shared" si="26"/>
        <v>820.46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194.91</v>
      </c>
      <c r="I400" s="18"/>
      <c r="J400" s="24" t="s">
        <v>288</v>
      </c>
      <c r="K400" s="24" t="s">
        <v>288</v>
      </c>
      <c r="L400" s="56">
        <f t="shared" si="26"/>
        <v>194.91</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1600.0400000000002</v>
      </c>
      <c r="I402" s="47">
        <f>SUM(I396:I401)</f>
        <v>0</v>
      </c>
      <c r="J402" s="45" t="s">
        <v>288</v>
      </c>
      <c r="K402" s="45" t="s">
        <v>288</v>
      </c>
      <c r="L402" s="47">
        <f>SUM(L396:L401)</f>
        <v>1600.0400000000002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1600.0400000000002</v>
      </c>
      <c r="I409" s="47">
        <f>I394+I402+I408</f>
        <v>0</v>
      </c>
      <c r="J409" s="24" t="s">
        <v>288</v>
      </c>
      <c r="K409" s="24" t="s">
        <v>288</v>
      </c>
      <c r="L409" s="47">
        <f>L394+L402+L408</f>
        <v>1600.0400000000002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414080.04</v>
      </c>
      <c r="G440" s="18"/>
      <c r="H440" s="18"/>
      <c r="I440" s="56">
        <f t="shared" ref="I440:I446" si="33">SUM(F440:H440)</f>
        <v>414080.04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414080.04</v>
      </c>
      <c r="G447" s="13">
        <f>SUM(G440:G446)</f>
        <v>0</v>
      </c>
      <c r="H447" s="13">
        <f>SUM(H440:H446)</f>
        <v>0</v>
      </c>
      <c r="I447" s="13">
        <f>SUM(I440:I446)</f>
        <v>414080.04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414080.04</v>
      </c>
      <c r="G460" s="18"/>
      <c r="H460" s="18"/>
      <c r="I460" s="56">
        <f t="shared" si="34"/>
        <v>414080.04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414080.04</v>
      </c>
      <c r="G461" s="83">
        <f>SUM(G455:G460)</f>
        <v>0</v>
      </c>
      <c r="H461" s="83">
        <f>SUM(H455:H460)</f>
        <v>0</v>
      </c>
      <c r="I461" s="83">
        <f>SUM(I455:I460)</f>
        <v>414080.04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414080.04</v>
      </c>
      <c r="G462" s="42">
        <f>G453+G461</f>
        <v>0</v>
      </c>
      <c r="H462" s="42">
        <f>H453+H461</f>
        <v>0</v>
      </c>
      <c r="I462" s="42">
        <f>I453+I461</f>
        <v>414080.04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471466.69</v>
      </c>
      <c r="G466" s="18">
        <v>28008.23</v>
      </c>
      <c r="H466" s="18">
        <v>270.08</v>
      </c>
      <c r="I466" s="18">
        <v>0</v>
      </c>
      <c r="J466" s="18">
        <v>412480</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7596198.8099999996</v>
      </c>
      <c r="G469" s="18">
        <f t="shared" ref="G469:J469" si="35">G194</f>
        <v>194181.5</v>
      </c>
      <c r="H469" s="18">
        <f t="shared" si="35"/>
        <v>213728.77000000002</v>
      </c>
      <c r="I469" s="18">
        <f t="shared" si="35"/>
        <v>0</v>
      </c>
      <c r="J469" s="18">
        <f t="shared" si="35"/>
        <v>1600.04</v>
      </c>
      <c r="K469" s="24" t="s">
        <v>288</v>
      </c>
      <c r="L469" s="24" t="s">
        <v>288</v>
      </c>
      <c r="N469" s="265"/>
    </row>
    <row r="470" spans="1:14" s="52" customFormat="1" ht="12.2" customHeight="1" x14ac:dyDescent="0.2">
      <c r="A470" s="93" t="s">
        <v>611</v>
      </c>
      <c r="B470" s="75">
        <v>19</v>
      </c>
      <c r="C470" s="80">
        <v>3</v>
      </c>
      <c r="D470" s="2" t="s">
        <v>432</v>
      </c>
      <c r="E470" s="80"/>
      <c r="F470" s="18">
        <f>-903.96-6860.86</f>
        <v>-7764.82</v>
      </c>
      <c r="G470" s="18">
        <v>3284.58</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7588433.9899999993</v>
      </c>
      <c r="G471" s="53">
        <f>SUM(G469:G470)</f>
        <v>197466.08</v>
      </c>
      <c r="H471" s="53">
        <f>SUM(H469:H470)</f>
        <v>213728.77000000002</v>
      </c>
      <c r="I471" s="53">
        <f>SUM(I469:I470)</f>
        <v>0</v>
      </c>
      <c r="J471" s="53">
        <f>SUM(J469:J470)</f>
        <v>1600.04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7597925.4799999995</v>
      </c>
      <c r="G473" s="18">
        <f>L363</f>
        <v>184472.86999999997</v>
      </c>
      <c r="H473" s="18">
        <f>L353</f>
        <v>213908.77</v>
      </c>
      <c r="I473" s="18">
        <f>L383</f>
        <v>0</v>
      </c>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7597925.4799999995</v>
      </c>
      <c r="G475" s="53">
        <f>SUM(G473:G474)</f>
        <v>184472.86999999997</v>
      </c>
      <c r="H475" s="53">
        <f>SUM(H473:H474)</f>
        <v>213908.77</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461975.20000000019</v>
      </c>
      <c r="G477" s="53">
        <f>(G466+G471)- G475</f>
        <v>41001.440000000031</v>
      </c>
      <c r="H477" s="53">
        <f>(H466+H471)- H475</f>
        <v>90.080000000016298</v>
      </c>
      <c r="I477" s="53">
        <f>(I466+I471)- I475</f>
        <v>0</v>
      </c>
      <c r="J477" s="53">
        <f>(J466+J471)- J475</f>
        <v>414080.04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0</v>
      </c>
      <c r="G491" s="154">
        <v>0</v>
      </c>
      <c r="H491" s="154">
        <v>0</v>
      </c>
      <c r="I491" s="154">
        <v>0</v>
      </c>
      <c r="J491" s="154">
        <v>0</v>
      </c>
      <c r="K491" s="24" t="s">
        <v>288</v>
      </c>
      <c r="L491" s="24" t="s">
        <v>288</v>
      </c>
      <c r="N491" s="265"/>
    </row>
    <row r="492" spans="1:14" s="52" customFormat="1" ht="12.2" customHeight="1" x14ac:dyDescent="0.2">
      <c r="A492" s="22" t="s">
        <v>615</v>
      </c>
      <c r="B492" s="75">
        <v>20</v>
      </c>
      <c r="C492" s="115">
        <v>2</v>
      </c>
      <c r="D492" s="2" t="s">
        <v>432</v>
      </c>
      <c r="E492" s="115"/>
      <c r="F492" s="155" t="s">
        <v>1642</v>
      </c>
      <c r="G492" s="155" t="s">
        <v>1642</v>
      </c>
      <c r="H492" s="155" t="s">
        <v>1642</v>
      </c>
      <c r="I492" s="155" t="s">
        <v>1642</v>
      </c>
      <c r="J492" s="155" t="s">
        <v>1642</v>
      </c>
      <c r="K492" s="24" t="s">
        <v>288</v>
      </c>
      <c r="L492" s="24" t="s">
        <v>288</v>
      </c>
      <c r="N492" s="265"/>
    </row>
    <row r="493" spans="1:14" s="52" customFormat="1" ht="12.2" customHeight="1" x14ac:dyDescent="0.2">
      <c r="A493" s="22" t="s">
        <v>616</v>
      </c>
      <c r="B493" s="75">
        <v>20</v>
      </c>
      <c r="C493" s="115">
        <v>3</v>
      </c>
      <c r="D493" s="2" t="s">
        <v>432</v>
      </c>
      <c r="E493" s="115"/>
      <c r="F493" s="155" t="s">
        <v>1642</v>
      </c>
      <c r="G493" s="155" t="s">
        <v>1642</v>
      </c>
      <c r="H493" s="155" t="s">
        <v>1642</v>
      </c>
      <c r="I493" s="155" t="s">
        <v>1642</v>
      </c>
      <c r="J493" s="155" t="s">
        <v>1642</v>
      </c>
      <c r="K493" s="24" t="s">
        <v>288</v>
      </c>
      <c r="L493" s="24" t="s">
        <v>288</v>
      </c>
      <c r="N493" s="265"/>
    </row>
    <row r="494" spans="1:14" s="52" customFormat="1" ht="12.2" customHeight="1" x14ac:dyDescent="0.2">
      <c r="A494" s="22" t="s">
        <v>617</v>
      </c>
      <c r="B494" s="75">
        <v>20</v>
      </c>
      <c r="C494" s="115">
        <v>4</v>
      </c>
      <c r="D494" s="2" t="s">
        <v>432</v>
      </c>
      <c r="E494" s="115"/>
      <c r="F494" s="18">
        <v>0</v>
      </c>
      <c r="G494" s="18">
        <v>0</v>
      </c>
      <c r="H494" s="18">
        <v>0</v>
      </c>
      <c r="I494" s="18">
        <v>0</v>
      </c>
      <c r="J494" s="18">
        <v>0</v>
      </c>
      <c r="K494" s="24" t="s">
        <v>288</v>
      </c>
      <c r="L494" s="24" t="s">
        <v>288</v>
      </c>
      <c r="N494" s="265"/>
    </row>
    <row r="495" spans="1:14" s="52" customFormat="1" ht="12.2" customHeight="1" x14ac:dyDescent="0.2">
      <c r="A495" s="22" t="s">
        <v>618</v>
      </c>
      <c r="B495" s="75">
        <v>20</v>
      </c>
      <c r="C495" s="115">
        <v>5</v>
      </c>
      <c r="D495" s="2" t="s">
        <v>432</v>
      </c>
      <c r="E495" s="115"/>
      <c r="F495" s="18">
        <v>0</v>
      </c>
      <c r="G495" s="18">
        <v>0</v>
      </c>
      <c r="H495" s="18">
        <v>0</v>
      </c>
      <c r="I495" s="18">
        <v>0</v>
      </c>
      <c r="J495" s="18">
        <v>0</v>
      </c>
      <c r="K495" s="24" t="s">
        <v>288</v>
      </c>
      <c r="L495" s="24" t="s">
        <v>288</v>
      </c>
      <c r="N495" s="265"/>
    </row>
    <row r="496" spans="1:14" s="52" customFormat="1" ht="12.2" customHeight="1" x14ac:dyDescent="0.2">
      <c r="A496" s="22" t="s">
        <v>619</v>
      </c>
      <c r="B496" s="75">
        <v>20</v>
      </c>
      <c r="C496" s="115">
        <v>6</v>
      </c>
      <c r="D496" s="2" t="s">
        <v>432</v>
      </c>
      <c r="E496" s="115"/>
      <c r="F496" s="18">
        <v>0</v>
      </c>
      <c r="G496" s="18">
        <v>0</v>
      </c>
      <c r="H496" s="18">
        <v>0</v>
      </c>
      <c r="I496" s="18">
        <v>0</v>
      </c>
      <c r="J496" s="18">
        <v>0</v>
      </c>
      <c r="K496" s="53">
        <f>SUM(F496:J496)</f>
        <v>0</v>
      </c>
      <c r="L496" s="24" t="s">
        <v>288</v>
      </c>
      <c r="N496" s="265"/>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6">SUM(F497:J497)</f>
        <v>0</v>
      </c>
      <c r="L497" s="24" t="s">
        <v>288</v>
      </c>
      <c r="N497" s="265"/>
    </row>
    <row r="498" spans="1:14" s="52" customFormat="1" ht="12.2" customHeight="1" x14ac:dyDescent="0.2">
      <c r="A498" s="22" t="s">
        <v>621</v>
      </c>
      <c r="B498" s="75">
        <v>20</v>
      </c>
      <c r="C498" s="115">
        <v>8</v>
      </c>
      <c r="D498" s="2" t="s">
        <v>432</v>
      </c>
      <c r="E498" s="115"/>
      <c r="F498" s="18">
        <v>0</v>
      </c>
      <c r="G498" s="18">
        <v>0</v>
      </c>
      <c r="H498" s="18">
        <v>0</v>
      </c>
      <c r="I498" s="18">
        <v>0</v>
      </c>
      <c r="J498" s="18">
        <v>0</v>
      </c>
      <c r="K498" s="53">
        <f t="shared" si="36"/>
        <v>0</v>
      </c>
      <c r="L498" s="24" t="s">
        <v>288</v>
      </c>
      <c r="N498" s="265"/>
    </row>
    <row r="499" spans="1:14" s="52" customFormat="1" ht="12.2" customHeight="1" x14ac:dyDescent="0.2">
      <c r="A499" s="200" t="s">
        <v>622</v>
      </c>
      <c r="B499" s="201">
        <v>20</v>
      </c>
      <c r="C499" s="202">
        <v>9</v>
      </c>
      <c r="D499" s="203" t="s">
        <v>432</v>
      </c>
      <c r="E499" s="202"/>
      <c r="F499" s="204">
        <v>0</v>
      </c>
      <c r="G499" s="204">
        <v>0</v>
      </c>
      <c r="H499" s="204">
        <v>0</v>
      </c>
      <c r="I499" s="204">
        <v>0</v>
      </c>
      <c r="J499" s="204">
        <v>0</v>
      </c>
      <c r="K499" s="205">
        <f t="shared" si="36"/>
        <v>0</v>
      </c>
      <c r="L499" s="206" t="s">
        <v>288</v>
      </c>
      <c r="N499" s="265"/>
    </row>
    <row r="500" spans="1:14" s="52" customFormat="1" ht="12.2" customHeight="1" thickBot="1" x14ac:dyDescent="0.25">
      <c r="A500" s="22" t="s">
        <v>623</v>
      </c>
      <c r="B500" s="75">
        <v>20</v>
      </c>
      <c r="C500" s="115">
        <v>10</v>
      </c>
      <c r="D500" s="2" t="s">
        <v>432</v>
      </c>
      <c r="E500" s="115"/>
      <c r="F500" s="18">
        <v>0</v>
      </c>
      <c r="G500" s="18">
        <v>0</v>
      </c>
      <c r="H500" s="18">
        <v>0</v>
      </c>
      <c r="I500" s="18">
        <v>0</v>
      </c>
      <c r="J500" s="18">
        <v>0</v>
      </c>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5"/>
    </row>
    <row r="502" spans="1:14" s="52" customFormat="1" ht="12.2" customHeight="1" x14ac:dyDescent="0.2">
      <c r="A502" s="200" t="s">
        <v>651</v>
      </c>
      <c r="B502" s="201">
        <v>20</v>
      </c>
      <c r="C502" s="202">
        <v>12</v>
      </c>
      <c r="D502" s="203" t="s">
        <v>432</v>
      </c>
      <c r="E502" s="202"/>
      <c r="F502" s="204">
        <v>0</v>
      </c>
      <c r="G502" s="204">
        <v>0</v>
      </c>
      <c r="H502" s="204">
        <v>0</v>
      </c>
      <c r="I502" s="204">
        <v>0</v>
      </c>
      <c r="J502" s="204">
        <v>0</v>
      </c>
      <c r="K502" s="205">
        <f t="shared" si="36"/>
        <v>0</v>
      </c>
      <c r="L502" s="206" t="s">
        <v>288</v>
      </c>
      <c r="N502" s="265"/>
    </row>
    <row r="503" spans="1:14" s="52" customFormat="1" ht="12.2" customHeight="1" thickBot="1" x14ac:dyDescent="0.25">
      <c r="A503" s="22" t="s">
        <v>625</v>
      </c>
      <c r="B503" s="75">
        <v>20</v>
      </c>
      <c r="C503" s="115">
        <v>13</v>
      </c>
      <c r="D503" s="2" t="s">
        <v>432</v>
      </c>
      <c r="E503" s="115"/>
      <c r="F503" s="18">
        <v>0</v>
      </c>
      <c r="G503" s="18">
        <v>0</v>
      </c>
      <c r="H503" s="18">
        <v>0</v>
      </c>
      <c r="I503" s="18">
        <v>0</v>
      </c>
      <c r="J503" s="18">
        <v>0</v>
      </c>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658578.38+31604.91</f>
        <v>690183.29</v>
      </c>
      <c r="G522" s="18">
        <f>211341.27+8235.47</f>
        <v>219576.74</v>
      </c>
      <c r="H522" s="18">
        <f>535305.02+20068.11</f>
        <v>555373.13</v>
      </c>
      <c r="I522" s="18">
        <f>9094.35+976.06</f>
        <v>10070.41</v>
      </c>
      <c r="J522" s="18">
        <f>3151.98+3341.49</f>
        <v>6493.4699999999993</v>
      </c>
      <c r="K522" s="18">
        <f>3022.6</f>
        <v>3022.6</v>
      </c>
      <c r="L522" s="88">
        <f>SUM(F522:K522)</f>
        <v>1484719.6400000001</v>
      </c>
      <c r="N522" s="265"/>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5"/>
    </row>
    <row r="524" spans="1:14" s="52" customFormat="1" ht="12.2" customHeight="1" thickBot="1" x14ac:dyDescent="0.25">
      <c r="A524" s="22" t="s">
        <v>635</v>
      </c>
      <c r="B524" s="105">
        <v>21</v>
      </c>
      <c r="C524" s="115">
        <v>3</v>
      </c>
      <c r="D524" s="2" t="s">
        <v>432</v>
      </c>
      <c r="E524" s="115"/>
      <c r="F524" s="18">
        <v>0</v>
      </c>
      <c r="G524" s="18">
        <v>0</v>
      </c>
      <c r="H524" s="18">
        <v>0</v>
      </c>
      <c r="I524" s="18">
        <v>0</v>
      </c>
      <c r="J524" s="18">
        <v>0</v>
      </c>
      <c r="K524" s="18">
        <v>0</v>
      </c>
      <c r="L524" s="88">
        <f>SUM(F524:K524)</f>
        <v>0</v>
      </c>
      <c r="N524" s="265"/>
    </row>
    <row r="525" spans="1:14" s="52" customFormat="1" ht="12.2" customHeight="1" thickTop="1" x14ac:dyDescent="0.2">
      <c r="A525" s="139" t="s">
        <v>63</v>
      </c>
      <c r="B525" s="107">
        <v>21</v>
      </c>
      <c r="C525" s="195">
        <v>4</v>
      </c>
      <c r="D525" s="196" t="s">
        <v>432</v>
      </c>
      <c r="E525" s="195"/>
      <c r="F525" s="108">
        <f>SUM(F522:F524)</f>
        <v>690183.29</v>
      </c>
      <c r="G525" s="108">
        <f t="shared" ref="G525:L525" si="37">SUM(G522:G524)</f>
        <v>219576.74</v>
      </c>
      <c r="H525" s="108">
        <f t="shared" si="37"/>
        <v>555373.13</v>
      </c>
      <c r="I525" s="108">
        <f t="shared" si="37"/>
        <v>10070.41</v>
      </c>
      <c r="J525" s="108">
        <f t="shared" si="37"/>
        <v>6493.4699999999993</v>
      </c>
      <c r="K525" s="108">
        <f t="shared" si="37"/>
        <v>3022.6</v>
      </c>
      <c r="L525" s="89">
        <f t="shared" si="37"/>
        <v>1484719.6400000001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171274.99+1942.96</f>
        <v>173217.94999999998</v>
      </c>
      <c r="G527" s="18">
        <f>97601.83</f>
        <v>97601.83</v>
      </c>
      <c r="H527" s="18">
        <f>76153.23+11312.86</f>
        <v>87466.09</v>
      </c>
      <c r="I527" s="18">
        <v>722.09</v>
      </c>
      <c r="J527" s="18">
        <v>0</v>
      </c>
      <c r="K527" s="18">
        <v>0</v>
      </c>
      <c r="L527" s="88">
        <f>SUM(F527:K527)</f>
        <v>359007.96</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6"/>
    </row>
    <row r="530" spans="1:14" s="3" customFormat="1" ht="12.2" customHeight="1" thickTop="1" x14ac:dyDescent="0.15">
      <c r="A530" s="139" t="s">
        <v>65</v>
      </c>
      <c r="B530" s="107">
        <v>21</v>
      </c>
      <c r="C530" s="107">
        <v>8</v>
      </c>
      <c r="D530" s="158" t="s">
        <v>432</v>
      </c>
      <c r="E530" s="107"/>
      <c r="F530" s="89">
        <f>SUM(F527:F529)</f>
        <v>173217.94999999998</v>
      </c>
      <c r="G530" s="89">
        <f t="shared" ref="G530:L530" si="38">SUM(G527:G529)</f>
        <v>97601.83</v>
      </c>
      <c r="H530" s="89">
        <f t="shared" si="38"/>
        <v>87466.09</v>
      </c>
      <c r="I530" s="89">
        <f t="shared" si="38"/>
        <v>722.09</v>
      </c>
      <c r="J530" s="89">
        <f t="shared" si="38"/>
        <v>0</v>
      </c>
      <c r="K530" s="89">
        <f t="shared" si="38"/>
        <v>0</v>
      </c>
      <c r="L530" s="89">
        <f t="shared" si="38"/>
        <v>359007.96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92668.57</v>
      </c>
      <c r="G532" s="18">
        <v>52113.55</v>
      </c>
      <c r="H532" s="18">
        <v>0</v>
      </c>
      <c r="I532" s="18">
        <v>123.87</v>
      </c>
      <c r="J532" s="18">
        <v>0</v>
      </c>
      <c r="K532" s="18">
        <v>2473.17</v>
      </c>
      <c r="L532" s="88">
        <f>SUM(F532:K532)</f>
        <v>147379.16</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92668.57</v>
      </c>
      <c r="G535" s="89">
        <f t="shared" ref="G535:L535" si="39">SUM(G532:G534)</f>
        <v>52113.55</v>
      </c>
      <c r="H535" s="89">
        <f t="shared" si="39"/>
        <v>0</v>
      </c>
      <c r="I535" s="89">
        <f t="shared" si="39"/>
        <v>123.87</v>
      </c>
      <c r="J535" s="89">
        <f t="shared" si="39"/>
        <v>0</v>
      </c>
      <c r="K535" s="89">
        <f t="shared" si="39"/>
        <v>2473.17</v>
      </c>
      <c r="L535" s="89">
        <f t="shared" si="39"/>
        <v>147379.16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3865</v>
      </c>
      <c r="I537" s="18">
        <v>0</v>
      </c>
      <c r="J537" s="18">
        <v>0</v>
      </c>
      <c r="K537" s="18">
        <v>0</v>
      </c>
      <c r="L537" s="88">
        <f>SUM(F537:K537)</f>
        <v>3865</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3865</v>
      </c>
      <c r="I540" s="89">
        <f t="shared" si="40"/>
        <v>0</v>
      </c>
      <c r="J540" s="89">
        <f t="shared" si="40"/>
        <v>0</v>
      </c>
      <c r="K540" s="89">
        <f t="shared" si="40"/>
        <v>0</v>
      </c>
      <c r="L540" s="89">
        <f t="shared" si="40"/>
        <v>3865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174679.51</v>
      </c>
      <c r="I542" s="18">
        <v>0</v>
      </c>
      <c r="J542" s="18">
        <v>0</v>
      </c>
      <c r="K542" s="18">
        <v>0</v>
      </c>
      <c r="L542" s="88">
        <f>SUM(F542:K542)</f>
        <v>174679.51</v>
      </c>
      <c r="M542" s="8"/>
      <c r="N542" s="266"/>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6"/>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174679.51</v>
      </c>
      <c r="I545" s="193">
        <f t="shared" si="41"/>
        <v>0</v>
      </c>
      <c r="J545" s="193">
        <f t="shared" si="41"/>
        <v>0</v>
      </c>
      <c r="K545" s="193">
        <f t="shared" si="41"/>
        <v>0</v>
      </c>
      <c r="L545" s="193">
        <f t="shared" si="41"/>
        <v>174679.51</v>
      </c>
      <c r="M545" s="8"/>
      <c r="N545" s="266"/>
    </row>
    <row r="546" spans="1:14" s="3" customFormat="1" ht="12.2" customHeight="1" thickTop="1" x14ac:dyDescent="0.15">
      <c r="A546" s="98" t="s">
        <v>72</v>
      </c>
      <c r="B546" s="107">
        <v>21</v>
      </c>
      <c r="C546" s="107">
        <v>21</v>
      </c>
      <c r="D546" s="158" t="s">
        <v>432</v>
      </c>
      <c r="E546" s="107"/>
      <c r="F546" s="89">
        <f>F525+F530+F535+F540+F545</f>
        <v>956069.81</v>
      </c>
      <c r="G546" s="89">
        <f t="shared" ref="G546:L546" si="42">G525+G530+G535+G540+G545</f>
        <v>369292.12</v>
      </c>
      <c r="H546" s="89">
        <f t="shared" si="42"/>
        <v>821383.73</v>
      </c>
      <c r="I546" s="89">
        <f t="shared" si="42"/>
        <v>10916.37</v>
      </c>
      <c r="J546" s="89">
        <f t="shared" si="42"/>
        <v>6493.4699999999993</v>
      </c>
      <c r="K546" s="89">
        <f t="shared" si="42"/>
        <v>5495.77</v>
      </c>
      <c r="L546" s="89">
        <f t="shared" si="42"/>
        <v>2169651.27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1484719.6400000001</v>
      </c>
      <c r="G550" s="87">
        <f>L527</f>
        <v>359007.96</v>
      </c>
      <c r="H550" s="87">
        <f>L532</f>
        <v>147379.16</v>
      </c>
      <c r="I550" s="87">
        <f>L537</f>
        <v>3865</v>
      </c>
      <c r="J550" s="87">
        <f>L542</f>
        <v>174679.51</v>
      </c>
      <c r="K550" s="87">
        <f>SUM(F550:J550)</f>
        <v>2169651.27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1484719.6400000001</v>
      </c>
      <c r="G553" s="89">
        <f t="shared" si="43"/>
        <v>359007.96</v>
      </c>
      <c r="H553" s="89">
        <f t="shared" si="43"/>
        <v>147379.16</v>
      </c>
      <c r="I553" s="89">
        <f t="shared" si="43"/>
        <v>3865</v>
      </c>
      <c r="J553" s="89">
        <f t="shared" si="43"/>
        <v>174679.51</v>
      </c>
      <c r="K553" s="89">
        <f t="shared" si="43"/>
        <v>2169651.27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242.52</v>
      </c>
      <c r="G563" s="18">
        <v>18.11</v>
      </c>
      <c r="H563" s="18">
        <v>0</v>
      </c>
      <c r="I563" s="18">
        <v>0</v>
      </c>
      <c r="J563" s="18">
        <v>0</v>
      </c>
      <c r="K563" s="18">
        <v>0</v>
      </c>
      <c r="L563" s="88">
        <f>SUM(F563:K563)</f>
        <v>260.63</v>
      </c>
      <c r="M563" s="8"/>
      <c r="N563" s="266"/>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6"/>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242.52</v>
      </c>
      <c r="G566" s="89">
        <f t="shared" si="45"/>
        <v>18.11</v>
      </c>
      <c r="H566" s="89">
        <f t="shared" si="45"/>
        <v>0</v>
      </c>
      <c r="I566" s="89">
        <f t="shared" si="45"/>
        <v>0</v>
      </c>
      <c r="J566" s="89">
        <f t="shared" si="45"/>
        <v>0</v>
      </c>
      <c r="K566" s="89">
        <f t="shared" si="45"/>
        <v>0</v>
      </c>
      <c r="L566" s="89">
        <f t="shared" si="45"/>
        <v>260.63</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28129.68</v>
      </c>
      <c r="G568" s="18">
        <v>19285.77</v>
      </c>
      <c r="H568" s="18">
        <v>0</v>
      </c>
      <c r="I568" s="18">
        <v>500</v>
      </c>
      <c r="J568" s="18">
        <v>0</v>
      </c>
      <c r="K568" s="18">
        <v>5632.19</v>
      </c>
      <c r="L568" s="88">
        <f>SUM(F568:K568)</f>
        <v>53547.64</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28129.68</v>
      </c>
      <c r="G571" s="193">
        <f t="shared" ref="G571:L571" si="46">SUM(G568:G570)</f>
        <v>19285.77</v>
      </c>
      <c r="H571" s="193">
        <f t="shared" si="46"/>
        <v>0</v>
      </c>
      <c r="I571" s="193">
        <f t="shared" si="46"/>
        <v>500</v>
      </c>
      <c r="J571" s="193">
        <f t="shared" si="46"/>
        <v>0</v>
      </c>
      <c r="K571" s="193">
        <f t="shared" si="46"/>
        <v>5632.19</v>
      </c>
      <c r="L571" s="193">
        <f t="shared" si="46"/>
        <v>53547.64</v>
      </c>
      <c r="M571" s="8"/>
      <c r="N571" s="266"/>
    </row>
    <row r="572" spans="1:14" s="3" customFormat="1" ht="12.2" customHeight="1" thickTop="1" x14ac:dyDescent="0.15">
      <c r="A572" s="98" t="s">
        <v>88</v>
      </c>
      <c r="B572" s="107">
        <v>22</v>
      </c>
      <c r="C572" s="107">
        <v>13</v>
      </c>
      <c r="D572" s="158" t="s">
        <v>432</v>
      </c>
      <c r="E572" s="107"/>
      <c r="F572" s="89">
        <f>F561+F566+F571</f>
        <v>28372.2</v>
      </c>
      <c r="G572" s="89">
        <f t="shared" ref="G572:L572" si="47">G561+G566+G571</f>
        <v>19303.88</v>
      </c>
      <c r="H572" s="89">
        <f t="shared" si="47"/>
        <v>0</v>
      </c>
      <c r="I572" s="89">
        <f t="shared" si="47"/>
        <v>500</v>
      </c>
      <c r="J572" s="89">
        <f t="shared" si="47"/>
        <v>0</v>
      </c>
      <c r="K572" s="89">
        <f t="shared" si="47"/>
        <v>5632.19</v>
      </c>
      <c r="L572" s="89">
        <f t="shared" si="47"/>
        <v>53808.27</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122958.99</v>
      </c>
      <c r="G576" s="18">
        <v>0</v>
      </c>
      <c r="H576" s="18">
        <v>0</v>
      </c>
      <c r="I576" s="87">
        <f>SUM(F576:H576)</f>
        <v>122958.99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0</v>
      </c>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0</v>
      </c>
      <c r="H580" s="18">
        <v>0</v>
      </c>
      <c r="I580" s="87">
        <f t="shared" si="48"/>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0</v>
      </c>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292217.84000000003</v>
      </c>
      <c r="G583" s="18">
        <v>0</v>
      </c>
      <c r="H583" s="18">
        <v>0</v>
      </c>
      <c r="I583" s="87">
        <f t="shared" si="48"/>
        <v>292217.84000000003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0</v>
      </c>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0</v>
      </c>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212414.42</v>
      </c>
      <c r="I592" s="18">
        <v>0</v>
      </c>
      <c r="J592" s="18">
        <v>0</v>
      </c>
      <c r="K592" s="104">
        <f t="shared" ref="K592:K598" si="49">SUM(H592:J592)</f>
        <v>212414.42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174679.51</v>
      </c>
      <c r="I593" s="18">
        <v>0</v>
      </c>
      <c r="J593" s="18">
        <v>0</v>
      </c>
      <c r="K593" s="104">
        <f t="shared" si="49"/>
        <v>174679.51</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535.87</v>
      </c>
      <c r="I595" s="18">
        <v>0</v>
      </c>
      <c r="J595" s="18">
        <v>0</v>
      </c>
      <c r="K595" s="104">
        <f t="shared" si="49"/>
        <v>535.87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6690.78</v>
      </c>
      <c r="I596" s="18">
        <v>0</v>
      </c>
      <c r="J596" s="18">
        <v>0</v>
      </c>
      <c r="K596" s="104">
        <f t="shared" si="49"/>
        <v>6690.78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2268.06</v>
      </c>
      <c r="I598" s="18">
        <v>0</v>
      </c>
      <c r="J598" s="18">
        <v>0</v>
      </c>
      <c r="K598" s="104">
        <f t="shared" si="49"/>
        <v>2268.06</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396588.64000000007</v>
      </c>
      <c r="I599" s="108">
        <f>SUM(I592:I598)</f>
        <v>0</v>
      </c>
      <c r="J599" s="108">
        <f>SUM(J592:J598)</f>
        <v>0</v>
      </c>
      <c r="K599" s="108">
        <f>SUM(K592:K598)</f>
        <v>396588.64000000007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107574.47+3341.49</f>
        <v>110915.96</v>
      </c>
      <c r="I605" s="18">
        <v>0</v>
      </c>
      <c r="J605" s="18">
        <v>0</v>
      </c>
      <c r="K605" s="104">
        <f>SUM(H605:J605)</f>
        <v>110915.96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110915.96</v>
      </c>
      <c r="I606" s="108">
        <f>SUM(I603:I605)</f>
        <v>0</v>
      </c>
      <c r="J606" s="108">
        <f>SUM(J603:J605)</f>
        <v>0</v>
      </c>
      <c r="K606" s="108">
        <f>SUM(K603:K605)</f>
        <v>110915.96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7014+3908.6</f>
        <v>10922.6</v>
      </c>
      <c r="G612" s="18">
        <f>835.58+1305.21</f>
        <v>2140.79</v>
      </c>
      <c r="H612" s="18">
        <v>0</v>
      </c>
      <c r="I612" s="18">
        <v>139.69999999999999</v>
      </c>
      <c r="J612" s="18">
        <v>0</v>
      </c>
      <c r="K612" s="18">
        <v>0</v>
      </c>
      <c r="L612" s="88">
        <f>SUM(F612:K612)</f>
        <v>13203.09</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10922.6</v>
      </c>
      <c r="G615" s="108">
        <f t="shared" si="50"/>
        <v>2140.79</v>
      </c>
      <c r="H615" s="108">
        <f t="shared" si="50"/>
        <v>0</v>
      </c>
      <c r="I615" s="108">
        <f t="shared" si="50"/>
        <v>139.69999999999999</v>
      </c>
      <c r="J615" s="108">
        <f t="shared" si="50"/>
        <v>0</v>
      </c>
      <c r="K615" s="108">
        <f t="shared" si="50"/>
        <v>0</v>
      </c>
      <c r="L615" s="89">
        <f t="shared" si="50"/>
        <v>13203.09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515416.42</v>
      </c>
      <c r="H618" s="109">
        <f>SUM(F52)</f>
        <v>515416.41999999993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76553.899999999994</v>
      </c>
      <c r="H619" s="109">
        <f>SUM(G52)</f>
        <v>76553.899999999994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492.90000000000146</v>
      </c>
      <c r="H620" s="109">
        <f>SUM(H52)</f>
        <v>492.9</v>
      </c>
      <c r="I620" s="121" t="s">
        <v>877</v>
      </c>
      <c r="J620" s="109">
        <f>G620-H620</f>
        <v>1.4779288903810084E-12</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414080.04</v>
      </c>
      <c r="H622" s="109">
        <f>SUM(J52)</f>
        <v>414080.04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461975.19999999995</v>
      </c>
      <c r="H623" s="109">
        <f>F477</f>
        <v>461975.20000000019</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41001.440000000002</v>
      </c>
      <c r="H624" s="109">
        <f>G477</f>
        <v>41001.440000000031</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90.08</v>
      </c>
      <c r="H625" s="109">
        <f>H477</f>
        <v>90.080000000016298</v>
      </c>
      <c r="I625" s="121" t="s">
        <v>103</v>
      </c>
      <c r="J625" s="109">
        <f t="shared" si="51"/>
        <v>-1.6299850358336698E-11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414080.04</v>
      </c>
      <c r="H627" s="109">
        <f>J477</f>
        <v>414080.04</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7596198.8099999996</v>
      </c>
      <c r="H628" s="104">
        <f>SUM(F469)</f>
        <v>7596198.8099999996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194181.5</v>
      </c>
      <c r="H629" s="104">
        <f>SUM(G469)</f>
        <v>194181.5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213728.77000000002</v>
      </c>
      <c r="H630" s="104">
        <f>SUM(H469)</f>
        <v>213728.77000000002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1600.04</v>
      </c>
      <c r="H632" s="104">
        <f>SUM(J469)</f>
        <v>1600.04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7597925.4799999995</v>
      </c>
      <c r="H633" s="104">
        <f>SUM(F473)</f>
        <v>7597925.4799999995</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213908.77</v>
      </c>
      <c r="H634" s="104">
        <f>SUM(H473)</f>
        <v>213908.77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268.8</v>
      </c>
      <c r="H635" s="104">
        <f>I370</f>
        <v>268.8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184472.86999999997</v>
      </c>
      <c r="H636" s="104">
        <f>SUM(G473)</f>
        <v>184472.86999999997</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1600.0400000000002</v>
      </c>
      <c r="H638" s="164">
        <f>SUM(J469)</f>
        <v>1600.04</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414080.04</v>
      </c>
      <c r="H640" s="104">
        <f>SUM(F462)</f>
        <v>414080.04</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414080.04</v>
      </c>
      <c r="H643" s="104">
        <f>SUM(I462)</f>
        <v>414080.04</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1600.04</v>
      </c>
      <c r="H645" s="104">
        <f>H409</f>
        <v>1600.0400000000002</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1600.04</v>
      </c>
      <c r="H647" s="104">
        <f>L409</f>
        <v>1600.0400000000002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396588.64000000007</v>
      </c>
      <c r="H648" s="104">
        <f>L209+L227+L245</f>
        <v>396588.64</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110915.96</v>
      </c>
      <c r="H649" s="104">
        <f>(J258+J339)-(J256+J337)</f>
        <v>110915.96</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396588.64</v>
      </c>
      <c r="H650" s="104">
        <f>H599</f>
        <v>396588.64000000007</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7993385.4899999993</v>
      </c>
      <c r="G661" s="19">
        <f>(L230+L310+L360)</f>
        <v>0</v>
      </c>
      <c r="H661" s="19">
        <f>(L248+L329+L361)</f>
        <v>0</v>
      </c>
      <c r="I661" s="19">
        <f>SUM(F661:H661)</f>
        <v>7993385.4899999993</v>
      </c>
      <c r="J661" s="13"/>
      <c r="K661" s="13"/>
      <c r="L661" s="13"/>
      <c r="M661" s="9"/>
    </row>
    <row r="662" spans="1:13" s="3" customFormat="1" ht="12.2" customHeight="1" x14ac:dyDescent="0.2">
      <c r="A662" s="1" t="s">
        <v>127</v>
      </c>
      <c r="F662" s="19">
        <f>(L359/IF(SUM(L359:L361)=0,1,SUM(L359:L361))*(SUM(G97:G110)))</f>
        <v>67852.490000000005</v>
      </c>
      <c r="G662" s="19">
        <f>(L360/IF(SUM(L359:L361)=0,1,SUM(L359:L361))*(SUM(G97:G110)))</f>
        <v>0</v>
      </c>
      <c r="H662" s="19">
        <f>(L361/IF(SUM(L359:L361)=0,1,SUM(L359:L361))*(SUM(G97:G110)))</f>
        <v>0</v>
      </c>
      <c r="I662" s="19">
        <f>SUM(F662:H662)</f>
        <v>67852.490000000005</v>
      </c>
      <c r="J662"/>
      <c r="K662" s="13"/>
      <c r="L662" s="13"/>
      <c r="M662" s="8"/>
    </row>
    <row r="663" spans="1:13" s="3" customFormat="1" ht="12.2" customHeight="1" x14ac:dyDescent="0.2">
      <c r="A663" s="1" t="s">
        <v>128</v>
      </c>
      <c r="F663" s="19">
        <f>(L209+L288)-(J209+J288)</f>
        <v>396588.64</v>
      </c>
      <c r="G663" s="19">
        <f>(L227+L307)-(J227+J307)</f>
        <v>0</v>
      </c>
      <c r="H663" s="19">
        <f>(L245+L326)-(J245+J326)</f>
        <v>0</v>
      </c>
      <c r="I663" s="19">
        <f>SUM(F663:H663)</f>
        <v>396588.64</v>
      </c>
      <c r="J663"/>
      <c r="K663" s="13"/>
      <c r="L663" s="13"/>
      <c r="M663" s="9"/>
    </row>
    <row r="664" spans="1:13" s="3" customFormat="1" ht="12.2" customHeight="1" x14ac:dyDescent="0.15">
      <c r="A664" s="198" t="s">
        <v>129</v>
      </c>
      <c r="B664" s="169"/>
      <c r="C664" s="169"/>
      <c r="D664" s="169"/>
      <c r="E664" s="169"/>
      <c r="F664" s="199">
        <f>SUM(F576:F588)+SUM(H603:H605)+SUM(L612)</f>
        <v>539295.88</v>
      </c>
      <c r="G664" s="199">
        <f>SUM(G576:G588)+SUM(I603:I605)+L613</f>
        <v>0</v>
      </c>
      <c r="H664" s="199">
        <f>SUM(H576:H588)+SUM(J603:J605)+L614</f>
        <v>0</v>
      </c>
      <c r="I664" s="19">
        <f>SUM(F664:H664)</f>
        <v>539295.88</v>
      </c>
      <c r="J664" s="13"/>
      <c r="K664" s="13"/>
      <c r="L664" s="13"/>
      <c r="M664" s="9"/>
    </row>
    <row r="665" spans="1:13" s="3" customFormat="1" ht="12.2" customHeight="1" x14ac:dyDescent="0.15">
      <c r="A665" s="1" t="s">
        <v>130</v>
      </c>
      <c r="F665" s="19">
        <f>F661-SUM(F662:F664)</f>
        <v>6989648.4799999995</v>
      </c>
      <c r="G665" s="19">
        <f>G661-SUM(G662:G664)</f>
        <v>0</v>
      </c>
      <c r="H665" s="19">
        <f>H661-SUM(H662:H664)</f>
        <v>0</v>
      </c>
      <c r="I665" s="19">
        <f>I661-SUM(I662:I664)</f>
        <v>6989648.4799999995</v>
      </c>
      <c r="J665" s="13"/>
      <c r="K665" s="13"/>
      <c r="L665" s="13"/>
      <c r="M665" s="8"/>
    </row>
    <row r="666" spans="1:13" s="3" customFormat="1" ht="12.2" customHeight="1" x14ac:dyDescent="0.2">
      <c r="A666" s="1" t="s">
        <v>131</v>
      </c>
      <c r="F666" s="246">
        <v>405.15</v>
      </c>
      <c r="G666" s="247"/>
      <c r="H666" s="247"/>
      <c r="I666" s="19">
        <f>SUM(F666:H666)</f>
        <v>405.15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17252</v>
      </c>
      <c r="G668" s="19" t="e">
        <f>ROUND(G665/G666,2)</f>
        <v>#DIV/0!</v>
      </c>
      <c r="H668" s="19" t="e">
        <f>ROUND(H665/H666,2)</f>
        <v>#DIV/0!</v>
      </c>
      <c r="I668" s="19">
        <f>ROUND(I665/I666,2)</f>
        <v>17252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17252</v>
      </c>
      <c r="G673" s="19" t="e">
        <f>ROUND((G665+G670)/(G666+G671),2)</f>
        <v>#DIV/0!</v>
      </c>
      <c r="H673" s="19" t="e">
        <f>ROUND((H665+H670)/(H666+H671),2)</f>
        <v>#DIV/0!</v>
      </c>
      <c r="I673" s="19">
        <f>ROUND((I665+I670)/(I666+I671),2)</f>
        <v>17252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Henniker School District</v>
      </c>
      <c r="C5" s="344"/>
      <c r="D5" s="344"/>
      <c r="E5" s="344"/>
      <c r="F5" s="344"/>
    </row>
    <row r="8" spans="1:9" ht="18" x14ac:dyDescent="0.25">
      <c r="A8" s="323" t="s">
        <v>1591</v>
      </c>
      <c r="F8" s="330" t="s">
        <v>1609</v>
      </c>
    </row>
    <row r="9" spans="1:9" ht="15" x14ac:dyDescent="0.2">
      <c r="A9" s="321" t="s">
        <v>1592</v>
      </c>
      <c r="B9" s="324">
        <f>'DOE25'!G97</f>
        <v>67852.490000000005</v>
      </c>
      <c r="F9" s="321" t="s">
        <v>1605</v>
      </c>
    </row>
    <row r="10" spans="1:9" ht="15" x14ac:dyDescent="0.2">
      <c r="A10" s="321" t="s">
        <v>1593</v>
      </c>
      <c r="B10" s="324">
        <f>'DOE25'!G112-'DOE25'!G97</f>
        <v>0</v>
      </c>
      <c r="F10" s="321" t="s">
        <v>1606</v>
      </c>
    </row>
    <row r="11" spans="1:9" ht="15" x14ac:dyDescent="0.2">
      <c r="A11" s="321" t="s">
        <v>1594</v>
      </c>
      <c r="B11" s="324">
        <f>'DOE25'!G140</f>
        <v>2811.88</v>
      </c>
      <c r="F11" s="321" t="s">
        <v>1607</v>
      </c>
    </row>
    <row r="12" spans="1:9" ht="15" x14ac:dyDescent="0.2">
      <c r="A12" s="321" t="s">
        <v>1595</v>
      </c>
      <c r="B12" s="324">
        <f>'DOE25'!G170</f>
        <v>123517.13</v>
      </c>
      <c r="F12" s="321" t="s">
        <v>1608</v>
      </c>
    </row>
    <row r="13" spans="1:9" ht="15" x14ac:dyDescent="0.2">
      <c r="A13" s="321" t="s">
        <v>1596</v>
      </c>
      <c r="B13" s="324">
        <f>'DOE25'!G193-'DOE25'!G180</f>
        <v>0</v>
      </c>
      <c r="F13" s="321" t="s">
        <v>1618</v>
      </c>
    </row>
    <row r="14" spans="1:9" ht="18" x14ac:dyDescent="0.25">
      <c r="A14" s="323" t="s">
        <v>732</v>
      </c>
      <c r="B14" s="325">
        <f>SUM(B9:B13)</f>
        <v>194181.5</v>
      </c>
    </row>
    <row r="16" spans="1:9" ht="18" x14ac:dyDescent="0.25">
      <c r="A16" s="323" t="s">
        <v>786</v>
      </c>
      <c r="F16" s="330" t="s">
        <v>1610</v>
      </c>
    </row>
    <row r="17" spans="1:6" ht="15" x14ac:dyDescent="0.2">
      <c r="A17" s="321" t="s">
        <v>1597</v>
      </c>
      <c r="B17" s="324">
        <f>'DOE25'!L363-'DOE25'!L362</f>
        <v>184472.86999999997</v>
      </c>
      <c r="F17" s="321" t="s">
        <v>1611</v>
      </c>
    </row>
    <row r="18" spans="1:6" ht="15" x14ac:dyDescent="0.2">
      <c r="A18" s="321" t="s">
        <v>1598</v>
      </c>
      <c r="B18" s="338"/>
      <c r="F18" s="330" t="s">
        <v>1637</v>
      </c>
    </row>
    <row r="19" spans="1:6" ht="18" x14ac:dyDescent="0.25">
      <c r="A19" s="323" t="s">
        <v>725</v>
      </c>
      <c r="B19" s="325">
        <f>SUM(B17:B18)</f>
        <v>184472.86999999997</v>
      </c>
    </row>
    <row r="21" spans="1:6" ht="18.75" thickBot="1" x14ac:dyDescent="0.3">
      <c r="A21" s="323" t="s">
        <v>1599</v>
      </c>
    </row>
    <row r="22" spans="1:6" ht="18.75" thickTop="1" x14ac:dyDescent="0.25">
      <c r="A22" s="323" t="s">
        <v>1600</v>
      </c>
      <c r="B22" s="329">
        <f>B14-B19</f>
        <v>9708.6300000000338</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28008.23</v>
      </c>
      <c r="F31" s="321" t="s">
        <v>1615</v>
      </c>
    </row>
    <row r="33" spans="1:6" ht="15" x14ac:dyDescent="0.2">
      <c r="A33" s="321" t="s">
        <v>1641</v>
      </c>
      <c r="B33" s="324">
        <f>'DOE25'!G477</f>
        <v>41001.440000000031</v>
      </c>
      <c r="F33" s="321" t="s">
        <v>1616</v>
      </c>
    </row>
    <row r="36" spans="1:6" ht="15" x14ac:dyDescent="0.2">
      <c r="A36" s="321" t="s">
        <v>1602</v>
      </c>
      <c r="B36" s="339">
        <v>11508.31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Henniker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1934652.79</v>
      </c>
      <c r="C9" s="229">
        <f>'DOE25'!G198+'DOE25'!G216+'DOE25'!G234+'DOE25'!G277+'DOE25'!G296+'DOE25'!G315</f>
        <v>1064774.48</v>
      </c>
    </row>
    <row r="10" spans="1:3" x14ac:dyDescent="0.2">
      <c r="A10" t="s">
        <v>775</v>
      </c>
      <c r="B10" s="240">
        <f>1811112.13+11902.4</f>
        <v>1823014.5299999998</v>
      </c>
      <c r="C10" s="240">
        <f>1055045.96+910.53</f>
        <v>1055956.49</v>
      </c>
    </row>
    <row r="11" spans="1:3" x14ac:dyDescent="0.2">
      <c r="A11" t="s">
        <v>776</v>
      </c>
      <c r="B11" s="240">
        <f>82488.26</f>
        <v>82488.259999999995</v>
      </c>
      <c r="C11" s="240">
        <v>6587.78</v>
      </c>
    </row>
    <row r="12" spans="1:3" x14ac:dyDescent="0.2">
      <c r="A12" t="s">
        <v>777</v>
      </c>
      <c r="B12" s="240">
        <f>25250+3900</f>
        <v>29150</v>
      </c>
      <c r="C12" s="240">
        <v>2230.21</v>
      </c>
    </row>
    <row r="13" spans="1:3" x14ac:dyDescent="0.2">
      <c r="A13" t="str">
        <f>IF(B9=B13,IF(C9=C13,"Check Total OK","Check Total Error"),"Check Total Error")</f>
        <v>Check Total OK</v>
      </c>
      <c r="B13" s="231">
        <f>SUM(B10:B12)</f>
        <v>1934652.7899999998</v>
      </c>
      <c r="C13" s="231">
        <f>SUM(C10:C12)</f>
        <v>1064774.48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718854.28</v>
      </c>
      <c r="C18" s="229">
        <f>'DOE25'!G199+'DOE25'!G217+'DOE25'!G235+'DOE25'!G278+'DOE25'!G297+'DOE25'!G316</f>
        <v>238880.62</v>
      </c>
    </row>
    <row r="19" spans="1:3" x14ac:dyDescent="0.2">
      <c r="A19" t="s">
        <v>775</v>
      </c>
      <c r="B19" s="240">
        <f>413938+31604.91</f>
        <v>445542.91</v>
      </c>
      <c r="C19" s="240">
        <f>204000.58-1890.24+8235.47</f>
        <v>210345.81</v>
      </c>
    </row>
    <row r="20" spans="1:3" x14ac:dyDescent="0.2">
      <c r="A20" t="s">
        <v>776</v>
      </c>
      <c r="B20" s="240">
        <v>273311.37</v>
      </c>
      <c r="C20" s="240">
        <f>26644.57+1890.24</f>
        <v>28534.81</v>
      </c>
    </row>
    <row r="21" spans="1:3" x14ac:dyDescent="0.2">
      <c r="A21" t="s">
        <v>777</v>
      </c>
      <c r="B21" s="240">
        <v>0</v>
      </c>
      <c r="C21" s="240">
        <v>0</v>
      </c>
    </row>
    <row r="22" spans="1:3" x14ac:dyDescent="0.2">
      <c r="A22" t="str">
        <f>IF(B18=B22,IF(C18=C22,"Check Total OK","Check Total Error"),"Check Total Error")</f>
        <v>Check Total OK</v>
      </c>
      <c r="B22" s="231">
        <f>SUM(B19:B21)</f>
        <v>718854.28</v>
      </c>
      <c r="C22" s="231">
        <f>SUM(C19:C21)</f>
        <v>238880.62</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19898.61</v>
      </c>
      <c r="C36" s="235">
        <f>'DOE25'!G201+'DOE25'!G219+'DOE25'!G237+'DOE25'!G280+'DOE25'!G299+'DOE25'!G318</f>
        <v>4165.49</v>
      </c>
    </row>
    <row r="37" spans="1:3" x14ac:dyDescent="0.2">
      <c r="A37" t="s">
        <v>775</v>
      </c>
      <c r="B37" s="240">
        <v>19854.48</v>
      </c>
      <c r="C37" s="240">
        <f>4165.49-3.36</f>
        <v>4162.13</v>
      </c>
    </row>
    <row r="38" spans="1:3" x14ac:dyDescent="0.2">
      <c r="A38" t="s">
        <v>776</v>
      </c>
      <c r="B38" s="240">
        <v>44.13</v>
      </c>
      <c r="C38" s="240">
        <v>3.36</v>
      </c>
    </row>
    <row r="39" spans="1:3" x14ac:dyDescent="0.2">
      <c r="A39" t="s">
        <v>777</v>
      </c>
      <c r="B39" s="240">
        <v>0</v>
      </c>
      <c r="C39" s="240">
        <v>0</v>
      </c>
    </row>
    <row r="40" spans="1:3" x14ac:dyDescent="0.2">
      <c r="A40" t="str">
        <f>IF(B36=B40,IF(C36=C40,"Check Total OK","Check Total Error"),"Check Total Error")</f>
        <v>Check Total OK</v>
      </c>
      <c r="B40" s="231">
        <f>SUM(B37:B39)</f>
        <v>19898.61</v>
      </c>
      <c r="C40" s="231">
        <f>SUM(C37:C39)</f>
        <v>4165.49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Henniker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4721507.25</v>
      </c>
      <c r="D5" s="20">
        <f>SUM('DOE25'!L198:L201)+SUM('DOE25'!L216:L219)+SUM('DOE25'!L234:L237)-F5-G5-H5</f>
        <v>4619858.4700000007</v>
      </c>
      <c r="E5" s="243"/>
      <c r="F5" s="244">
        <f>11787.5+74269.84</f>
        <v>86057.34</v>
      </c>
      <c r="G5" s="53">
        <f>SUM('DOE25'!J198:J201)+SUM('DOE25'!J216:J219)+SUM('DOE25'!J234:J237)</f>
        <v>6287.8</v>
      </c>
      <c r="H5" s="53">
        <f>SUM('DOE25'!K198:K201)+SUM('DOE25'!K216:K219)+SUM('DOE25'!K234:K237)</f>
        <v>9303.6400000000012</v>
      </c>
      <c r="I5" s="256"/>
    </row>
    <row r="6" spans="1:9" x14ac:dyDescent="0.2">
      <c r="A6" s="32">
        <v>2100</v>
      </c>
      <c r="B6" t="s">
        <v>796</v>
      </c>
      <c r="C6" s="276">
        <f t="shared" si="0"/>
        <v>638258.49</v>
      </c>
      <c r="D6" s="20">
        <f>'DOE25'!L203+'DOE25'!L221+'DOE25'!L239-F6-G6-H6</f>
        <v>586417.68999999994</v>
      </c>
      <c r="E6" s="243"/>
      <c r="F6" s="244">
        <v>51098.55</v>
      </c>
      <c r="G6" s="53">
        <f>'DOE25'!J203+'DOE25'!J221+'DOE25'!J239</f>
        <v>0</v>
      </c>
      <c r="H6" s="53">
        <f>'DOE25'!K203+'DOE25'!K221+'DOE25'!K239</f>
        <v>742.25</v>
      </c>
      <c r="I6" s="256"/>
    </row>
    <row r="7" spans="1:9" x14ac:dyDescent="0.2">
      <c r="A7" s="32">
        <v>2200</v>
      </c>
      <c r="B7" t="s">
        <v>821</v>
      </c>
      <c r="C7" s="276">
        <f t="shared" si="0"/>
        <v>389955.42</v>
      </c>
      <c r="D7" s="20">
        <f>'DOE25'!L204+'DOE25'!L222+'DOE25'!L240-F7-G7-H7</f>
        <v>274014.94</v>
      </c>
      <c r="E7" s="243"/>
      <c r="F7" s="244">
        <v>0</v>
      </c>
      <c r="G7" s="53">
        <f>'DOE25'!J204+'DOE25'!J222+'DOE25'!J240</f>
        <v>84005.24</v>
      </c>
      <c r="H7" s="53">
        <f>'DOE25'!K204+'DOE25'!K222+'DOE25'!K240</f>
        <v>31935.24</v>
      </c>
      <c r="I7" s="256"/>
    </row>
    <row r="8" spans="1:9" x14ac:dyDescent="0.2">
      <c r="A8" s="32">
        <v>2300</v>
      </c>
      <c r="B8" t="s">
        <v>797</v>
      </c>
      <c r="C8" s="276">
        <f t="shared" si="0"/>
        <v>135377.80436800001</v>
      </c>
      <c r="D8" s="243"/>
      <c r="E8" s="20">
        <f>'DOE25'!L205+'DOE25'!L223+'DOE25'!L241-F8-G8-H8-D9-D11</f>
        <v>125281.304368</v>
      </c>
      <c r="F8" s="244">
        <v>0</v>
      </c>
      <c r="G8" s="53">
        <f>'DOE25'!J205+'DOE25'!J223+'DOE25'!J241</f>
        <v>0</v>
      </c>
      <c r="H8" s="53">
        <f>'DOE25'!K205+'DOE25'!K223+'DOE25'!K241</f>
        <v>10096.5</v>
      </c>
      <c r="I8" s="256"/>
    </row>
    <row r="9" spans="1:9" ht="14.25" x14ac:dyDescent="0.2">
      <c r="A9" s="32">
        <v>2310</v>
      </c>
      <c r="B9" s="185" t="s">
        <v>890</v>
      </c>
      <c r="C9" s="276">
        <f t="shared" si="0"/>
        <v>40159.61</v>
      </c>
      <c r="D9" s="244">
        <f>50259.61-10100</f>
        <v>40159.61</v>
      </c>
      <c r="E9" s="243"/>
      <c r="F9" s="253"/>
      <c r="G9" s="253"/>
      <c r="H9" s="253"/>
      <c r="I9" s="256"/>
    </row>
    <row r="10" spans="1:9" ht="14.25" x14ac:dyDescent="0.2">
      <c r="A10" s="32">
        <v>2317</v>
      </c>
      <c r="B10" s="185" t="s">
        <v>891</v>
      </c>
      <c r="C10" s="276">
        <f t="shared" si="0"/>
        <v>10100</v>
      </c>
      <c r="D10" s="243"/>
      <c r="E10" s="244">
        <v>10100</v>
      </c>
      <c r="F10" s="253"/>
      <c r="G10" s="253"/>
      <c r="H10" s="253"/>
      <c r="I10" s="256"/>
    </row>
    <row r="11" spans="1:9" ht="14.25" x14ac:dyDescent="0.2">
      <c r="A11" s="32">
        <v>2321</v>
      </c>
      <c r="B11" s="185" t="s">
        <v>892</v>
      </c>
      <c r="C11" s="276">
        <f t="shared" si="0"/>
        <v>104055.195632</v>
      </c>
      <c r="D11" s="244">
        <f>581638.88*0.1789</f>
        <v>104055.195632</v>
      </c>
      <c r="E11" s="243"/>
      <c r="F11" s="253"/>
      <c r="G11" s="253"/>
      <c r="H11" s="253"/>
      <c r="I11" s="256"/>
    </row>
    <row r="12" spans="1:9" x14ac:dyDescent="0.2">
      <c r="A12" s="32">
        <v>2400</v>
      </c>
      <c r="B12" t="s">
        <v>711</v>
      </c>
      <c r="C12" s="276">
        <f t="shared" si="0"/>
        <v>505806.09</v>
      </c>
      <c r="D12" s="20">
        <f>'DOE25'!L206+'DOE25'!L224+'DOE25'!L242-F12-G12-H12</f>
        <v>504336.09</v>
      </c>
      <c r="E12" s="243"/>
      <c r="F12" s="244">
        <v>0</v>
      </c>
      <c r="G12" s="53">
        <f>'DOE25'!J206+'DOE25'!J224+'DOE25'!J242</f>
        <v>0</v>
      </c>
      <c r="H12" s="53">
        <f>'DOE25'!K206+'DOE25'!K224+'DOE25'!K242</f>
        <v>1470</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666216.98</v>
      </c>
      <c r="D14" s="20">
        <f>'DOE25'!L208+'DOE25'!L226+'DOE25'!L244-F14-G14-H14</f>
        <v>648935.54999999993</v>
      </c>
      <c r="E14" s="243"/>
      <c r="F14" s="244">
        <v>0</v>
      </c>
      <c r="G14" s="53">
        <f>'DOE25'!J208+'DOE25'!J226+'DOE25'!J244</f>
        <v>17281.43</v>
      </c>
      <c r="H14" s="53">
        <f>'DOE25'!K208+'DOE25'!K226+'DOE25'!K244</f>
        <v>0</v>
      </c>
      <c r="I14" s="256"/>
    </row>
    <row r="15" spans="1:9" x14ac:dyDescent="0.2">
      <c r="A15" s="32">
        <v>2700</v>
      </c>
      <c r="B15" t="s">
        <v>799</v>
      </c>
      <c r="C15" s="276">
        <f t="shared" si="0"/>
        <v>396588.64</v>
      </c>
      <c r="D15" s="20">
        <f>'DOE25'!L209+'DOE25'!L227+'DOE25'!L245-F15-G15-H15</f>
        <v>62251.429999999993</v>
      </c>
      <c r="E15" s="243"/>
      <c r="F15" s="244">
        <v>334337.21000000002</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184472.86999999997</v>
      </c>
      <c r="D29" s="284">
        <f>'DOE25'!L359+'DOE25'!L360+'DOE25'!L361-'DOE25'!I368-F29-G29-H29</f>
        <v>25706.569999999967</v>
      </c>
      <c r="E29" s="243"/>
      <c r="F29" s="244">
        <v>158206</v>
      </c>
      <c r="G29" s="53">
        <f>'DOE25'!J359+'DOE25'!J360+'DOE25'!J361</f>
        <v>0</v>
      </c>
      <c r="H29" s="53">
        <f>'DOE25'!K359+'DOE25'!K360+'DOE25'!K361</f>
        <v>560.29999999999995</v>
      </c>
      <c r="I29" s="256"/>
    </row>
    <row r="30" spans="1:9" x14ac:dyDescent="0.2">
      <c r="A30" s="32"/>
      <c r="C30" s="277"/>
      <c r="D30" s="20"/>
      <c r="E30" s="281"/>
      <c r="F30" s="271"/>
      <c r="G30" s="53"/>
      <c r="H30" s="53"/>
      <c r="I30" s="256"/>
    </row>
    <row r="31" spans="1:9" x14ac:dyDescent="0.2">
      <c r="A31" s="32" t="s">
        <v>818</v>
      </c>
      <c r="B31" t="s">
        <v>817</v>
      </c>
      <c r="C31" s="276">
        <f>SUM(D31:I31)</f>
        <v>210987.13999999998</v>
      </c>
      <c r="D31" s="20">
        <f>'DOE25'!L291+'DOE25'!L310+'DOE25'!L329+'DOE25'!L334+'DOE25'!L335+'DOE25'!L336-F31-G31-H31</f>
        <v>200739.86</v>
      </c>
      <c r="E31" s="243"/>
      <c r="F31" s="244">
        <v>0</v>
      </c>
      <c r="G31" s="53">
        <f>'DOE25'!J291+'DOE25'!J310+'DOE25'!J329+'DOE25'!J334+'DOE25'!J335+'DOE25'!J336</f>
        <v>3341.49</v>
      </c>
      <c r="H31" s="53">
        <f>'DOE25'!K291+'DOE25'!K310+'DOE25'!K329+'DOE25'!K334+'DOE25'!K335+'DOE25'!K336</f>
        <v>6905.79</v>
      </c>
      <c r="I31" s="256"/>
    </row>
    <row r="32" spans="1:9" ht="12" thickBot="1" x14ac:dyDescent="0.25">
      <c r="C32" s="277"/>
      <c r="G32" s="251"/>
      <c r="H32" s="251"/>
      <c r="I32" s="258"/>
    </row>
    <row r="33" spans="1:9" ht="12" thickTop="1" x14ac:dyDescent="0.2">
      <c r="B33" t="s">
        <v>809</v>
      </c>
      <c r="D33" s="245">
        <f t="shared" ref="D33:I33" si="1">SUM(D5:D31)</f>
        <v>7066475.4056320013</v>
      </c>
      <c r="E33" s="245">
        <f t="shared" si="1"/>
        <v>135381.30436800001</v>
      </c>
      <c r="F33" s="245">
        <f t="shared" si="1"/>
        <v>629699.10000000009</v>
      </c>
      <c r="G33" s="245">
        <f t="shared" si="1"/>
        <v>110915.96</v>
      </c>
      <c r="H33" s="245">
        <f t="shared" si="1"/>
        <v>61013.720000000008</v>
      </c>
      <c r="I33" s="245">
        <f t="shared" si="1"/>
        <v>0</v>
      </c>
    </row>
    <row r="35" spans="1:9" ht="12" thickBot="1" x14ac:dyDescent="0.25">
      <c r="B35" s="251" t="s">
        <v>831</v>
      </c>
      <c r="D35" s="252">
        <f>E33</f>
        <v>135381.30436800001</v>
      </c>
      <c r="E35" s="248"/>
    </row>
    <row r="36" spans="1:9" ht="12" thickTop="1" x14ac:dyDescent="0.2">
      <c r="B36" t="s">
        <v>810</v>
      </c>
      <c r="D36" s="20">
        <f>D33</f>
        <v>7066475.4056320013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15" sqref="E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Henniker School District</v>
      </c>
      <c r="B2" s="126">
        <f>'DOE25'!B2</f>
        <v>245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7808912.6199999992</v>
      </c>
      <c r="G4" s="303">
        <f>'DOE25'!L212+'DOE25'!L291</f>
        <v>7808912.6199999992</v>
      </c>
      <c r="H4" s="337">
        <f>F4-G4</f>
        <v>0</v>
      </c>
      <c r="I4" s="309" t="str">
        <f>IF(H4=0,"","Does not match DOE25 page 7 and 11 Totals!!")</f>
        <v/>
      </c>
      <c r="N4"/>
    </row>
    <row r="5" spans="1:18" x14ac:dyDescent="0.2">
      <c r="A5" s="21" t="s">
        <v>1107</v>
      </c>
      <c r="B5" s="304">
        <f>IFERROR(VLOOKUP(A5,'School Tables'!$C$3:$D$365,2,FALSE),"")</f>
        <v>20935</v>
      </c>
      <c r="C5" s="297" t="str">
        <f>IFERROR(INDEX('School Tables'!$B$3:$B$365,MATCH('School Level Expenditures'!B5,'School Tables'!$D$3:$D$365,0)),"")</f>
        <v>Henniker</v>
      </c>
      <c r="D5" s="294">
        <f>'DOE25'!L212</f>
        <v>7597925.4799999995</v>
      </c>
      <c r="E5" s="294">
        <f>'DOE25'!L291</f>
        <v>210987.13999999998</v>
      </c>
      <c r="F5" s="312">
        <f>D5+E5</f>
        <v>7808912.6199999992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 t="shared" ref="F37:F42" si="2">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si="2"/>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si="2"/>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Henniker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514436.42</v>
      </c>
      <c r="D8" s="95">
        <f>'DOE25'!G9</f>
        <v>17889.18</v>
      </c>
      <c r="E8" s="95">
        <f>'DOE25'!H9</f>
        <v>-20373.37</v>
      </c>
      <c r="F8" s="95">
        <f>'DOE25'!I9</f>
        <v>0</v>
      </c>
      <c r="G8" s="95">
        <f>'DOE25'!J9</f>
        <v>414080.04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2206.3000000000002</v>
      </c>
      <c r="E11" s="95">
        <f>'DOE25'!H12</f>
        <v>0</v>
      </c>
      <c r="F11" s="95">
        <f>'DOE25'!I12</f>
        <v>0</v>
      </c>
      <c r="G11" s="95">
        <f>'DOE25'!J12</f>
        <v>0</v>
      </c>
      <c r="H11" s="124"/>
      <c r="I11" s="124"/>
    </row>
    <row r="12" spans="1:9" x14ac:dyDescent="0.2">
      <c r="A12" s="1" t="s">
        <v>143</v>
      </c>
      <c r="B12" s="6">
        <v>140</v>
      </c>
      <c r="C12" s="95">
        <f>'DOE25'!F13</f>
        <v>0</v>
      </c>
      <c r="D12" s="95">
        <f>'DOE25'!G13</f>
        <v>56458.42</v>
      </c>
      <c r="E12" s="95">
        <f>'DOE25'!H13</f>
        <v>20866.27</v>
      </c>
      <c r="F12" s="95">
        <f>'DOE25'!I13</f>
        <v>0</v>
      </c>
      <c r="G12" s="95">
        <f>'DOE25'!J13</f>
        <v>0</v>
      </c>
      <c r="H12" s="124"/>
      <c r="I12" s="124"/>
    </row>
    <row r="13" spans="1:9" x14ac:dyDescent="0.2">
      <c r="A13" s="1" t="s">
        <v>144</v>
      </c>
      <c r="B13" s="6">
        <v>150</v>
      </c>
      <c r="C13" s="95">
        <f>'DOE25'!F14</f>
        <v>980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515416.42</v>
      </c>
      <c r="D18" s="41">
        <f>SUM(D8:D17)</f>
        <v>76553.899999999994</v>
      </c>
      <c r="E18" s="41">
        <f>SUM(E8:E17)</f>
        <v>492.90000000000146</v>
      </c>
      <c r="F18" s="41">
        <f>SUM(F8:F17)</f>
        <v>0</v>
      </c>
      <c r="G18" s="41">
        <f>SUM(G8:G17)</f>
        <v>414080.04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2206.3000000000002</v>
      </c>
      <c r="D21" s="95">
        <f>'DOE25'!G22</f>
        <v>0</v>
      </c>
      <c r="E21" s="95">
        <f>'DOE25'!H22</f>
        <v>0</v>
      </c>
      <c r="F21" s="95">
        <f>'DOE25'!I22</f>
        <v>0</v>
      </c>
      <c r="G21" s="95">
        <f>'DOE25'!J22</f>
        <v>0</v>
      </c>
      <c r="H21" s="124"/>
      <c r="I21" s="124"/>
    </row>
    <row r="22" spans="1:9" x14ac:dyDescent="0.2">
      <c r="A22" s="1" t="s">
        <v>151</v>
      </c>
      <c r="B22" s="6">
        <v>410</v>
      </c>
      <c r="C22" s="95">
        <f>'DOE25'!F23</f>
        <v>7104.6</v>
      </c>
      <c r="D22" s="95">
        <f>'DOE25'!G23</f>
        <v>521.45000000000005</v>
      </c>
      <c r="E22" s="95">
        <f>'DOE25'!H23</f>
        <v>402.82</v>
      </c>
      <c r="F22" s="95">
        <f>'DOE25'!I23</f>
        <v>0</v>
      </c>
      <c r="G22" s="95">
        <f>'DOE25'!J23</f>
        <v>0</v>
      </c>
      <c r="H22" s="124"/>
      <c r="I22" s="124"/>
    </row>
    <row r="23" spans="1:9" x14ac:dyDescent="0.2">
      <c r="A23" s="1" t="s">
        <v>152</v>
      </c>
      <c r="B23" s="6">
        <v>420</v>
      </c>
      <c r="C23" s="95">
        <f>'DOE25'!F24</f>
        <v>1502</v>
      </c>
      <c r="D23" s="95">
        <f>'DOE25'!G24</f>
        <v>0</v>
      </c>
      <c r="E23" s="95">
        <f>'DOE25'!H24</f>
        <v>0</v>
      </c>
      <c r="F23" s="95">
        <f>'DOE25'!I24</f>
        <v>0</v>
      </c>
      <c r="G23" s="95">
        <f>'DOE25'!J24</f>
        <v>0</v>
      </c>
      <c r="H23" s="124"/>
      <c r="I23" s="124"/>
    </row>
    <row r="24" spans="1:9" x14ac:dyDescent="0.2">
      <c r="A24" s="1" t="s">
        <v>153</v>
      </c>
      <c r="B24" s="6">
        <v>430</v>
      </c>
      <c r="C24" s="95">
        <f>'DOE25'!F25</f>
        <v>5598.46</v>
      </c>
      <c r="D24" s="95">
        <f>'DOE25'!G25</f>
        <v>27236</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9959.44</v>
      </c>
      <c r="D27" s="95">
        <f>'DOE25'!G28</f>
        <v>0</v>
      </c>
      <c r="E27" s="95">
        <f>'DOE25'!H28</f>
        <v>0</v>
      </c>
      <c r="F27" s="95">
        <f>'DOE25'!I28</f>
        <v>0</v>
      </c>
      <c r="G27" s="24" t="s">
        <v>288</v>
      </c>
      <c r="H27" s="124"/>
      <c r="I27" s="124"/>
    </row>
    <row r="28" spans="1:9" x14ac:dyDescent="0.2">
      <c r="A28" s="1" t="s">
        <v>157</v>
      </c>
      <c r="B28" s="6">
        <v>470</v>
      </c>
      <c r="C28" s="95">
        <f>'DOE25'!F29</f>
        <v>27070.42</v>
      </c>
      <c r="D28" s="95">
        <f>'DOE25'!G29</f>
        <v>0</v>
      </c>
      <c r="E28" s="95">
        <f>'DOE25'!H29</f>
        <v>0</v>
      </c>
      <c r="F28" s="95">
        <f>'DOE25'!I29</f>
        <v>0</v>
      </c>
      <c r="G28" s="24" t="s">
        <v>288</v>
      </c>
      <c r="H28" s="124"/>
      <c r="I28" s="124"/>
    </row>
    <row r="29" spans="1:9" x14ac:dyDescent="0.2">
      <c r="A29" s="1" t="s">
        <v>158</v>
      </c>
      <c r="B29" s="6">
        <v>480</v>
      </c>
      <c r="C29" s="95">
        <f>'DOE25'!F30</f>
        <v>0</v>
      </c>
      <c r="D29" s="95">
        <f>'DOE25'!G30</f>
        <v>7795.01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53441.22</v>
      </c>
      <c r="D31" s="41">
        <f>SUM(D21:D30)</f>
        <v>35552.46</v>
      </c>
      <c r="E31" s="41">
        <f>SUM(E21:E30)</f>
        <v>402.82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140479.51999999999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41001.440000000002</v>
      </c>
      <c r="E47" s="95">
        <f>'DOE25'!H48</f>
        <v>90.08</v>
      </c>
      <c r="F47" s="95">
        <f>'DOE25'!I48</f>
        <v>0</v>
      </c>
      <c r="G47" s="95">
        <f>'DOE25'!J48</f>
        <v>414080.04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301495.67999999999</v>
      </c>
      <c r="D49" s="24" t="s">
        <v>288</v>
      </c>
      <c r="E49" s="24" t="s">
        <v>288</v>
      </c>
      <c r="F49" s="24" t="s">
        <v>288</v>
      </c>
      <c r="G49" s="24" t="s">
        <v>288</v>
      </c>
      <c r="H49" s="124"/>
      <c r="I49" s="124"/>
    </row>
    <row r="50" spans="1:9" ht="12.75" thickTop="1" thickBot="1" x14ac:dyDescent="0.25">
      <c r="A50" s="38" t="s">
        <v>884</v>
      </c>
      <c r="B50" s="48"/>
      <c r="C50" s="41">
        <f>SUM(C34:C49)</f>
        <v>461975.19999999995</v>
      </c>
      <c r="D50" s="41">
        <f>SUM(D34:D49)</f>
        <v>41001.440000000002</v>
      </c>
      <c r="E50" s="41">
        <f>SUM(E34:E49)</f>
        <v>90.08</v>
      </c>
      <c r="F50" s="41">
        <f>SUM(F34:F49)</f>
        <v>0</v>
      </c>
      <c r="G50" s="41">
        <f>SUM(G34:G49)</f>
        <v>414080.04</v>
      </c>
      <c r="H50" s="124"/>
      <c r="I50" s="124"/>
    </row>
    <row r="51" spans="1:9" ht="12" thickTop="1" x14ac:dyDescent="0.2">
      <c r="A51" s="38" t="s">
        <v>885</v>
      </c>
      <c r="B51" s="2"/>
      <c r="C51" s="41">
        <f>C50+C31</f>
        <v>515416.41999999993</v>
      </c>
      <c r="D51" s="41">
        <f>D50+D31</f>
        <v>76553.899999999994</v>
      </c>
      <c r="E51" s="41">
        <f>E50+E31</f>
        <v>492.9</v>
      </c>
      <c r="F51" s="41">
        <f>F50+F31</f>
        <v>0</v>
      </c>
      <c r="G51" s="41">
        <f>G50+G31</f>
        <v>414080.04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4957636</v>
      </c>
      <c r="D56" s="95">
        <f>'DOE25'!G60</f>
        <v>0</v>
      </c>
      <c r="E56" s="95">
        <f>'DOE25'!H60</f>
        <v>0</v>
      </c>
      <c r="F56" s="95">
        <f>'DOE25'!I60</f>
        <v>0</v>
      </c>
      <c r="G56" s="95">
        <f>'DOE25'!J60</f>
        <v>0</v>
      </c>
      <c r="H56"/>
      <c r="I56"/>
    </row>
    <row r="57" spans="1:9" x14ac:dyDescent="0.2">
      <c r="A57" s="1" t="s">
        <v>164</v>
      </c>
      <c r="B57" s="6" t="s">
        <v>165</v>
      </c>
      <c r="C57" s="95">
        <f>'DOE25'!F79</f>
        <v>17820</v>
      </c>
      <c r="D57" s="24" t="s">
        <v>288</v>
      </c>
      <c r="E57" s="95">
        <f>'DOE25'!H79</f>
        <v>0</v>
      </c>
      <c r="F57" s="24" t="s">
        <v>288</v>
      </c>
      <c r="G57" s="24" t="s">
        <v>288</v>
      </c>
      <c r="H57"/>
      <c r="I57"/>
    </row>
    <row r="58" spans="1:9" x14ac:dyDescent="0.2">
      <c r="A58" s="1" t="s">
        <v>166</v>
      </c>
      <c r="B58" s="6" t="s">
        <v>167</v>
      </c>
      <c r="C58" s="95">
        <f>'DOE25'!F94</f>
        <v>44841.94</v>
      </c>
      <c r="D58" s="24" t="s">
        <v>288</v>
      </c>
      <c r="E58" s="95">
        <f>'DOE25'!H94</f>
        <v>0</v>
      </c>
      <c r="F58" s="24" t="s">
        <v>288</v>
      </c>
      <c r="G58" s="24" t="s">
        <v>288</v>
      </c>
      <c r="H58"/>
      <c r="I58"/>
    </row>
    <row r="59" spans="1:9" x14ac:dyDescent="0.2">
      <c r="A59" s="69" t="s">
        <v>168</v>
      </c>
      <c r="B59" s="37" t="s">
        <v>169</v>
      </c>
      <c r="C59" s="95">
        <f>'DOE25'!F96</f>
        <v>1913.01</v>
      </c>
      <c r="D59" s="95">
        <f>'DOE25'!G96</f>
        <v>0</v>
      </c>
      <c r="E59" s="95">
        <f>'DOE25'!H96</f>
        <v>0</v>
      </c>
      <c r="F59" s="95">
        <f>'DOE25'!I96</f>
        <v>0</v>
      </c>
      <c r="G59" s="95">
        <f>'DOE25'!J96</f>
        <v>1600.04</v>
      </c>
      <c r="H59"/>
      <c r="I59"/>
    </row>
    <row r="60" spans="1:9" x14ac:dyDescent="0.2">
      <c r="A60" s="1" t="s">
        <v>170</v>
      </c>
      <c r="B60" s="118" t="s">
        <v>171</v>
      </c>
      <c r="C60" s="24" t="s">
        <v>288</v>
      </c>
      <c r="D60" s="95">
        <f>'DOE25'!G97</f>
        <v>67852.490000000005</v>
      </c>
      <c r="E60" s="24" t="s">
        <v>288</v>
      </c>
      <c r="F60" s="24" t="s">
        <v>288</v>
      </c>
      <c r="G60" s="24" t="s">
        <v>288</v>
      </c>
      <c r="H60"/>
      <c r="I60"/>
    </row>
    <row r="61" spans="1:9" ht="12" thickBot="1" x14ac:dyDescent="0.25">
      <c r="A61" s="1" t="s">
        <v>172</v>
      </c>
      <c r="B61" s="118" t="s">
        <v>173</v>
      </c>
      <c r="C61" s="95">
        <f>SUM('DOE25'!F98:F110)</f>
        <v>31492.25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96067.200000000012</v>
      </c>
      <c r="D62" s="130">
        <f>SUM(D57:D61)</f>
        <v>67852.490000000005</v>
      </c>
      <c r="E62" s="130">
        <f>SUM(E57:E61)</f>
        <v>0</v>
      </c>
      <c r="F62" s="130">
        <f>SUM(F57:F61)</f>
        <v>0</v>
      </c>
      <c r="G62" s="130">
        <f>SUM(G57:G61)</f>
        <v>1600.04</v>
      </c>
      <c r="H62"/>
      <c r="I62"/>
    </row>
    <row r="63" spans="1:9" ht="12" thickTop="1" x14ac:dyDescent="0.2">
      <c r="A63" s="29" t="s">
        <v>175</v>
      </c>
      <c r="B63" s="6"/>
      <c r="C63" s="22">
        <f>C56+C62</f>
        <v>5053703.2</v>
      </c>
      <c r="D63" s="22">
        <f>D56+D62</f>
        <v>67852.490000000005</v>
      </c>
      <c r="E63" s="22">
        <f>E56+E62</f>
        <v>0</v>
      </c>
      <c r="F63" s="22">
        <f>F56+F62</f>
        <v>0</v>
      </c>
      <c r="G63" s="22">
        <f>G56+G62</f>
        <v>1600.04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1727799.41</v>
      </c>
      <c r="D66" s="24" t="s">
        <v>288</v>
      </c>
      <c r="E66" s="24" t="s">
        <v>288</v>
      </c>
      <c r="F66" s="24" t="s">
        <v>288</v>
      </c>
      <c r="G66" s="24" t="s">
        <v>288</v>
      </c>
      <c r="H66"/>
      <c r="I66"/>
    </row>
    <row r="67" spans="1:9" x14ac:dyDescent="0.2">
      <c r="A67" s="1" t="s">
        <v>770</v>
      </c>
      <c r="B67" s="6">
        <v>3112</v>
      </c>
      <c r="C67" s="95">
        <f>'DOE25'!F118</f>
        <v>661545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2389344.41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146510.65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2811.88</v>
      </c>
      <c r="E77" s="95">
        <f>SUM('DOE25'!H131:H135)</f>
        <v>16000</v>
      </c>
      <c r="F77" s="95">
        <f>SUM('DOE25'!I131:I135)</f>
        <v>0</v>
      </c>
      <c r="G77" s="95">
        <f>SUM('DOE25'!J131:J135)</f>
        <v>0</v>
      </c>
      <c r="H77"/>
      <c r="I77"/>
    </row>
    <row r="78" spans="1:9" ht="12.75" thickTop="1" thickBot="1" x14ac:dyDescent="0.25">
      <c r="A78" s="29" t="s">
        <v>259</v>
      </c>
      <c r="B78" s="6"/>
      <c r="C78" s="130">
        <f>SUM(C72:C77)</f>
        <v>146510.65</v>
      </c>
      <c r="D78" s="130">
        <f>SUM(D72:D77)</f>
        <v>2811.88</v>
      </c>
      <c r="E78" s="130">
        <f>SUM(E72:E77)</f>
        <v>16000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2535855.06</v>
      </c>
      <c r="D81" s="130">
        <f>SUM(D79:D80)+D78+D70</f>
        <v>2811.88</v>
      </c>
      <c r="E81" s="130">
        <f>SUM(E79:E80)+E78+E70</f>
        <v>16000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6640.55</v>
      </c>
      <c r="D88" s="341">
        <f>SUM('DOE25'!G153:G162)</f>
        <v>123517.13</v>
      </c>
      <c r="E88" s="341">
        <f>SUM('DOE25'!H153:H162)</f>
        <v>197728.77000000002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6640.55</v>
      </c>
      <c r="D91" s="131">
        <f>SUM(D85:D90)</f>
        <v>123517.13</v>
      </c>
      <c r="E91" s="131">
        <f>SUM(E85:E90)</f>
        <v>197728.77000000002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7596198.8099999996</v>
      </c>
      <c r="D104" s="86">
        <f>D63+D81+D91+D103</f>
        <v>194181.5</v>
      </c>
      <c r="E104" s="86">
        <f>E63+E81+E91+E103</f>
        <v>213728.77000000002</v>
      </c>
      <c r="F104" s="86">
        <f>F63+F81+F91+F103</f>
        <v>0</v>
      </c>
      <c r="G104" s="86">
        <f>G63+G81+G103</f>
        <v>1600.04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3222662.49</v>
      </c>
      <c r="D109" s="24" t="s">
        <v>288</v>
      </c>
      <c r="E109" s="95">
        <f>('DOE25'!L277)+('DOE25'!L296)+('DOE25'!L315)</f>
        <v>91928.989999999991</v>
      </c>
      <c r="F109" s="24" t="s">
        <v>288</v>
      </c>
      <c r="G109" s="24" t="s">
        <v>288</v>
      </c>
    </row>
    <row r="110" spans="1:7" x14ac:dyDescent="0.2">
      <c r="A110" t="s">
        <v>198</v>
      </c>
      <c r="B110" s="32" t="s">
        <v>199</v>
      </c>
      <c r="C110" s="95">
        <f>('DOE25'!L199)+('DOE25'!L217)+('DOE25'!L235)</f>
        <v>1474600.6600000001</v>
      </c>
      <c r="D110" s="24" t="s">
        <v>288</v>
      </c>
      <c r="E110" s="95">
        <f>('DOE25'!L278)+('DOE25'!L297)+('DOE25'!L316)</f>
        <v>64226.029999999992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24244.1</v>
      </c>
      <c r="D112" s="24" t="s">
        <v>288</v>
      </c>
      <c r="E112" s="95">
        <f>+('DOE25'!L280)+('DOE25'!L299)+('DOE25'!L318)</f>
        <v>180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4721507.25</v>
      </c>
      <c r="D115" s="86">
        <f>SUM(D109:D114)</f>
        <v>0</v>
      </c>
      <c r="E115" s="86">
        <f>SUM(E109:E114)</f>
        <v>156335.01999999999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638258.49</v>
      </c>
      <c r="D118" s="24" t="s">
        <v>288</v>
      </c>
      <c r="E118" s="95">
        <f>+('DOE25'!L282)+('DOE25'!L301)+('DOE25'!L320)</f>
        <v>0</v>
      </c>
      <c r="F118" s="24" t="s">
        <v>288</v>
      </c>
      <c r="G118" s="24" t="s">
        <v>288</v>
      </c>
    </row>
    <row r="119" spans="1:7" x14ac:dyDescent="0.2">
      <c r="A119" t="s">
        <v>208</v>
      </c>
      <c r="B119" s="32" t="s">
        <v>209</v>
      </c>
      <c r="C119" s="95">
        <f>('DOE25'!L204)+('DOE25'!L222)+('DOE25'!L240)</f>
        <v>389955.42</v>
      </c>
      <c r="D119" s="24" t="s">
        <v>288</v>
      </c>
      <c r="E119" s="95">
        <f>+('DOE25'!L283)+('DOE25'!L302)+('DOE25'!L321)</f>
        <v>38652.119999999995</v>
      </c>
      <c r="F119" s="24" t="s">
        <v>288</v>
      </c>
      <c r="G119" s="24" t="s">
        <v>288</v>
      </c>
    </row>
    <row r="120" spans="1:7" x14ac:dyDescent="0.2">
      <c r="A120" t="s">
        <v>210</v>
      </c>
      <c r="B120" s="32" t="s">
        <v>211</v>
      </c>
      <c r="C120" s="95">
        <f>('DOE25'!L205)+('DOE25'!L223)+('DOE25'!L241)</f>
        <v>279592.61</v>
      </c>
      <c r="D120" s="24" t="s">
        <v>288</v>
      </c>
      <c r="E120" s="95">
        <f>+('DOE25'!L284)+('DOE25'!L303)+('DOE25'!L322)</f>
        <v>0</v>
      </c>
      <c r="F120" s="24" t="s">
        <v>288</v>
      </c>
      <c r="G120" s="24" t="s">
        <v>288</v>
      </c>
    </row>
    <row r="121" spans="1:7" x14ac:dyDescent="0.2">
      <c r="A121" t="s">
        <v>212</v>
      </c>
      <c r="B121" s="32" t="s">
        <v>213</v>
      </c>
      <c r="C121" s="95">
        <f>('DOE25'!L206)+('DOE25'!L224)+('DOE25'!L242)</f>
        <v>505806.09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666216.98</v>
      </c>
      <c r="D123" s="24" t="s">
        <v>288</v>
      </c>
      <c r="E123" s="95">
        <f>+('DOE25'!L287)+('DOE25'!L306)+('DOE25'!L325)</f>
        <v>16000</v>
      </c>
      <c r="F123" s="24" t="s">
        <v>288</v>
      </c>
      <c r="G123" s="24" t="s">
        <v>288</v>
      </c>
    </row>
    <row r="124" spans="1:7" x14ac:dyDescent="0.2">
      <c r="A124" t="s">
        <v>218</v>
      </c>
      <c r="B124" s="32" t="s">
        <v>219</v>
      </c>
      <c r="C124" s="95">
        <f>('DOE25'!L209)+('DOE25'!L227)+('DOE25'!L245+'DOE25'!L255)</f>
        <v>396588.64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184472.86999999997</v>
      </c>
      <c r="E127" s="24" t="s">
        <v>288</v>
      </c>
      <c r="F127" s="24" t="s">
        <v>288</v>
      </c>
      <c r="G127" s="24" t="s">
        <v>288</v>
      </c>
    </row>
    <row r="128" spans="1:7" ht="12.75" thickTop="1" thickBot="1" x14ac:dyDescent="0.25">
      <c r="A128" s="33" t="s">
        <v>226</v>
      </c>
      <c r="C128" s="86">
        <f>SUM(C118:C127)</f>
        <v>2876418.23</v>
      </c>
      <c r="D128" s="86">
        <f>SUM(D118:D127)</f>
        <v>184472.86999999997</v>
      </c>
      <c r="E128" s="86">
        <f>SUM(E118:E127)</f>
        <v>54652.119999999995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2921.63</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1600.0400000000002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-1600.0400000000002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2921.63</v>
      </c>
      <c r="F144" s="141">
        <f>SUM(F130:F143)</f>
        <v>0</v>
      </c>
      <c r="G144" s="141">
        <f>SUM(G130:G143)</f>
        <v>0</v>
      </c>
    </row>
    <row r="145" spans="1:9" ht="12.75" thickTop="1" thickBot="1" x14ac:dyDescent="0.25">
      <c r="A145" s="33" t="s">
        <v>244</v>
      </c>
      <c r="C145" s="86">
        <f>(C115+C128+C144)</f>
        <v>7597925.4800000004</v>
      </c>
      <c r="D145" s="86">
        <f>(D115+D128+D144)</f>
        <v>184472.86999999997</v>
      </c>
      <c r="E145" s="86">
        <f>(E115+E128+E144)</f>
        <v>213908.77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t="str">
        <f>'DOE25'!F492</f>
        <v>0</v>
      </c>
      <c r="C152" s="152" t="str">
        <f>'DOE25'!G492</f>
        <v>0</v>
      </c>
      <c r="D152" s="152" t="str">
        <f>'DOE25'!H492</f>
        <v>0</v>
      </c>
      <c r="E152" s="152" t="str">
        <f>'DOE25'!I492</f>
        <v>0</v>
      </c>
      <c r="F152" s="152" t="str">
        <f>'DOE25'!J492</f>
        <v>0</v>
      </c>
      <c r="G152" s="24" t="s">
        <v>288</v>
      </c>
    </row>
    <row r="153" spans="1:9" x14ac:dyDescent="0.2">
      <c r="A153" s="136" t="s">
        <v>29</v>
      </c>
      <c r="B153" s="152" t="str">
        <f>'DOE25'!F493</f>
        <v>0</v>
      </c>
      <c r="C153" s="152" t="str">
        <f>'DOE25'!G493</f>
        <v>0</v>
      </c>
      <c r="D153" s="152" t="str">
        <f>'DOE25'!H493</f>
        <v>0</v>
      </c>
      <c r="E153" s="152" t="str">
        <f>'DOE25'!I493</f>
        <v>0</v>
      </c>
      <c r="F153" s="152" t="str">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Henniker School District</v>
      </c>
    </row>
    <row r="3" spans="1:4" x14ac:dyDescent="0.2">
      <c r="B3" s="188" t="s">
        <v>1587</v>
      </c>
    </row>
    <row r="4" spans="1:4" x14ac:dyDescent="0.2">
      <c r="B4" t="s">
        <v>61</v>
      </c>
      <c r="C4" s="179">
        <f>IF('DOE25'!F666+'DOE25'!F671=0,0,ROUND('DOE25'!F673,0))</f>
        <v>17252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17252</v>
      </c>
    </row>
    <row r="9" spans="1:4" x14ac:dyDescent="0.2">
      <c r="A9" s="187" t="s">
        <v>94</v>
      </c>
      <c r="B9" s="188" t="s">
        <v>1588</v>
      </c>
      <c r="C9" s="181" t="s">
        <v>720</v>
      </c>
      <c r="D9" s="181" t="s">
        <v>721</v>
      </c>
    </row>
    <row r="10" spans="1:4" x14ac:dyDescent="0.2">
      <c r="A10">
        <v>1100</v>
      </c>
      <c r="B10" t="s">
        <v>702</v>
      </c>
      <c r="C10" s="179">
        <f>ROUND('DOE25'!L198+'DOE25'!L216+'DOE25'!L234+'DOE25'!L277+'DOE25'!L296+'DOE25'!L315,0)</f>
        <v>3314591</v>
      </c>
      <c r="D10" s="182">
        <f>ROUND((C10/$C$28)*100,1)</f>
        <v>41.8</v>
      </c>
    </row>
    <row r="11" spans="1:4" x14ac:dyDescent="0.2">
      <c r="A11">
        <v>1200</v>
      </c>
      <c r="B11" t="s">
        <v>703</v>
      </c>
      <c r="C11" s="179">
        <f>ROUND('DOE25'!L199+'DOE25'!L217+'DOE25'!L235+'DOE25'!L278+'DOE25'!L297+'DOE25'!L316,0)</f>
        <v>1538827</v>
      </c>
      <c r="D11" s="182">
        <f>ROUND((C11/$C$28)*100,1)</f>
        <v>19.399999999999999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24424</v>
      </c>
      <c r="D13" s="182">
        <f>ROUND((C13/$C$28)*100,1)</f>
        <v>0.3</v>
      </c>
    </row>
    <row r="14" spans="1:4" x14ac:dyDescent="0.2">
      <c r="D14" s="182"/>
    </row>
    <row r="15" spans="1:4" x14ac:dyDescent="0.2">
      <c r="A15">
        <v>2100</v>
      </c>
      <c r="B15" t="s">
        <v>706</v>
      </c>
      <c r="C15" s="179">
        <f>ROUND('DOE25'!L203+'DOE25'!L221+'DOE25'!L239+'DOE25'!L282+'DOE25'!L301+'DOE25'!L320,0)</f>
        <v>638258</v>
      </c>
      <c r="D15" s="182">
        <f t="shared" ref="D15:D27" si="0">ROUND((C15/$C$28)*100,1)</f>
        <v>8.1</v>
      </c>
    </row>
    <row r="16" spans="1:4" x14ac:dyDescent="0.2">
      <c r="A16">
        <v>2200</v>
      </c>
      <c r="B16" t="s">
        <v>707</v>
      </c>
      <c r="C16" s="179">
        <f>ROUND('DOE25'!L204+'DOE25'!L222+'DOE25'!L240+'DOE25'!L283+'DOE25'!L302+'DOE25'!L321,0)</f>
        <v>428608</v>
      </c>
      <c r="D16" s="182">
        <f t="shared" si="0"/>
        <v>5.4</v>
      </c>
    </row>
    <row r="17" spans="1:4" x14ac:dyDescent="0.2">
      <c r="A17" s="183" t="s">
        <v>723</v>
      </c>
      <c r="B17" t="s">
        <v>738</v>
      </c>
      <c r="C17" s="179">
        <f>ROUND('DOE25'!L205+'DOE25'!L210+'DOE25'!L223+'DOE25'!L228+'DOE25'!L241+'DOE25'!L246+'DOE25'!L284+'DOE25'!L289+'DOE25'!L303+'DOE25'!L308+'DOE25'!L322+'DOE25'!L327,0)</f>
        <v>279593</v>
      </c>
      <c r="D17" s="182">
        <f t="shared" si="0"/>
        <v>3.5</v>
      </c>
    </row>
    <row r="18" spans="1:4" x14ac:dyDescent="0.2">
      <c r="A18">
        <v>2400</v>
      </c>
      <c r="B18" t="s">
        <v>711</v>
      </c>
      <c r="C18" s="179">
        <f>ROUND('DOE25'!L206+'DOE25'!L224+'DOE25'!L242+'DOE25'!L285+'DOE25'!L304+'DOE25'!L323,0)</f>
        <v>505806</v>
      </c>
      <c r="D18" s="182">
        <f t="shared" si="0"/>
        <v>6.4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682217</v>
      </c>
      <c r="D20" s="182">
        <f t="shared" si="0"/>
        <v>8.6</v>
      </c>
    </row>
    <row r="21" spans="1:4" x14ac:dyDescent="0.2">
      <c r="A21">
        <v>2700</v>
      </c>
      <c r="B21" t="s">
        <v>710</v>
      </c>
      <c r="C21" s="179">
        <f>ROUND('DOE25'!L209+'DOE25'!L227+'DOE25'!L245+'DOE25'!L288+'DOE25'!L307+'DOE25'!L326,0)</f>
        <v>396589</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116620.51</v>
      </c>
      <c r="D27" s="182">
        <f t="shared" si="0"/>
        <v>1.5</v>
      </c>
    </row>
    <row r="28" spans="1:4" x14ac:dyDescent="0.2">
      <c r="B28" s="187" t="s">
        <v>719</v>
      </c>
      <c r="C28" s="180">
        <f>SUM(C10:C27)</f>
        <v>7925533.5099999998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7925533.5099999998</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4957636</v>
      </c>
      <c r="D35" s="182">
        <f t="shared" ref="D35:D40" si="1">ROUND((C35/$C$41)*100,1)</f>
        <v>62.5</v>
      </c>
    </row>
    <row r="36" spans="1:4" x14ac:dyDescent="0.2">
      <c r="B36" s="185" t="s">
        <v>739</v>
      </c>
      <c r="C36" s="179">
        <f>SUM('DOE25'!F112:J112)-SUM('DOE25'!G97:G110)+('DOE25'!F175+'DOE25'!F176+'DOE25'!I175+'DOE25'!I176)-C35</f>
        <v>97667.240000000224</v>
      </c>
      <c r="D36" s="182">
        <f t="shared" si="1"/>
        <v>1.2</v>
      </c>
    </row>
    <row r="37" spans="1:4" x14ac:dyDescent="0.2">
      <c r="A37" s="183" t="s">
        <v>835</v>
      </c>
      <c r="B37" s="185" t="s">
        <v>728</v>
      </c>
      <c r="C37" s="179">
        <f>ROUND('DOE25'!F117+'DOE25'!F118,0)</f>
        <v>2389344</v>
      </c>
      <c r="D37" s="182">
        <f t="shared" si="1"/>
        <v>30.1</v>
      </c>
    </row>
    <row r="38" spans="1:4" x14ac:dyDescent="0.2">
      <c r="A38" s="183" t="s">
        <v>734</v>
      </c>
      <c r="B38" s="185" t="s">
        <v>729</v>
      </c>
      <c r="C38" s="179">
        <f>ROUND(SUM('DOE25'!F140:J140)-SUM('DOE25'!F117:F119),0)</f>
        <v>165323</v>
      </c>
      <c r="D38" s="182">
        <f t="shared" si="1"/>
        <v>2.1</v>
      </c>
    </row>
    <row r="39" spans="1:4" x14ac:dyDescent="0.2">
      <c r="A39">
        <v>4000</v>
      </c>
      <c r="B39" s="185" t="s">
        <v>730</v>
      </c>
      <c r="C39" s="179">
        <f>ROUND('DOE25'!F170+'DOE25'!G170+'DOE25'!H170+'DOE25'!I170,0)</f>
        <v>327886</v>
      </c>
      <c r="D39" s="182">
        <f t="shared" si="1"/>
        <v>4.0999999999999996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7937856.2400000002</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Henniker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2020-11-20T15:22:52Z</cp:lastPrinted>
  <dcterms:created xsi:type="dcterms:W3CDTF">1997-12-04T19:04:30Z</dcterms:created>
  <dcterms:modified xsi:type="dcterms:W3CDTF">2020-12-09T19:02:39Z</dcterms:modified>
</cp:coreProperties>
</file>