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18285" windowHeight="1167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G534" i="1" l="1"/>
  <c r="G533" i="1"/>
  <c r="G532" i="1"/>
  <c r="F534" i="1"/>
  <c r="F533" i="1"/>
  <c r="F532" i="1"/>
  <c r="G524" i="1"/>
  <c r="G523" i="1"/>
  <c r="G522" i="1"/>
  <c r="F524" i="1"/>
  <c r="F523" i="1"/>
  <c r="F522" i="1"/>
  <c r="F529" i="1" l="1"/>
  <c r="F528" i="1"/>
  <c r="F527" i="1"/>
  <c r="J524" i="1"/>
  <c r="I524" i="1"/>
  <c r="H524" i="1"/>
  <c r="I523" i="1"/>
  <c r="H523" i="1"/>
  <c r="K522" i="1"/>
  <c r="J522" i="1"/>
  <c r="I522" i="1"/>
  <c r="H522" i="1"/>
  <c r="F466" i="1" l="1"/>
  <c r="F25" i="1" l="1"/>
  <c r="F24" i="1"/>
  <c r="D38" i="14" l="1"/>
  <c r="D11" i="13"/>
  <c r="C19" i="12" l="1"/>
  <c r="B19" i="12"/>
  <c r="J466" i="1" l="1"/>
  <c r="J469" i="1"/>
  <c r="F9" i="1" l="1"/>
  <c r="F68" i="1" l="1"/>
  <c r="H466" i="1" l="1"/>
  <c r="H24" i="1"/>
  <c r="H12" i="1"/>
  <c r="G466" i="1"/>
  <c r="J605" i="1"/>
  <c r="I605" i="1"/>
  <c r="H605" i="1"/>
  <c r="I361" i="1"/>
  <c r="I360" i="1"/>
  <c r="I359" i="1"/>
  <c r="G158" i="1"/>
  <c r="G97" i="1"/>
  <c r="H593" i="1" l="1"/>
  <c r="J96" i="1"/>
  <c r="J473" i="1"/>
  <c r="H424" i="1"/>
  <c r="H209" i="1" l="1"/>
  <c r="H245" i="1"/>
  <c r="H244" i="1"/>
  <c r="H240" i="1"/>
  <c r="G239" i="1"/>
  <c r="F239" i="1"/>
  <c r="H227" i="1"/>
  <c r="H222" i="1"/>
  <c r="I217" i="1"/>
  <c r="F199" i="1"/>
  <c r="G199" i="1"/>
  <c r="G205" i="1" l="1"/>
  <c r="H199" i="1"/>
  <c r="H205" i="1"/>
  <c r="F203" i="1"/>
  <c r="G361" i="1" l="1"/>
  <c r="F361" i="1"/>
  <c r="G360" i="1"/>
  <c r="F360" i="1"/>
  <c r="G359" i="1"/>
  <c r="F359" i="1"/>
  <c r="H217" i="1" l="1"/>
  <c r="I240" i="1"/>
  <c r="I234" i="1" l="1"/>
  <c r="H234" i="1"/>
  <c r="G234" i="1"/>
  <c r="F234" i="1"/>
  <c r="K234" i="1"/>
  <c r="J216" i="1"/>
  <c r="K216" i="1"/>
  <c r="I216" i="1" l="1"/>
  <c r="H216" i="1"/>
  <c r="G216" i="1"/>
  <c r="F216" i="1"/>
  <c r="K203" i="1"/>
  <c r="J198" i="1"/>
  <c r="I198" i="1"/>
  <c r="H198" i="1"/>
  <c r="G198" i="1"/>
  <c r="F198" i="1"/>
  <c r="I244" i="1" l="1"/>
  <c r="H241" i="1"/>
  <c r="G241" i="1"/>
  <c r="J240" i="1"/>
  <c r="G240" i="1"/>
  <c r="F240" i="1"/>
  <c r="K240" i="1"/>
  <c r="H239" i="1"/>
  <c r="I239" i="1"/>
  <c r="H235" i="1"/>
  <c r="H223" i="1"/>
  <c r="G223" i="1"/>
  <c r="J222" i="1"/>
  <c r="I222" i="1"/>
  <c r="G222" i="1"/>
  <c r="F222" i="1"/>
  <c r="H221" i="1"/>
  <c r="G221" i="1"/>
  <c r="F221" i="1"/>
  <c r="I221" i="1"/>
  <c r="J204" i="1" l="1"/>
  <c r="I204" i="1"/>
  <c r="H204" i="1"/>
  <c r="G204" i="1"/>
  <c r="F204" i="1"/>
  <c r="H203" i="1" l="1"/>
  <c r="G203" i="1"/>
  <c r="I203" i="1"/>
  <c r="G237" i="1" l="1"/>
  <c r="F237" i="1"/>
  <c r="K237" i="1" l="1"/>
  <c r="J237" i="1"/>
  <c r="I237" i="1"/>
  <c r="G235" i="1"/>
  <c r="I235" i="1"/>
  <c r="F235" i="1"/>
  <c r="J235" i="1"/>
  <c r="H219" i="1" l="1"/>
  <c r="G219" i="1"/>
  <c r="F219" i="1"/>
  <c r="G217" i="1"/>
  <c r="F217" i="1"/>
  <c r="J199" i="1" l="1"/>
  <c r="K199" i="1"/>
  <c r="I19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2" i="14" l="1"/>
  <c r="A2" i="14"/>
  <c r="F33" i="13" l="1"/>
  <c r="C45" i="2" l="1"/>
  <c r="C37" i="10" l="1"/>
  <c r="F40" i="2" l="1"/>
  <c r="G656"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G29" i="13"/>
  <c r="H29" i="13"/>
  <c r="L359" i="1"/>
  <c r="L360" i="1"/>
  <c r="L361" i="1"/>
  <c r="I368" i="1"/>
  <c r="J291" i="1"/>
  <c r="J310" i="1"/>
  <c r="J329" i="1"/>
  <c r="K291" i="1"/>
  <c r="K310" i="1"/>
  <c r="K329" i="1"/>
  <c r="L277" i="1"/>
  <c r="L278" i="1"/>
  <c r="L279" i="1"/>
  <c r="E111" i="2" s="1"/>
  <c r="L280" i="1"/>
  <c r="L282" i="1"/>
  <c r="L283" i="1"/>
  <c r="L284" i="1"/>
  <c r="E120" i="2" s="1"/>
  <c r="L285" i="1"/>
  <c r="L286" i="1"/>
  <c r="L287" i="1"/>
  <c r="L288" i="1"/>
  <c r="E124" i="2" s="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H663" i="1" s="1"/>
  <c r="L327" i="1"/>
  <c r="L334" i="1"/>
  <c r="L335" i="1"/>
  <c r="L336" i="1"/>
  <c r="L261" i="1"/>
  <c r="C131" i="2" s="1"/>
  <c r="L262" i="1"/>
  <c r="C132" i="2" s="1"/>
  <c r="L342" i="1"/>
  <c r="L343" i="1"/>
  <c r="E132" i="2" s="1"/>
  <c r="L256" i="1"/>
  <c r="L337" i="1"/>
  <c r="E130" i="2" s="1"/>
  <c r="C11" i="13"/>
  <c r="C10" i="13"/>
  <c r="C9" i="13"/>
  <c r="L362" i="1"/>
  <c r="B4" i="12"/>
  <c r="B36" i="12"/>
  <c r="A40" i="12" s="1"/>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56" i="2" s="1"/>
  <c r="F79" i="1"/>
  <c r="C57" i="2" s="1"/>
  <c r="F94" i="1"/>
  <c r="C58" i="2" s="1"/>
  <c r="F111" i="1"/>
  <c r="G111" i="1"/>
  <c r="H79" i="1"/>
  <c r="H94" i="1"/>
  <c r="E58" i="2" s="1"/>
  <c r="H111" i="1"/>
  <c r="I111" i="1"/>
  <c r="I112" i="1" s="1"/>
  <c r="J111" i="1"/>
  <c r="J112" i="1" s="1"/>
  <c r="F121" i="1"/>
  <c r="F136" i="1"/>
  <c r="G121" i="1"/>
  <c r="G136" i="1"/>
  <c r="H121" i="1"/>
  <c r="H140" i="1" s="1"/>
  <c r="H136" i="1"/>
  <c r="I121" i="1"/>
  <c r="I136" i="1"/>
  <c r="J121" i="1"/>
  <c r="J140" i="1" s="1"/>
  <c r="J136" i="1"/>
  <c r="F147" i="1"/>
  <c r="F170" i="1" s="1"/>
  <c r="G147" i="1"/>
  <c r="D85" i="2" s="1"/>
  <c r="H147" i="1"/>
  <c r="H170" i="1" s="1"/>
  <c r="I147" i="1"/>
  <c r="L251" i="1"/>
  <c r="C113" i="2" s="1"/>
  <c r="L333" i="1"/>
  <c r="E113" i="2" s="1"/>
  <c r="L255" i="1"/>
  <c r="L269" i="1"/>
  <c r="L270" i="1"/>
  <c r="C143" i="2" s="1"/>
  <c r="L350" i="1"/>
  <c r="E142" i="2" s="1"/>
  <c r="L351" i="1"/>
  <c r="E143" i="2" s="1"/>
  <c r="I666" i="1"/>
  <c r="I671"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E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C112" i="2"/>
  <c r="D115" i="2"/>
  <c r="F115" i="2"/>
  <c r="G115" i="2"/>
  <c r="E119" i="2"/>
  <c r="E123"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H19" i="1"/>
  <c r="I19" i="1"/>
  <c r="G621" i="1" s="1"/>
  <c r="F32" i="1"/>
  <c r="G32" i="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H631" i="1"/>
  <c r="H632" i="1"/>
  <c r="H637" i="1"/>
  <c r="H638" i="1"/>
  <c r="H639" i="1"/>
  <c r="G644" i="1"/>
  <c r="G645" i="1"/>
  <c r="G651" i="1"/>
  <c r="G653" i="1"/>
  <c r="H653" i="1"/>
  <c r="G654" i="1"/>
  <c r="H654" i="1"/>
  <c r="G655" i="1"/>
  <c r="H655" i="1"/>
  <c r="H656" i="1"/>
  <c r="J656" i="1" s="1"/>
  <c r="I170" i="1"/>
  <c r="A31" i="12" l="1"/>
  <c r="E114" i="2"/>
  <c r="C85" i="2"/>
  <c r="D18" i="13"/>
  <c r="C18" i="13" s="1"/>
  <c r="G62" i="2"/>
  <c r="G618" i="1"/>
  <c r="E13" i="13"/>
  <c r="C13" i="13" s="1"/>
  <c r="E85" i="2"/>
  <c r="G620" i="1"/>
  <c r="H48" i="1"/>
  <c r="H462" i="1"/>
  <c r="H642" i="1" s="1"/>
  <c r="J642" i="1" s="1"/>
  <c r="G40" i="1"/>
  <c r="J652" i="1"/>
  <c r="H409" i="1"/>
  <c r="H645" i="1" s="1"/>
  <c r="G646" i="1"/>
  <c r="I409" i="1"/>
  <c r="L257" i="1"/>
  <c r="H193" i="1"/>
  <c r="E125" i="2"/>
  <c r="E121" i="2"/>
  <c r="J572" i="1"/>
  <c r="D15" i="13"/>
  <c r="C15" i="13" s="1"/>
  <c r="C120" i="2"/>
  <c r="G339" i="1"/>
  <c r="G353" i="1" s="1"/>
  <c r="G662" i="1"/>
  <c r="C20" i="10"/>
  <c r="C13" i="10"/>
  <c r="C12" i="10"/>
  <c r="C121" i="2"/>
  <c r="F258" i="1"/>
  <c r="F272" i="1" s="1"/>
  <c r="C110" i="2"/>
  <c r="J258" i="1"/>
  <c r="C119" i="2"/>
  <c r="D6" i="13"/>
  <c r="C6" i="13" s="1"/>
  <c r="C11" i="10"/>
  <c r="G409" i="1"/>
  <c r="H646" i="1" s="1"/>
  <c r="H112" i="1"/>
  <c r="L402" i="1"/>
  <c r="C139" i="2" s="1"/>
  <c r="E112" i="2"/>
  <c r="K339" i="1"/>
  <c r="K353" i="1" s="1"/>
  <c r="C91" i="2"/>
  <c r="G553" i="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28" i="16"/>
  <c r="L329" i="1"/>
  <c r="E122" i="2"/>
  <c r="L291" i="1"/>
  <c r="L615" i="1"/>
  <c r="K599" i="1"/>
  <c r="G648" i="1" s="1"/>
  <c r="K572" i="1"/>
  <c r="L571" i="1"/>
  <c r="H572" i="1"/>
  <c r="L566" i="1"/>
  <c r="I572" i="1"/>
  <c r="K546" i="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D25" i="14" s="1"/>
  <c r="F25" i="14" s="1"/>
  <c r="F24" i="14" s="1"/>
  <c r="L338" i="1"/>
  <c r="F62" i="2"/>
  <c r="F63" i="2" s="1"/>
  <c r="C23" i="10"/>
  <c r="G163" i="2"/>
  <c r="G162" i="2"/>
  <c r="G160" i="2"/>
  <c r="G159" i="2"/>
  <c r="G158" i="2"/>
  <c r="G103" i="2"/>
  <c r="F103" i="2"/>
  <c r="C103" i="2"/>
  <c r="F91"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140" i="1"/>
  <c r="B11" i="16" s="1"/>
  <c r="F140" i="1"/>
  <c r="G63" i="2"/>
  <c r="G42" i="2"/>
  <c r="G50" i="2" s="1"/>
  <c r="J51" i="1"/>
  <c r="G16" i="2"/>
  <c r="G18" i="2" s="1"/>
  <c r="J19" i="1"/>
  <c r="G622" i="1" s="1"/>
  <c r="F546" i="1"/>
  <c r="H435" i="1"/>
  <c r="D103" i="2"/>
  <c r="I140" i="1"/>
  <c r="A22" i="12"/>
  <c r="J653" i="1"/>
  <c r="G572" i="1"/>
  <c r="I435" i="1"/>
  <c r="G435" i="1"/>
  <c r="I664" i="1"/>
  <c r="E115" i="2" l="1"/>
  <c r="E128" i="2"/>
  <c r="J646" i="1"/>
  <c r="L572" i="1"/>
  <c r="F51" i="1"/>
  <c r="C49" i="2"/>
  <c r="C50" i="2" s="1"/>
  <c r="C51" i="2" s="1"/>
  <c r="C81" i="2"/>
  <c r="E47" i="2"/>
  <c r="E50" i="2" s="1"/>
  <c r="H51" i="1"/>
  <c r="G51" i="1"/>
  <c r="D39" i="2"/>
  <c r="D50" i="2" s="1"/>
  <c r="E51" i="2"/>
  <c r="B17" i="16"/>
  <c r="B19" i="16" s="1"/>
  <c r="G473" i="1"/>
  <c r="D51" i="2"/>
  <c r="G630" i="1"/>
  <c r="H469" i="1"/>
  <c r="F194" i="1"/>
  <c r="F469" i="1" s="1"/>
  <c r="G36" i="14"/>
  <c r="H649" i="1"/>
  <c r="J649" i="1" s="1"/>
  <c r="E145" i="2"/>
  <c r="F661" i="1"/>
  <c r="F665" i="1" s="1"/>
  <c r="F668" i="1" s="1"/>
  <c r="H661" i="1"/>
  <c r="H665" i="1" s="1"/>
  <c r="H668" i="1" s="1"/>
  <c r="J272" i="1"/>
  <c r="E104" i="2"/>
  <c r="C36" i="10"/>
  <c r="L435" i="1"/>
  <c r="G639" i="1" s="1"/>
  <c r="J639" i="1" s="1"/>
  <c r="I662" i="1"/>
  <c r="G104" i="2"/>
  <c r="L339" i="1"/>
  <c r="L353" i="1" s="1"/>
  <c r="I194" i="1"/>
  <c r="G631" i="1" s="1"/>
  <c r="J631" i="1" s="1"/>
  <c r="G636" i="1"/>
  <c r="G51" i="2"/>
  <c r="D104" i="2"/>
  <c r="L409" i="1"/>
  <c r="C27" i="10"/>
  <c r="C28" i="10" s="1"/>
  <c r="D23" i="10" s="1"/>
  <c r="G4" i="14"/>
  <c r="L546" i="1"/>
  <c r="J626" i="1"/>
  <c r="F104" i="2"/>
  <c r="B14" i="16"/>
  <c r="E33" i="13"/>
  <c r="D35" i="13" s="1"/>
  <c r="J648" i="1"/>
  <c r="L258" i="1"/>
  <c r="C115" i="2"/>
  <c r="C63" i="2"/>
  <c r="C39" i="10"/>
  <c r="G33" i="13"/>
  <c r="C144" i="2"/>
  <c r="C128" i="2"/>
  <c r="D31" i="13"/>
  <c r="C31" i="13" s="1"/>
  <c r="I462" i="1"/>
  <c r="H643" i="1" s="1"/>
  <c r="J643" i="1" s="1"/>
  <c r="G661" i="1"/>
  <c r="G665" i="1" s="1"/>
  <c r="G673" i="1" s="1"/>
  <c r="C5" i="10" s="1"/>
  <c r="C25" i="13"/>
  <c r="I33" i="13"/>
  <c r="K553" i="1"/>
  <c r="H24" i="14"/>
  <c r="I24" i="14" s="1"/>
  <c r="G632" i="1"/>
  <c r="J632" i="1" s="1"/>
  <c r="G194" i="1"/>
  <c r="G627" i="1"/>
  <c r="J627" i="1" s="1"/>
  <c r="J52" i="1"/>
  <c r="H622" i="1" s="1"/>
  <c r="J622" i="1" s="1"/>
  <c r="C38" i="10"/>
  <c r="C104" i="2" l="1"/>
  <c r="D37" i="14"/>
  <c r="F37" i="14" s="1"/>
  <c r="F36" i="14" s="1"/>
  <c r="H36" i="14" s="1"/>
  <c r="I36" i="14" s="1"/>
  <c r="D5" i="14"/>
  <c r="F5" i="14" s="1"/>
  <c r="F4" i="14" s="1"/>
  <c r="H4" i="14" s="1"/>
  <c r="I4" i="14" s="1"/>
  <c r="G628" i="1"/>
  <c r="G623" i="1"/>
  <c r="F52" i="1"/>
  <c r="H618" i="1" s="1"/>
  <c r="J618" i="1" s="1"/>
  <c r="G624" i="1"/>
  <c r="G52" i="1"/>
  <c r="H619" i="1" s="1"/>
  <c r="J619" i="1" s="1"/>
  <c r="G625" i="1"/>
  <c r="H52" i="1"/>
  <c r="H620" i="1" s="1"/>
  <c r="J620" i="1" s="1"/>
  <c r="G629" i="1"/>
  <c r="G469" i="1"/>
  <c r="B22" i="16"/>
  <c r="G475" i="1"/>
  <c r="H636" i="1"/>
  <c r="J636" i="1" s="1"/>
  <c r="L272" i="1"/>
  <c r="G634" i="1"/>
  <c r="H473" i="1"/>
  <c r="H471" i="1"/>
  <c r="H630" i="1"/>
  <c r="J630" i="1" s="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G633" i="1" l="1"/>
  <c r="F473" i="1"/>
  <c r="F471" i="1"/>
  <c r="H628" i="1"/>
  <c r="J628" i="1" s="1"/>
  <c r="G471" i="1"/>
  <c r="G477" i="1" s="1"/>
  <c r="H629" i="1"/>
  <c r="J629" i="1" s="1"/>
  <c r="H475" i="1"/>
  <c r="H634" i="1"/>
  <c r="J634" i="1" s="1"/>
  <c r="H633" i="1"/>
  <c r="J633" i="1" s="1"/>
  <c r="F475" i="1"/>
  <c r="H477" i="1"/>
  <c r="H625" i="1" s="1"/>
  <c r="J625" i="1" s="1"/>
  <c r="I668" i="1"/>
  <c r="D28" i="10"/>
  <c r="D37" i="10"/>
  <c r="D36" i="10"/>
  <c r="D35" i="10"/>
  <c r="D40" i="10"/>
  <c r="D39" i="10"/>
  <c r="F477" i="1" l="1"/>
  <c r="H623" i="1" s="1"/>
  <c r="J623" i="1" s="1"/>
  <c r="H624" i="1"/>
  <c r="J624" i="1" s="1"/>
  <c r="B33" i="16"/>
  <c r="D41" i="10"/>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<sst xmlns="http://schemas.openxmlformats.org/spreadsheetml/2006/main" count="5549" uniqueCount="1643">
  <si>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</si>
  <si>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</si>
  <si>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</si>
  <si>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</si>
  <si>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</si>
  <si>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</si>
  <si>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</si>
  <si>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</si>
  <si>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</si>
  <si>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</si>
  <si>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</si>
  <si>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</si>
  <si>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</si>
  <si>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</si>
  <si>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</si>
  <si>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</si>
  <si>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</si>
  <si>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</si>
  <si>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</si>
  <si>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</si>
  <si>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</si>
  <si>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</si>
  <si>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</si>
  <si>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</si>
  <si>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</si>
  <si>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</si>
  <si>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</si>
  <si>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</si>
  <si>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</si>
  <si>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</si>
  <si>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</si>
  <si>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</si>
  <si>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</si>
  <si>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</si>
  <si>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</si>
  <si>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</si>
  <si>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</si>
  <si>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</si>
  <si>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</si>
  <si>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</si>
  <si>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</si>
  <si>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</si>
  <si>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</si>
  <si>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</si>
  <si>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</si>
  <si>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</si>
  <si>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</si>
  <si>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</si>
  <si>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</si>
  <si>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</si>
  <si>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</si>
  <si>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</si>
  <si>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</si>
  <si>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</si>
  <si>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</si>
  <si>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</si>
  <si>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</si>
  <si>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</si>
  <si>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</si>
  <si>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</si>
  <si>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</si>
  <si>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</si>
  <si>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</si>
  <si>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</si>
  <si>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</si>
  <si>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</si>
  <si>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</si>
  <si>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</si>
  <si>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</si>
  <si>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</si>
  <si>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</si>
  <si>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</si>
  <si>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</si>
  <si>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</si>
  <si>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</si>
  <si>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</si>
  <si>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</si>
  <si>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</si>
  <si>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</si>
  <si>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</si>
  <si>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</si>
  <si>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</si>
  <si>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</si>
  <si>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</si>
  <si>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</si>
  <si>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</si>
  <si>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</si>
  <si>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</si>
  <si>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</si>
  <si>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</si>
  <si>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</si>
  <si>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</si>
  <si>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</si>
  <si>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</si>
  <si>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</si>
  <si>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</si>
  <si>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</si>
  <si>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</si>
  <si>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</si>
  <si>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</si>
  <si>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</si>
  <si>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</si>
  <si>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</si>
  <si>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</si>
  <si>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</si>
  <si>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</si>
  <si>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</si>
  <si>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</si>
  <si>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</si>
  <si>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</si>
  <si>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</si>
  <si>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</si>
  <si>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</si>
  <si>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</si>
  <si>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</si>
  <si>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</si>
  <si>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</si>
  <si>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</si>
  <si>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</si>
  <si>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</si>
  <si>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</si>
  <si>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</si>
  <si>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</si>
  <si>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</si>
  <si>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</si>
  <si>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</si>
  <si>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</si>
  <si>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</si>
  <si>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</si>
  <si>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</si>
  <si>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</si>
  <si>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</si>
  <si>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</si>
  <si>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</si>
  <si>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</si>
  <si>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</si>
  <si>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</si>
  <si>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</si>
  <si>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</si>
  <si>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</si>
  <si>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</si>
  <si>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</si>
  <si>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</si>
  <si>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</si>
  <si>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</si>
  <si>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</si>
  <si>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</si>
  <si>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</si>
  <si>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</si>
  <si>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</si>
  <si>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</si>
  <si>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</si>
  <si>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</si>
  <si>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</si>
  <si>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</si>
  <si>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</si>
  <si>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</si>
  <si>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</si>
  <si>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</si>
  <si>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</si>
  <si>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</si>
  <si>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</si>
  <si>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</si>
  <si>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</si>
  <si>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</si>
  <si>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</si>
  <si>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</si>
  <si>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</si>
  <si>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</si>
  <si>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</si>
  <si>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</si>
  <si>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</si>
  <si>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</si>
  <si>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</si>
  <si>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</si>
  <si>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</si>
  <si>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</si>
  <si>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</si>
  <si>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</si>
  <si>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</si>
  <si>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</si>
  <si>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</si>
  <si>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</si>
  <si>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</si>
  <si>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</si>
  <si>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</si>
  <si>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</si>
  <si>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</si>
  <si>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</si>
  <si>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</si>
  <si>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</si>
  <si>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</si>
  <si>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</si>
  <si>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</si>
  <si>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</si>
  <si>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</si>
  <si>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</si>
  <si>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</si>
  <si>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</si>
  <si>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</si>
  <si>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</si>
  <si>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</si>
  <si>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</si>
  <si>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</si>
  <si>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</si>
  <si>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</si>
  <si>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</si>
  <si>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</si>
  <si>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</si>
  <si>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</si>
  <si>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</si>
  <si>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</si>
  <si>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</si>
  <si>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</si>
  <si>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</si>
  <si>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</si>
  <si>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</si>
  <si>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</si>
  <si>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</si>
  <si>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</si>
  <si>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</si>
  <si>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</si>
  <si>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</si>
  <si>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</si>
  <si>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</si>
  <si>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</si>
  <si>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</si>
  <si>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</si>
  <si>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</si>
  <si>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</si>
  <si>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</si>
  <si>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</si>
  <si>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</si>
  <si>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</si>
  <si>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</si>
  <si>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</si>
  <si>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</si>
  <si>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</si>
  <si>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</si>
  <si>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</si>
  <si>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</si>
  <si>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</si>
  <si>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</si>
  <si>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</si>
  <si>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</si>
  <si>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</si>
  <si>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</si>
  <si>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</si>
  <si>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</si>
  <si>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</si>
  <si>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</si>
  <si>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</si>
  <si>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</si>
  <si>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</si>
  <si>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</si>
  <si>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</si>
  <si>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</si>
  <si>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</si>
  <si>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</si>
  <si>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</si>
  <si>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</si>
  <si>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</si>
  <si>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</si>
  <si>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</si>
  <si>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</si>
  <si>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</si>
  <si>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</si>
  <si>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</si>
  <si>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</si>
  <si>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</si>
  <si>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</si>
  <si>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</si>
  <si>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</si>
  <si>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</si>
  <si>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</si>
  <si>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</si>
  <si>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</si>
  <si>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</si>
  <si>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</si>
  <si>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</si>
  <si>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</si>
  <si>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</si>
  <si>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</si>
  <si>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</si>
  <si>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</si>
  <si>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</si>
  <si>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</si>
  <si>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</si>
  <si>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</si>
  <si>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</si>
  <si>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</si>
  <si>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</si>
  <si>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</si>
  <si>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</si>
  <si>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</si>
  <si>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</si>
  <si>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</si>
  <si>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</si>
  <si>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</si>
  <si>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</si>
  <si>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</si>
  <si>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</si>
  <si>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</si>
  <si>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</si>
  <si>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</si>
  <si>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</si>
  <si>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</si>
  <si>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</si>
  <si>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</si>
  <si>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</si>
  <si>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</si>
  <si>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</si>
  <si>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</si>
  <si>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</si>
  <si>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</si>
  <si>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</si>
  <si>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</si>
  <si>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</si>
  <si>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</si>
  <si>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</si>
  <si>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</si>
  <si>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</si>
  <si>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</si>
  <si>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</si>
  <si>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</si>
  <si>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</si>
  <si>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</si>
  <si>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</si>
  <si>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</si>
  <si>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</si>
  <si>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</si>
  <si>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</si>
  <si>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</si>
  <si>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</si>
  <si>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</si>
  <si>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</si>
  <si>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</si>
  <si>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</si>
  <si>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</si>
  <si>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</si>
  <si>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</si>
  <si>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</si>
  <si>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</si>
  <si>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</si>
  <si>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</si>
  <si>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</si>
  <si>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</si>
  <si>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</si>
  <si>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</si>
  <si>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</si>
  <si>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</si>
  <si>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</si>
  <si>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</si>
  <si>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</si>
  <si>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</si>
  <si>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</si>
  <si>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</si>
  <si>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</si>
  <si>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</si>
  <si>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</si>
  <si>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</si>
  <si>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</si>
  <si>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</si>
  <si>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</si>
  <si>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</si>
  <si>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</si>
  <si>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</si>
  <si>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</si>
  <si>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</si>
  <si>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</si>
  <si>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</si>
  <si>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</si>
  <si>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</si>
  <si>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</si>
  <si>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</si>
  <si>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</si>
  <si>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</si>
  <si>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</si>
  <si>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</si>
  <si>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</si>
  <si>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</si>
  <si>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</si>
  <si>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</si>
  <si>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</si>
  <si>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</si>
  <si>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</si>
  <si>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</si>
  <si>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</si>
  <si>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</si>
  <si>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</si>
  <si>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</si>
  <si>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</si>
  <si>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</si>
  <si>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</si>
  <si>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</si>
  <si>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</si>
  <si>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</si>
  <si>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</si>
  <si>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</si>
  <si>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</si>
  <si>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</si>
  <si>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</si>
  <si>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</si>
  <si>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</si>
  <si>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</si>
  <si>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</si>
  <si>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</si>
  <si>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</si>
  <si>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</si>
  <si>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</si>
  <si>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</si>
  <si>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</si>
  <si>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</si>
  <si>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</si>
  <si>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</si>
  <si>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</si>
  <si>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</si>
  <si>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</si>
  <si>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</si>
  <si>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</si>
  <si>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</si>
  <si>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</si>
  <si>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</si>
  <si>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</si>
  <si>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</si>
  <si>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</si>
  <si>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</si>
  <si>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</si>
  <si>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</si>
  <si>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</si>
  <si>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</si>
  <si>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</si>
  <si>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</si>
  <si>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</si>
  <si>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</si>
  <si>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</si>
  <si>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</si>
  <si>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</si>
  <si>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</si>
  <si>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</si>
  <si>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</si>
  <si>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</si>
  <si>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</si>
  <si>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</si>
  <si>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</si>
  <si>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</si>
  <si>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</si>
  <si>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</si>
  <si>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</si>
  <si>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</si>
  <si>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</si>
  <si>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</si>
  <si>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</si>
  <si>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</si>
  <si>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</si>
  <si>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</si>
  <si>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</si>
  <si>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</si>
  <si>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</si>
  <si>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</si>
  <si>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</si>
  <si>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</si>
  <si>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</si>
  <si>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</si>
  <si>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</si>
  <si>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</si>
  <si>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</si>
  <si>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</si>
  <si>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</si>
  <si>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</si>
  <si>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</si>
  <si>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</si>
  <si>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</si>
  <si>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</si>
  <si>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</si>
  <si>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</si>
  <si>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</si>
  <si>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</si>
  <si>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</si>
  <si>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</si>
  <si>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</si>
  <si>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</si>
  <si>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</si>
  <si>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</si>
  <si>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</si>
  <si>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</si>
  <si>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</si>
  <si>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</si>
  <si>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</si>
  <si>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</si>
  <si>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</si>
  <si>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</si>
  <si>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</si>
  <si>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</si>
  <si>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</si>
  <si>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</si>
  <si>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</si>
  <si>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</si>
  <si>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</si>
  <si>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</si>
  <si>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</si>
  <si>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</si>
  <si>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</si>
  <si>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</si>
  <si>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</si>
  <si>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</si>
  <si>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</si>
  <si>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</si>
  <si>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</si>
  <si>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</si>
  <si>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</si>
  <si>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</si>
  <si>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</si>
  <si>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</si>
  <si>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</si>
  <si>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</si>
  <si>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</si>
  <si>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</si>
  <si>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</si>
  <si>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</si>
  <si>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</si>
  <si>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</si>
  <si>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</si>
  <si>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</si>
  <si>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</si>
  <si>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</si>
  <si>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</si>
  <si>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</si>
  <si>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</si>
  <si>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</si>
  <si>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</si>
  <si>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</si>
  <si>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</si>
  <si>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</si>
  <si>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</si>
  <si>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</si>
  <si>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</si>
  <si>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</si>
  <si>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</si>
  <si>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</si>
  <si>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</si>
  <si>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</si>
  <si>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</si>
  <si>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</si>
  <si>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</si>
  <si>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</si>
  <si>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</si>
  <si>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</si>
  <si>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</si>
  <si>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</si>
  <si>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</si>
  <si>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</si>
  <si>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</si>
  <si>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</si>
  <si>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</si>
  <si>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</si>
  <si>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</si>
  <si>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</si>
  <si>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</si>
  <si>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</si>
  <si>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</si>
  <si>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</si>
  <si>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</si>
  <si>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</si>
  <si>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</si>
  <si>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</si>
  <si>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</si>
  <si>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</si>
  <si>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</si>
  <si>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</si>
  <si>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</si>
  <si>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</si>
  <si>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</si>
  <si>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</si>
  <si>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</si>
  <si>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</si>
  <si>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</si>
  <si>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</si>
  <si>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</si>
  <si>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</si>
  <si>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</si>
  <si>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</si>
  <si>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</si>
  <si>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</si>
  <si>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</si>
  <si>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</si>
  <si>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</si>
  <si>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</si>
  <si>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</si>
  <si>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</si>
  <si>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</si>
  <si>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</si>
  <si>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</si>
  <si>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</si>
  <si>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</si>
  <si>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</si>
  <si>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</si>
  <si>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</si>
  <si>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</si>
  <si>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</si>
  <si>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</si>
  <si>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</si>
  <si>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</si>
  <si>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</si>
  <si>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</si>
  <si>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</si>
  <si>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</si>
  <si>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</si>
  <si>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</si>
  <si>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</si>
  <si>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</si>
  <si>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</si>
  <si>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</si>
  <si>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</si>
  <si>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</si>
  <si>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</si>
  <si>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</si>
  <si>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</si>
  <si>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</si>
  <si>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</si>
  <si>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</si>
  <si>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</si>
  <si>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</si>
  <si>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</si>
  <si>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</si>
  <si>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</si>
  <si>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</si>
  <si>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</si>
  <si>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</si>
  <si>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</si>
  <si>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</si>
  <si>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</si>
  <si>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</si>
  <si>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</si>
  <si>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</si>
  <si>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</si>
  <si>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</si>
  <si>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</si>
  <si>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</si>
  <si>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</si>
  <si>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</si>
  <si>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</si>
  <si>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</si>
  <si>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</si>
  <si>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</si>
  <si>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</si>
  <si>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</si>
  <si>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</si>
  <si>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</si>
  <si>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</si>
  <si>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</si>
  <si>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</si>
  <si>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</si>
  <si>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</si>
  <si>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</si>
  <si>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</si>
  <si>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</si>
  <si>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</si>
  <si>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</si>
  <si>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</si>
  <si>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</si>
  <si>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</si>
  <si>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</si>
  <si>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</si>
  <si>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</si>
  <si>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</si>
  <si>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</si>
  <si>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</si>
  <si>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</si>
  <si>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</si>
  <si>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</si>
  <si>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</si>
  <si>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</si>
  <si>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</si>
  <si>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</si>
  <si>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</si>
  <si>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</si>
  <si>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</si>
  <si>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</si>
  <si>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</si>
  <si>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</si>
  <si>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</si>
  <si>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</si>
  <si>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</si>
  <si>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</si>
  <si>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</si>
  <si>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</si>
  <si>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</si>
  <si>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</si>
  <si>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</si>
  <si>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</si>
  <si>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</si>
  <si>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</si>
  <si>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</si>
  <si>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</si>
  <si>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</si>
  <si>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</si>
  <si>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</si>
  <si>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</si>
  <si>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</si>
  <si>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</si>
  <si>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</si>
  <si>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</si>
  <si>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</si>
  <si>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</si>
  <si>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</si>
  <si>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</si>
  <si>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</si>
  <si>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</si>
  <si>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</si>
  <si>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</si>
  <si>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</si>
  <si>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</si>
  <si>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</si>
  <si>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</si>
  <si>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</si>
  <si>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</si>
  <si>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</si>
  <si>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</si>
  <si>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</si>
  <si>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</si>
  <si>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</si>
  <si>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</si>
  <si>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</si>
  <si>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</si>
  <si>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</si>
  <si>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</si>
  <si>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</si>
  <si>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</si>
  <si>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</si>
  <si>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</si>
  <si>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</si>
  <si>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</si>
  <si>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</si>
  <si>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</si>
  <si>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</si>
  <si>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</si>
  <si>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</si>
  <si>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</si>
  <si>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</si>
  <si>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</si>
  <si>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</si>
  <si>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</si>
  <si>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</si>
  <si>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</si>
  <si>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</si>
  <si>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</si>
  <si>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</si>
  <si>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</si>
  <si>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</si>
  <si>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</si>
  <si>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</si>
  <si>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</si>
  <si>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</si>
  <si>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</si>
  <si>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</si>
  <si>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</si>
  <si>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</si>
  <si>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</si>
  <si>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</si>
  <si>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</si>
  <si>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</si>
  <si>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</si>
  <si>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</si>
  <si>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</si>
  <si>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</si>
  <si>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</si>
  <si>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</si>
  <si>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</si>
  <si>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</si>
  <si>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</si>
  <si>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</si>
  <si>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</si>
  <si>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</si>
  <si>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</si>
  <si>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</si>
  <si>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</si>
  <si>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</si>
  <si>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</si>
  <si>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</si>
  <si>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</si>
  <si>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</si>
  <si>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</si>
  <si>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</si>
  <si>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</si>
  <si>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</si>
  <si>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</si>
  <si>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</si>
  <si>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</si>
  <si>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</si>
  <si>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</si>
  <si>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</si>
  <si>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</si>
  <si>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</si>
  <si>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</si>
  <si>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</si>
  <si>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</si>
  <si>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</si>
  <si>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</si>
  <si>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</si>
  <si>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</si>
  <si>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</si>
  <si>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</si>
  <si>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</si>
  <si>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</si>
  <si>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</si>
  <si>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</si>
  <si>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</si>
  <si>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</si>
  <si>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</si>
  <si>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</si>
  <si>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</si>
  <si>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</si>
  <si>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</si>
  <si>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</si>
  <si>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</si>
  <si>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</si>
  <si>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</si>
  <si>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</si>
  <si>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</si>
  <si>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</si>
  <si>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</si>
  <si>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</si>
  <si>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</si>
  <si>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</si>
  <si>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</si>
  <si>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</si>
  <si>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</si>
  <si>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</si>
  <si>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</si>
  <si>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</si>
  <si>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</si>
  <si>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</si>
  <si>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</si>
  <si>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</si>
  <si>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</si>
  <si>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</si>
  <si>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</si>
  <si>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</si>
  <si>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</si>
  <si>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</si>
  <si>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</si>
  <si>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</si>
  <si>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</si>
  <si>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</si>
  <si>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</si>
  <si>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</si>
  <si>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</si>
  <si>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</si>
  <si>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</si>
  <si>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</si>
  <si>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</si>
  <si>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</si>
  <si>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</si>
  <si>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</si>
  <si>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</si>
  <si>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</si>
  <si>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</si>
  <si>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</si>
  <si>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</si>
  <si>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</si>
  <si>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</si>
  <si>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</si>
  <si>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</si>
  <si>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</si>
  <si>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</si>
  <si>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</si>
  <si>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</si>
  <si>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</si>
  <si>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</si>
  <si>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</si>
  <si>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</si>
  <si>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</si>
  <si>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</si>
  <si>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</si>
  <si>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</si>
  <si>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</si>
  <si>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</si>
  <si>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</si>
  <si>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</si>
  <si>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</si>
  <si>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</si>
  <si>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</si>
  <si>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</si>
  <si>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</si>
  <si>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</si>
  <si>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</si>
  <si>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</si>
  <si>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</si>
  <si>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</si>
  <si>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</si>
  <si>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</si>
  <si>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</si>
  <si>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</si>
  <si>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</si>
  <si>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</si>
  <si>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</si>
  <si>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</si>
  <si>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</si>
  <si>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</si>
  <si>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</si>
  <si>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</si>
  <si>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</si>
  <si>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</si>
  <si>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</si>
  <si>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</si>
  <si>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</si>
  <si>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</si>
  <si>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</si>
  <si>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</si>
  <si>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</si>
  <si>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</si>
  <si>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</si>
  <si>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</si>
  <si>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</si>
  <si>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</si>
  <si>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</si>
  <si>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</si>
  <si>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</si>
  <si>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</si>
  <si>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</si>
  <si>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</si>
  <si>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</si>
  <si>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</si>
  <si>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</si>
  <si>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</si>
  <si>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</si>
  <si>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</si>
  <si>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</si>
  <si>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</si>
  <si>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</si>
  <si>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</si>
  <si>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</si>
  <si>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</si>
  <si>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</si>
  <si>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</si>
  <si>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</si>
  <si>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</si>
  <si>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</si>
  <si>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</si>
  <si>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</si>
  <si>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</si>
  <si>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</si>
  <si>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</si>
  <si>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</si>
  <si>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</si>
  <si>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</si>
  <si>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</si>
  <si>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</si>
  <si>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</si>
  <si>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</si>
  <si>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</si>
  <si>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</si>
  <si>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</si>
  <si>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</si>
  <si>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</si>
  <si>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</si>
  <si>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</si>
  <si>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</si>
  <si>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</si>
  <si>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</si>
  <si>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</si>
  <si>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</si>
  <si>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</si>
  <si>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</si>
  <si>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</si>
  <si>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</si>
  <si>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</si>
  <si>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</si>
  <si>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</si>
  <si>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</si>
  <si>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</si>
  <si>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</si>
  <si>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</si>
  <si>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</si>
  <si>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</si>
  <si>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</si>
  <si>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</si>
  <si>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</si>
  <si>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</si>
  <si>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</si>
  <si>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</si>
  <si>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</si>
  <si>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</si>
  <si>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</si>
  <si>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</si>
  <si>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</si>
  <si>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</si>
  <si>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</si>
  <si>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</si>
  <si>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</si>
  <si>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</si>
  <si>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</si>
  <si>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</si>
  <si>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</si>
  <si>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</si>
  <si>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</si>
  <si>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</si>
  <si>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</si>
  <si>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</si>
  <si>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</si>
  <si>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</si>
  <si>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</si>
  <si>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</si>
  <si>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</si>
  <si>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</si>
  <si>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</si>
  <si>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</si>
  <si>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</si>
  <si>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</si>
  <si>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</si>
  <si>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</si>
  <si>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</si>
  <si>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</si>
  <si>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</si>
  <si>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</si>
  <si>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</si>
  <si>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</si>
  <si>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</si>
  <si>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</si>
  <si>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</si>
  <si>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</si>
  <si>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</si>
  <si>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</si>
  <si>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</si>
  <si>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</si>
  <si>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</si>
  <si>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</si>
  <si>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</si>
  <si>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</si>
  <si>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</si>
  <si>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</si>
  <si>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</si>
  <si>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</si>
  <si>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</si>
  <si>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</si>
  <si>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</si>
  <si>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</si>
  <si>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</si>
  <si>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</si>
  <si>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</si>
  <si>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</si>
  <si>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</si>
  <si>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</si>
  <si>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</si>
  <si>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</si>
  <si>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</si>
  <si>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</si>
  <si>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</si>
  <si>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</si>
  <si>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</si>
  <si>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</si>
  <si>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</si>
  <si>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</si>
  <si>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</si>
  <si>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</si>
  <si>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</si>
  <si>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</si>
  <si>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</si>
  <si>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</si>
  <si>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</si>
  <si>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</si>
  <si>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</si>
  <si>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</si>
  <si>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</si>
  <si>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</si>
  <si>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</si>
  <si>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</si>
  <si>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</si>
  <si>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</si>
  <si>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</si>
  <si>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</si>
  <si>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</si>
  <si>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</si>
  <si>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</si>
  <si>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</si>
  <si>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</si>
  <si>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</si>
  <si>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</si>
  <si>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</si>
  <si>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</si>
  <si>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</si>
  <si>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</si>
  <si>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</si>
  <si>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</si>
  <si>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</si>
  <si>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</si>
  <si>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</si>
  <si>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</si>
  <si>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</si>
  <si>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</si>
  <si>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</si>
  <si>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</si>
  <si>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</si>
  <si>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</si>
  <si>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</si>
  <si>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</si>
  <si>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</si>
  <si>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</si>
  <si>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</si>
  <si>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</si>
  <si>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</si>
  <si>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</si>
  <si>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</si>
  <si>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</si>
  <si>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</si>
  <si>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</si>
  <si>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</si>
  <si>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</si>
  <si>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</si>
  <si>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</si>
  <si>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</si>
  <si>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</si>
  <si>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</si>
  <si>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</si>
  <si>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</si>
  <si>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</si>
  <si>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</si>
  <si>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</si>
  <si>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</si>
  <si>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</si>
  <si>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</si>
  <si>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</si>
  <si>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</si>
  <si>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</si>
  <si>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</si>
  <si>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</si>
  <si>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</si>
  <si>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</si>
  <si>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</si>
  <si>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</si>
  <si>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</si>
  <si>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</si>
  <si>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</si>
  <si>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</si>
  <si>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</si>
  <si>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</si>
  <si>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</si>
  <si>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</si>
  <si>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</si>
  <si>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</si>
  <si>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</si>
  <si>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</si>
  <si>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</si>
  <si>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</si>
  <si>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</si>
  <si>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</si>
  <si>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</si>
  <si>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</si>
  <si>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</si>
  <si>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</si>
  <si>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</si>
  <si>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</si>
  <si>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</si>
  <si>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</si>
  <si>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</si>
  <si>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</si>
  <si>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</si>
  <si>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</si>
  <si>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</si>
  <si>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</si>
  <si>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</si>
  <si>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</si>
  <si>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</si>
  <si>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</si>
  <si>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</si>
  <si>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</si>
  <si>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</si>
  <si>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</si>
  <si>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</si>
  <si>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</si>
  <si>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</si>
  <si>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</si>
  <si>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</si>
  <si>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</si>
  <si>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</si>
  <si>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</si>
  <si>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</si>
  <si>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</si>
  <si>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</si>
  <si>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</si>
  <si>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</si>
  <si>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</si>
  <si>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</si>
  <si>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</si>
  <si>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</si>
  <si>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</si>
  <si>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</si>
  <si>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</si>
  <si>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</si>
  <si>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</si>
  <si>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</si>
  <si>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</si>
  <si>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</si>
  <si>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</si>
  <si>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</si>
  <si>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</si>
  <si>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</si>
  <si>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</si>
  <si>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</si>
  <si>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</si>
  <si>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</si>
  <si>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</si>
  <si>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</si>
  <si>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</si>
  <si>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</si>
  <si>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</si>
  <si>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</si>
  <si>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</si>
  <si>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</si>
  <si>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</si>
  <si>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</si>
  <si>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</si>
  <si>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</si>
  <si>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</si>
  <si>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</si>
  <si>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</si>
  <si>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</si>
  <si>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</si>
  <si>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</si>
  <si>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</si>
  <si>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</si>
  <si>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</si>
  <si>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</si>
  <si>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</si>
  <si>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</si>
  <si>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</si>
  <si>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</si>
  <si>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</si>
  <si>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</si>
  <si>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</si>
  <si>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</si>
  <si>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</si>
  <si>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</si>
  <si>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</si>
  <si>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</si>
  <si>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</si>
  <si>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</si>
  <si>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</si>
  <si>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</si>
  <si>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</si>
  <si>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</si>
  <si>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</si>
  <si>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</si>
  <si>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</si>
  <si>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</si>
  <si>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</si>
  <si>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</si>
  <si>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</si>
  <si>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</si>
  <si>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</si>
  <si>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</si>
  <si>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</si>
  <si>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</si>
  <si>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</si>
  <si>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</si>
  <si>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</si>
  <si>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</si>
  <si>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</si>
  <si>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</si>
  <si>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</si>
  <si>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</si>
  <si>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</si>
  <si>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</si>
  <si>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</si>
  <si>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</si>
  <si>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</si>
  <si>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</si>
  <si>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</si>
  <si>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</si>
  <si>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</si>
  <si>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</si>
  <si>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</si>
  <si>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</si>
  <si>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</si>
  <si>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</si>
  <si>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</si>
  <si>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</si>
  <si>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</si>
  <si>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</si>
  <si>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</si>
  <si>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</si>
  <si>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</si>
  <si>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</si>
  <si>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</si>
  <si>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</si>
  <si>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</si>
  <si>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</si>
  <si>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</si>
  <si>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</si>
  <si>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</si>
  <si>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</si>
  <si>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</si>
  <si>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</si>
  <si>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</si>
  <si>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</si>
  <si>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</si>
  <si>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</si>
  <si>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</si>
  <si>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</si>
  <si>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</si>
  <si>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</si>
  <si>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</si>
  <si>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</si>
  <si>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</si>
  <si>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</si>
  <si>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</si>
  <si>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</si>
  <si>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</si>
  <si>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</si>
  <si>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</si>
  <si>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</si>
  <si>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</si>
  <si>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</si>
  <si>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</si>
  <si>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</si>
  <si>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</si>
  <si>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</si>
  <si>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</si>
  <si>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</si>
  <si>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</si>
  <si>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</si>
  <si>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</si>
  <si>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</si>
  <si>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</si>
  <si>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</si>
  <si>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</si>
  <si>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</si>
  <si>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</si>
  <si>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</si>
  <si>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</si>
  <si>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</si>
  <si>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</si>
  <si>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</si>
  <si>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</si>
  <si>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</si>
  <si>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</si>
  <si>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</si>
  <si>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</si>
  <si>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</si>
  <si>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</si>
  <si>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</si>
  <si>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</si>
  <si>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</si>
  <si>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</si>
  <si>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</si>
  <si>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</si>
  <si>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</si>
  <si>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</si>
  <si>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</si>
  <si>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</si>
  <si>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</si>
  <si>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</si>
  <si>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</si>
  <si>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</si>
  <si>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</si>
  <si>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</si>
  <si>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</si>
  <si>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</si>
  <si>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</si>
  <si>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</si>
  <si>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</si>
  <si>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</si>
  <si>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</si>
  <si>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</si>
  <si>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</si>
  <si>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</si>
  <si>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</si>
  <si>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</si>
  <si>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</si>
  <si>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</si>
  <si>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</si>
  <si>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</si>
  <si>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</si>
  <si>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</si>
  <si>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</si>
  <si>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</si>
  <si>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</si>
  <si>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</si>
  <si>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</si>
  <si>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</si>
  <si>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</si>
  <si>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</si>
  <si>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</si>
  <si>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</si>
  <si>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</si>
  <si>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</si>
  <si>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</si>
  <si>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</si>
  <si>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</si>
  <si>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</si>
  <si>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</si>
  <si>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</si>
  <si>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</si>
  <si>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</si>
  <si>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</si>
  <si>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</si>
  <si>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</si>
  <si>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</si>
  <si>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</si>
  <si>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</si>
  <si>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</si>
  <si>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</si>
  <si>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</si>
  <si>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</si>
  <si>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</si>
  <si>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</si>
  <si>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</si>
  <si>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</si>
  <si>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</si>
  <si>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</si>
  <si>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</si>
  <si>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</si>
  <si>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</si>
  <si>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</si>
  <si>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</si>
  <si>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</si>
  <si>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</si>
  <si>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</si>
  <si>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</si>
  <si>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</si>
  <si>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</si>
  <si>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</si>
  <si>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</si>
  <si>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</si>
  <si>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</si>
  <si>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</si>
  <si>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</si>
  <si>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</si>
  <si>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</si>
  <si>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</si>
  <si>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</si>
  <si>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</si>
  <si>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</si>
  <si>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</si>
  <si>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</si>
  <si>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</si>
  <si>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</si>
  <si>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</si>
  <si>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</si>
  <si>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</si>
  <si>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</si>
  <si>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</si>
  <si>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</si>
  <si>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</si>
  <si>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</si>
  <si>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</si>
  <si>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</si>
  <si>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</si>
  <si>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</si>
  <si>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</si>
  <si>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</si>
  <si>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</si>
  <si>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</si>
  <si>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</si>
  <si>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</si>
  <si>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</si>
  <si>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</si>
  <si>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</si>
  <si>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</si>
  <si>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</si>
  <si>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</si>
  <si>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</si>
  <si>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</si>
  <si>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</si>
  <si>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</si>
  <si>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</si>
  <si>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</si>
  <si>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</si>
  <si>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</si>
  <si>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</si>
  <si>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</si>
  <si>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</si>
  <si>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</si>
  <si>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</si>
  <si>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</si>
  <si>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</si>
  <si>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</si>
  <si>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</si>
  <si>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</si>
  <si>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</si>
  <si>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</si>
  <si>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</si>
  <si>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</si>
  <si>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</si>
  <si>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</si>
  <si>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</si>
  <si>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</si>
  <si>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</si>
  <si>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</si>
  <si>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</si>
  <si>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</si>
  <si>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</si>
  <si>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</si>
  <si>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</si>
  <si>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</si>
  <si>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</si>
  <si>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</si>
  <si>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</si>
  <si>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</si>
  <si>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</si>
  <si>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</si>
  <si>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</si>
  <si>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</si>
  <si>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</si>
  <si>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</si>
  <si>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</si>
  <si>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</si>
  <si>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</si>
  <si>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</si>
  <si>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</si>
  <si>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</si>
  <si>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</si>
  <si>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</si>
  <si>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</si>
  <si>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</si>
  <si>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</si>
  <si>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</si>
  <si>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</si>
  <si>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</si>
  <si>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</si>
  <si>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</si>
  <si>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</si>
  <si>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</si>
  <si>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</si>
  <si>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</si>
  <si>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</si>
  <si>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</si>
  <si>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</si>
  <si>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</si>
  <si>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</si>
  <si>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</si>
  <si>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</si>
  <si>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</si>
  <si>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</si>
  <si>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</si>
  <si>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</si>
  <si>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</si>
  <si>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</si>
  <si>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</si>
  <si>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</si>
  <si>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</si>
  <si>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</si>
  <si>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</si>
  <si>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</si>
  <si>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</si>
  <si>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</si>
  <si>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</si>
  <si>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</si>
  <si>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</si>
  <si>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</si>
  <si>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</si>
  <si>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</si>
  <si>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</si>
  <si>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</si>
  <si>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</si>
  <si>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</si>
  <si>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</si>
  <si>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</si>
  <si>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</si>
  <si>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</si>
  <si>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</si>
  <si>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</si>
  <si>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</si>
  <si>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</si>
  <si>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</si>
  <si>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</si>
  <si>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</si>
  <si>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</si>
  <si>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</si>
  <si>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</si>
  <si>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</si>
  <si>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</si>
  <si>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</si>
  <si>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</si>
  <si>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</si>
  <si>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</si>
  <si>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</si>
  <si>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</si>
  <si>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</si>
  <si>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</si>
  <si>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</si>
  <si>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</si>
  <si>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</si>
  <si>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</si>
  <si>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</si>
  <si>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</si>
  <si>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</si>
  <si>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</si>
  <si>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</si>
  <si>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</si>
  <si>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</si>
  <si>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</si>
  <si>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</si>
  <si>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</si>
  <si>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</si>
  <si>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</si>
  <si>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</si>
  <si>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</si>
  <si>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</si>
  <si>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</si>
  <si>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</si>
  <si>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</si>
  <si>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</si>
  <si>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</si>
  <si>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</si>
  <si>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</si>
  <si>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</si>
  <si>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</si>
  <si>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</si>
  <si>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</si>
  <si>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</si>
  <si>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</si>
  <si>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</si>
  <si>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</si>
  <si>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</si>
  <si>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</si>
  <si>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</si>
  <si>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</si>
  <si>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</si>
  <si>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</si>
  <si>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</si>
  <si>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</si>
  <si>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</si>
  <si>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</si>
  <si>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</si>
  <si>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</si>
  <si>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</si>
  <si>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</si>
  <si>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</si>
  <si>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</si>
  <si>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</si>
  <si>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</si>
  <si>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</si>
  <si>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</si>
  <si>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</si>
  <si>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</si>
  <si>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</si>
  <si>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</si>
  <si>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</si>
  <si>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</si>
  <si>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</si>
  <si>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HILLSBORO-DEERING COOPERATIVE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</si>
</sst>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5" zoomScaleNormal="125" workbookViewId="0">
      <pane xSplit="5" ySplit="3" topLeftCell="F646"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251</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1743895.54-5180.36+294</f>
        <v>1739009.18</v>
      </c>
      <c r="G9" s="18"/>
      <c r="H9" s="18"/>
      <c r="I9" s="18"/>
      <c r="J9" s="67">
        <f>SUM(I440)</f>
        <v>990098.92</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-348701</v>
      </c>
      <c r="G12" s="18">
        <v>48945.15</v>
      </c>
      <c r="H12" s="18">
        <f>392875.15-193118.36</f>
        <v>199756.79000000004</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301406.39</v>
      </c>
      <c r="G13" s="18"/>
      <c r="H13" s="18">
        <v>167790.64</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-37398.639999999999</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100</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1654415.93</v>
      </c>
      <c r="G19" s="41">
        <f>SUM(G9:G18)</f>
        <v>48945.15</v>
      </c>
      <c r="H19" s="41">
        <f>SUM(H9:H18)</f>
        <v>367547.43000000005</v>
      </c>
      <c r="I19" s="41">
        <f>SUM(I9:I18)</f>
        <v>0</v>
      </c>
      <c r="J19" s="41">
        <f>SUM(J9:J18)</f>
        <v>990098.92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4"/>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18487.4+312404.06</f>
        <v>330891.46000000002</v>
      </c>
      <c r="G24" s="18">
        <v>752</v>
      </c>
      <c r="H24" s="18">
        <f>13341.29+291.61+4787.19</f>
        <v>18420.09</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f>-6498</f>
        <v>-6498</v>
      </c>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9298.7000000000007</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SUM(F23:F31)</f>
        <v>324393.46000000002</v>
      </c>
      <c r="G32" s="41">
        <f>SUM(G22:G31)</f>
        <v>752</v>
      </c>
      <c r="H32" s="41">
        <f>SUM(H22:H31)</f>
        <v>27718.79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f>G19-G32</f>
        <v>48193.15</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200000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f>H19-H32</f>
        <v>339828.64000000007</v>
      </c>
      <c r="I48" s="18"/>
      <c r="J48" s="13">
        <f>SUM(I460)</f>
        <v>990098.92</v>
      </c>
      <c r="K48" s="24" t="s">
        <v>288</v>
      </c>
      <c r="L48" s="24" t="s">
        <v>288</v>
      </c>
      <c r="M48" s="8"/>
      <c r="N48" s="266"/>
    </row>
    <row r="49" spans="1:14" s="3" customFormat="1" ht="12.2" customHeight="1" x14ac:dyDescent="0.15">
      <c r="A49" s="1" t="s">
        <v>859</v>
      </c>
      <c r="B49" s="2" t="s">
        <v>289</v>
      </c>
      <c r="C49" s="6">
        <v>34</v>
      </c>
      <c r="D49" s="2"/>
      <c r="E49" s="6">
        <v>753</v>
      </c>
      <c r="F49" s="18">
        <v>389570</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740452.47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1330022.47</v>
      </c>
      <c r="G51" s="41">
        <f>SUM(G35:G50)</f>
        <v>48193.15</v>
      </c>
      <c r="H51" s="41">
        <f>SUM(H35:H50)</f>
        <v>339828.64000000007</v>
      </c>
      <c r="I51" s="41">
        <f>SUM(I35:I50)</f>
        <v>0</v>
      </c>
      <c r="J51" s="41">
        <f>SUM(J35:J50)</f>
        <v>990098.92</v>
      </c>
      <c r="K51" s="45" t="s">
        <v>288</v>
      </c>
      <c r="L51" s="45" t="s">
        <v>288</v>
      </c>
      <c r="N51" s="264"/>
    </row>
    <row r="52" spans="1:14" s="3" customFormat="1" ht="12.2" customHeight="1" thickTop="1" x14ac:dyDescent="0.15">
      <c r="A52" s="38" t="s">
        <v>455</v>
      </c>
      <c r="B52" s="39" t="s">
        <v>289</v>
      </c>
      <c r="C52" s="6">
        <v>37</v>
      </c>
      <c r="D52" s="39" t="s">
        <v>653</v>
      </c>
      <c r="E52" s="39"/>
      <c r="F52" s="41">
        <f>F51+F32</f>
        <v>1654415.93</v>
      </c>
      <c r="G52" s="41">
        <f>G51+G32</f>
        <v>48945.15</v>
      </c>
      <c r="H52" s="41">
        <f>H51+H32</f>
        <v>367547.43000000005</v>
      </c>
      <c r="I52" s="41">
        <f>I51+I32</f>
        <v>0</v>
      </c>
      <c r="J52" s="41">
        <f>J51+J32</f>
        <v>990098.92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12447578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12447578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1171751.45+164441.31+11759.63</f>
        <v>1347952.39</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1347952.39</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1320.68</v>
      </c>
      <c r="G96" s="18"/>
      <c r="H96" s="18"/>
      <c r="I96" s="18"/>
      <c r="J96" s="18">
        <f>802+1704+308+19+439+381+49</f>
        <v>3702</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175627.4+7778.95</f>
        <v>183406.35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40000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7365.93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48686.61</v>
      </c>
      <c r="G111" s="41">
        <f>SUM(G96:G110)</f>
        <v>183406.35</v>
      </c>
      <c r="H111" s="41">
        <f>SUM(H96:H110)</f>
        <v>0</v>
      </c>
      <c r="I111" s="41">
        <f>SUM(I96:I110)</f>
        <v>0</v>
      </c>
      <c r="J111" s="41">
        <f>SUM(J96:J110)</f>
        <v>3702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13844217</v>
      </c>
      <c r="G112" s="41">
        <f>G60+G111</f>
        <v>183406.35</v>
      </c>
      <c r="H112" s="41">
        <f>H60+H79+H94+H111</f>
        <v>0</v>
      </c>
      <c r="I112" s="41">
        <f>I60+I111</f>
        <v>0</v>
      </c>
      <c r="J112" s="41">
        <f>J60+J111</f>
        <v>3702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6351367.2400000002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1431618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7147.4</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7790132.6400000006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342730.58</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105201.79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15299</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46033.87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1956.09</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465187.46</v>
      </c>
      <c r="G136" s="41">
        <f>SUM(G123:G135)</f>
        <v>46033.87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8255320.1000000006</v>
      </c>
      <c r="G140" s="41">
        <f>G121+SUM(G136:G137)</f>
        <v>46033.87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541630.24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698771.56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264948.57+30770.01</f>
        <v>295718.58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2944.72</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2944.72</v>
      </c>
      <c r="G163" s="41">
        <f>SUM(G150:G162)</f>
        <v>295718.58</v>
      </c>
      <c r="H163" s="41">
        <f>SUM(H150:H162)</f>
        <v>1240401.8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2944.72</v>
      </c>
      <c r="G170" s="41">
        <f>G147+G163+SUM(G164:G169)</f>
        <v>295718.58</v>
      </c>
      <c r="H170" s="41">
        <f>H147+H163+SUM(H164:H169)</f>
        <v>1240401.8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50000</v>
      </c>
      <c r="H180" s="18"/>
      <c r="I180" s="18"/>
      <c r="J180" s="18">
        <v>200000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50000</v>
      </c>
      <c r="H184" s="41">
        <f>SUM(H180:H183)</f>
        <v>0</v>
      </c>
      <c r="I184" s="41">
        <f>SUM(I180:I183)</f>
        <v>0</v>
      </c>
      <c r="J184" s="41">
        <f>SUM(J180:J183)</f>
        <v>200000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50000</v>
      </c>
      <c r="H193" s="41">
        <f>+H184+SUM(H189:H192)</f>
        <v>0</v>
      </c>
      <c r="I193" s="41">
        <f>I178+I184+SUM(I189:I192)</f>
        <v>0</v>
      </c>
      <c r="J193" s="41">
        <f>J184</f>
        <v>200000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22102481.82</v>
      </c>
      <c r="G194" s="47">
        <f>G112+G140+G170+G193</f>
        <v>575158.80000000005</v>
      </c>
      <c r="H194" s="47">
        <f>H112+H140+H170+H193</f>
        <v>1240401.8</v>
      </c>
      <c r="I194" s="47">
        <f>I112+I140+I170+I193</f>
        <v>0</v>
      </c>
      <c r="J194" s="47">
        <f>J112+J140+J193</f>
        <v>203702</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2155921.42</f>
        <v>2155921.42</v>
      </c>
      <c r="G198" s="18">
        <f>884849.39</f>
        <v>884849.39</v>
      </c>
      <c r="H198" s="18">
        <f>458</f>
        <v>458</v>
      </c>
      <c r="I198" s="18">
        <f>89711.3</f>
        <v>89711.3</v>
      </c>
      <c r="J198" s="18">
        <f>225.44</f>
        <v>225.44</v>
      </c>
      <c r="K198" s="18">
        <v>0</v>
      </c>
      <c r="L198" s="19">
        <f>SUM(F198:K198)</f>
        <v>3131165.55</v>
      </c>
      <c r="M198" s="8"/>
      <c r="N198" s="266"/>
    </row>
    <row r="199" spans="1:14" s="3" customFormat="1" ht="12.2" customHeight="1" x14ac:dyDescent="0.15">
      <c r="A199" s="1" t="s">
        <v>439</v>
      </c>
      <c r="B199" s="2" t="s">
        <v>341</v>
      </c>
      <c r="C199" s="2" t="s">
        <v>291</v>
      </c>
      <c r="D199" s="2" t="s">
        <v>431</v>
      </c>
      <c r="E199" s="6">
        <v>1200</v>
      </c>
      <c r="F199" s="18">
        <f>943065.52+117787+19258.27</f>
        <v>1080110.79</v>
      </c>
      <c r="G199" s="18">
        <f>642263.33+61502.88+3533.83</f>
        <v>707300.03999999992</v>
      </c>
      <c r="H199" s="18">
        <f>149463.98+5445+157.98</f>
        <v>155066.96000000002</v>
      </c>
      <c r="I199" s="18">
        <f>4990.64+4726.96</f>
        <v>9717.6</v>
      </c>
      <c r="J199" s="18">
        <f>413.12+2154.74</f>
        <v>2567.8599999999997</v>
      </c>
      <c r="K199" s="18">
        <f>275</f>
        <v>275</v>
      </c>
      <c r="L199" s="19">
        <f>SUM(F199:K199)</f>
        <v>1955038.2500000002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3225</v>
      </c>
      <c r="G201" s="18">
        <v>624.78</v>
      </c>
      <c r="H201" s="18"/>
      <c r="I201" s="18"/>
      <c r="J201" s="18"/>
      <c r="K201" s="18"/>
      <c r="L201" s="19">
        <f>SUM(F201:K201)</f>
        <v>3849.7799999999997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177040+67165.91+65600+188699+137199.37+12365.51+810</f>
        <v>648879.79</v>
      </c>
      <c r="G203" s="18">
        <f>61568.97+39127.37+40394.58+101484.55+36563.58+8471+206.15</f>
        <v>287816.2</v>
      </c>
      <c r="H203" s="18">
        <f>514.38+644.23+34659.55+5229</f>
        <v>41047.160000000003</v>
      </c>
      <c r="I203" s="18">
        <f>2107.23+2114.53+493.1+70+499.74+36.93</f>
        <v>5321.5300000000007</v>
      </c>
      <c r="J203" s="18">
        <v>0</v>
      </c>
      <c r="K203" s="18">
        <f>129</f>
        <v>129</v>
      </c>
      <c r="L203" s="19">
        <f t="shared" ref="L203:L209" si="0">SUM(F203:K203)</f>
        <v>983193.68</v>
      </c>
      <c r="M203" s="8"/>
      <c r="N203" s="266"/>
    </row>
    <row r="204" spans="1:14" s="3" customFormat="1" ht="12.2" customHeight="1" x14ac:dyDescent="0.15">
      <c r="A204" s="1" t="s">
        <v>443</v>
      </c>
      <c r="B204" s="2" t="s">
        <v>341</v>
      </c>
      <c r="C204" s="2" t="s">
        <v>295</v>
      </c>
      <c r="D204" s="2" t="s">
        <v>431</v>
      </c>
      <c r="E204" s="6">
        <v>2200</v>
      </c>
      <c r="F204" s="18">
        <f>80696+5929.82+72136.07</f>
        <v>158761.89000000001</v>
      </c>
      <c r="G204" s="18">
        <f>21184.03+29833.03+35081.65</f>
        <v>86098.709999999992</v>
      </c>
      <c r="H204" s="18">
        <f>15019.97+927.93+6673.23+4483.62+2191.14</f>
        <v>29295.889999999996</v>
      </c>
      <c r="I204" s="18">
        <f>11015.66+15421.1+53797.36</f>
        <v>80234.12</v>
      </c>
      <c r="J204" s="18">
        <f>4761.81+93445.47</f>
        <v>98207.28</v>
      </c>
      <c r="K204" s="18">
        <v>1201.5</v>
      </c>
      <c r="L204" s="19">
        <f t="shared" si="0"/>
        <v>453799.39</v>
      </c>
      <c r="M204" s="8"/>
      <c r="N204" s="266"/>
    </row>
    <row r="205" spans="1:14" s="3" customFormat="1" ht="12.2" customHeight="1" x14ac:dyDescent="0.15">
      <c r="A205" s="1" t="s">
        <v>444</v>
      </c>
      <c r="B205" s="2" t="s">
        <v>341</v>
      </c>
      <c r="C205" s="2" t="s">
        <v>296</v>
      </c>
      <c r="D205" s="2" t="s">
        <v>431</v>
      </c>
      <c r="E205" s="6">
        <v>2300</v>
      </c>
      <c r="F205" s="18">
        <v>4140</v>
      </c>
      <c r="G205" s="18">
        <f>316.71+19010.83</f>
        <v>19327.54</v>
      </c>
      <c r="H205" s="18">
        <f>23756.24+937.22+421983+11168.18+3468.05</f>
        <v>461312.69</v>
      </c>
      <c r="I205" s="18">
        <v>74.25</v>
      </c>
      <c r="J205" s="18"/>
      <c r="K205" s="18">
        <v>6874.39</v>
      </c>
      <c r="L205" s="19">
        <f t="shared" si="0"/>
        <v>491728.87</v>
      </c>
      <c r="M205" s="8"/>
      <c r="N205" s="266"/>
    </row>
    <row r="206" spans="1:14" s="3" customFormat="1" ht="12.2" customHeight="1" x14ac:dyDescent="0.15">
      <c r="A206" s="1" t="s">
        <v>445</v>
      </c>
      <c r="B206" s="2" t="s">
        <v>341</v>
      </c>
      <c r="C206" s="2" t="s">
        <v>297</v>
      </c>
      <c r="D206" s="2" t="s">
        <v>431</v>
      </c>
      <c r="E206" s="6">
        <v>2400</v>
      </c>
      <c r="F206" s="18">
        <v>265177.34999999998</v>
      </c>
      <c r="G206" s="18">
        <v>89841.9</v>
      </c>
      <c r="H206" s="18">
        <v>3800.52</v>
      </c>
      <c r="I206" s="18">
        <v>3234.48</v>
      </c>
      <c r="J206" s="18">
        <v>1153.8499999999999</v>
      </c>
      <c r="K206" s="18">
        <v>1995</v>
      </c>
      <c r="L206" s="19">
        <f t="shared" si="0"/>
        <v>365203.1</v>
      </c>
      <c r="M206" s="8"/>
      <c r="N206" s="266"/>
    </row>
    <row r="207" spans="1:14" s="3" customFormat="1" ht="12.2" customHeight="1" x14ac:dyDescent="0.15">
      <c r="A207" s="1" t="s">
        <v>446</v>
      </c>
      <c r="B207" s="2" t="s">
        <v>341</v>
      </c>
      <c r="C207" s="2" t="s">
        <v>298</v>
      </c>
      <c r="D207" s="2" t="s">
        <v>431</v>
      </c>
      <c r="E207" s="6">
        <v>2500</v>
      </c>
      <c r="F207" s="18"/>
      <c r="G207" s="18"/>
      <c r="H207" s="18">
        <v>5653.59</v>
      </c>
      <c r="I207" s="18"/>
      <c r="J207" s="18"/>
      <c r="K207" s="18"/>
      <c r="L207" s="19">
        <f t="shared" si="0"/>
        <v>5653.59</v>
      </c>
      <c r="M207" s="8"/>
      <c r="N207" s="266"/>
    </row>
    <row r="208" spans="1:14" s="3" customFormat="1" ht="12.2" customHeight="1" x14ac:dyDescent="0.15">
      <c r="A208" s="1" t="s">
        <v>447</v>
      </c>
      <c r="B208" s="2" t="s">
        <v>341</v>
      </c>
      <c r="C208" s="2" t="s">
        <v>299</v>
      </c>
      <c r="D208" s="2" t="s">
        <v>431</v>
      </c>
      <c r="E208" s="6">
        <v>2600</v>
      </c>
      <c r="F208" s="18">
        <v>73393.02</v>
      </c>
      <c r="G208" s="18">
        <v>32463.32</v>
      </c>
      <c r="H208" s="18">
        <v>617756.04</v>
      </c>
      <c r="I208" s="18">
        <v>151398.54999999999</v>
      </c>
      <c r="J208" s="18">
        <v>44595.839999999997</v>
      </c>
      <c r="K208" s="18"/>
      <c r="L208" s="19">
        <f t="shared" si="0"/>
        <v>919606.7699999999</v>
      </c>
      <c r="M208" s="8"/>
      <c r="N208" s="266"/>
    </row>
    <row r="209" spans="1:14" s="3" customFormat="1" ht="12.2" customHeight="1" x14ac:dyDescent="0.15">
      <c r="A209" s="1" t="s">
        <v>448</v>
      </c>
      <c r="B209" s="2" t="s">
        <v>341</v>
      </c>
      <c r="C209" s="2" t="s">
        <v>300</v>
      </c>
      <c r="D209" s="2" t="s">
        <v>431</v>
      </c>
      <c r="E209" s="6">
        <v>2700</v>
      </c>
      <c r="F209" s="18"/>
      <c r="G209" s="18"/>
      <c r="H209" s="18">
        <f>300752.07+2922.47</f>
        <v>303674.53999999998</v>
      </c>
      <c r="I209" s="18"/>
      <c r="J209" s="18"/>
      <c r="K209" s="18"/>
      <c r="L209" s="19">
        <f t="shared" si="0"/>
        <v>303674.53999999998</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4389609.26</v>
      </c>
      <c r="G212" s="41">
        <f t="shared" si="1"/>
        <v>2108321.88</v>
      </c>
      <c r="H212" s="41">
        <f t="shared" si="1"/>
        <v>1618065.3900000001</v>
      </c>
      <c r="I212" s="41">
        <f t="shared" si="1"/>
        <v>339691.82999999996</v>
      </c>
      <c r="J212" s="41">
        <f t="shared" si="1"/>
        <v>146750.27000000002</v>
      </c>
      <c r="K212" s="41">
        <f t="shared" si="1"/>
        <v>10474.89</v>
      </c>
      <c r="L212" s="41">
        <f t="shared" si="1"/>
        <v>8612913.5199999977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1292936.04</f>
        <v>1292936.04</v>
      </c>
      <c r="G216" s="18">
        <f>648362.56</f>
        <v>648362.56000000006</v>
      </c>
      <c r="H216" s="18">
        <f>2000+1991.51+20440</f>
        <v>24431.510000000002</v>
      </c>
      <c r="I216" s="18">
        <f>55177.56</f>
        <v>55177.56</v>
      </c>
      <c r="J216" s="18">
        <f>5855.81</f>
        <v>5855.81</v>
      </c>
      <c r="K216" s="18">
        <f>4956</f>
        <v>4956</v>
      </c>
      <c r="L216" s="19">
        <f>SUM(F216:K216)</f>
        <v>2031719.4800000002</v>
      </c>
      <c r="M216" s="8"/>
      <c r="N216" s="266"/>
    </row>
    <row r="217" spans="1:14" s="3" customFormat="1" ht="12.2" customHeight="1" x14ac:dyDescent="0.15">
      <c r="A217" s="1" t="s">
        <v>439</v>
      </c>
      <c r="B217" s="2" t="s">
        <v>346</v>
      </c>
      <c r="C217" s="2" t="s">
        <v>291</v>
      </c>
      <c r="D217" s="2" t="s">
        <v>431</v>
      </c>
      <c r="E217" s="6">
        <v>1200</v>
      </c>
      <c r="F217" s="18">
        <f>451705.93+60816.25+4935.54</f>
        <v>517457.72</v>
      </c>
      <c r="G217" s="18">
        <f>268202.06+14126.58+1069.74</f>
        <v>283398.38</v>
      </c>
      <c r="H217" s="18">
        <f>400+138709.05+2783+80.75</f>
        <v>141972.79999999999</v>
      </c>
      <c r="I217" s="18">
        <f>1569.37+1541.28</f>
        <v>3110.6499999999996</v>
      </c>
      <c r="J217" s="18">
        <v>628.94000000000005</v>
      </c>
      <c r="K217" s="18">
        <v>0</v>
      </c>
      <c r="L217" s="19">
        <f>SUM(F217:K217)</f>
        <v>946568.48999999987</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6525+10500</f>
        <v>17025</v>
      </c>
      <c r="G219" s="18">
        <f>1647.03+2169.41</f>
        <v>3816.4399999999996</v>
      </c>
      <c r="H219" s="18">
        <f>20000+2966</f>
        <v>22966</v>
      </c>
      <c r="I219" s="18">
        <v>7034</v>
      </c>
      <c r="J219" s="18"/>
      <c r="K219" s="18"/>
      <c r="L219" s="19">
        <f>SUM(F219:K219)</f>
        <v>50841.440000000002</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142046.13+45490.3+32500+78699+6320.15+414</f>
        <v>305469.58</v>
      </c>
      <c r="G221" s="18">
        <f>43228+29650.92+20040.51+43598.44+4329.62+105.36</f>
        <v>140952.84999999998</v>
      </c>
      <c r="H221" s="18">
        <f>437.5+329.27+17714.88+2672.6</f>
        <v>21154.25</v>
      </c>
      <c r="I221" s="18">
        <f>164.5+1479.32+263.98+18.88</f>
        <v>1926.68</v>
      </c>
      <c r="J221" s="18"/>
      <c r="K221" s="18"/>
      <c r="L221" s="19">
        <f t="shared" ref="L221:L227" si="2">SUM(F221:K221)</f>
        <v>469503.36</v>
      </c>
      <c r="M221" s="8"/>
      <c r="N221" s="266"/>
    </row>
    <row r="222" spans="1:14" s="3" customFormat="1" ht="12.2" customHeight="1" x14ac:dyDescent="0.15">
      <c r="A222" s="1" t="s">
        <v>443</v>
      </c>
      <c r="B222" s="2" t="s">
        <v>346</v>
      </c>
      <c r="C222" s="2" t="s">
        <v>295</v>
      </c>
      <c r="D222" s="2" t="s">
        <v>431</v>
      </c>
      <c r="E222" s="6">
        <v>2200</v>
      </c>
      <c r="F222" s="18">
        <f>69996+3030.8+36869.55</f>
        <v>109896.35</v>
      </c>
      <c r="G222" s="18">
        <f>35074.01+15247.99+17930.62</f>
        <v>68252.62</v>
      </c>
      <c r="H222" s="18">
        <f>431.97+7676.87+474.27+3410.76+2291.63+1119.92</f>
        <v>15405.42</v>
      </c>
      <c r="I222" s="18">
        <f>8584.27+7881.9+27496.43</f>
        <v>43962.6</v>
      </c>
      <c r="J222" s="18">
        <f>487.13+47761.02</f>
        <v>48248.149999999994</v>
      </c>
      <c r="K222" s="18">
        <v>614.1</v>
      </c>
      <c r="L222" s="19">
        <f t="shared" si="2"/>
        <v>286379.24</v>
      </c>
      <c r="M222" s="8"/>
      <c r="N222" s="266"/>
    </row>
    <row r="223" spans="1:14" s="3" customFormat="1" ht="12.2" customHeight="1" x14ac:dyDescent="0.15">
      <c r="A223" s="1" t="s">
        <v>444</v>
      </c>
      <c r="B223" s="2" t="s">
        <v>346</v>
      </c>
      <c r="C223" s="2" t="s">
        <v>296</v>
      </c>
      <c r="D223" s="2" t="s">
        <v>431</v>
      </c>
      <c r="E223" s="6">
        <v>2300</v>
      </c>
      <c r="F223" s="18">
        <v>2116</v>
      </c>
      <c r="G223" s="18">
        <f>161.87+9716.64</f>
        <v>9878.51</v>
      </c>
      <c r="H223" s="18">
        <f>12142.08+479.03+215680.2+5708.18+1772.56</f>
        <v>235782.05</v>
      </c>
      <c r="I223" s="18">
        <v>37.950000000000003</v>
      </c>
      <c r="J223" s="18"/>
      <c r="K223" s="18">
        <v>3513.58</v>
      </c>
      <c r="L223" s="19">
        <f t="shared" si="2"/>
        <v>251328.09</v>
      </c>
      <c r="M223" s="8"/>
      <c r="N223" s="266"/>
    </row>
    <row r="224" spans="1:14" s="3" customFormat="1" ht="12.2" customHeight="1" x14ac:dyDescent="0.15">
      <c r="A224" s="1" t="s">
        <v>445</v>
      </c>
      <c r="B224" s="2" t="s">
        <v>346</v>
      </c>
      <c r="C224" s="2" t="s">
        <v>297</v>
      </c>
      <c r="D224" s="2" t="s">
        <v>431</v>
      </c>
      <c r="E224" s="6">
        <v>2400</v>
      </c>
      <c r="F224" s="18">
        <v>244477.6</v>
      </c>
      <c r="G224" s="18">
        <v>117392.28</v>
      </c>
      <c r="H224" s="18">
        <v>2958.56</v>
      </c>
      <c r="I224" s="18"/>
      <c r="J224" s="18"/>
      <c r="K224" s="18">
        <v>1370</v>
      </c>
      <c r="L224" s="19">
        <f t="shared" si="2"/>
        <v>366198.44</v>
      </c>
      <c r="M224" s="8"/>
      <c r="N224" s="266"/>
    </row>
    <row r="225" spans="1:14" s="3" customFormat="1" ht="12.2" customHeight="1" x14ac:dyDescent="0.15">
      <c r="A225" s="1" t="s">
        <v>446</v>
      </c>
      <c r="B225" s="2" t="s">
        <v>346</v>
      </c>
      <c r="C225" s="2" t="s">
        <v>298</v>
      </c>
      <c r="D225" s="2" t="s">
        <v>431</v>
      </c>
      <c r="E225" s="6">
        <v>2500</v>
      </c>
      <c r="F225" s="18"/>
      <c r="G225" s="18"/>
      <c r="H225" s="18">
        <v>2889.61</v>
      </c>
      <c r="I225" s="18"/>
      <c r="J225" s="18"/>
      <c r="K225" s="18"/>
      <c r="L225" s="19">
        <f t="shared" si="2"/>
        <v>2889.61</v>
      </c>
      <c r="M225" s="8"/>
      <c r="N225" s="266"/>
    </row>
    <row r="226" spans="1:14" s="3" customFormat="1" ht="12.2" customHeight="1" x14ac:dyDescent="0.15">
      <c r="A226" s="1" t="s">
        <v>447</v>
      </c>
      <c r="B226" s="2" t="s">
        <v>346</v>
      </c>
      <c r="C226" s="2" t="s">
        <v>299</v>
      </c>
      <c r="D226" s="2" t="s">
        <v>431</v>
      </c>
      <c r="E226" s="6">
        <v>2600</v>
      </c>
      <c r="F226" s="18">
        <v>37511.99</v>
      </c>
      <c r="G226" s="18">
        <v>16592.36</v>
      </c>
      <c r="H226" s="18">
        <v>315741.96999999997</v>
      </c>
      <c r="I226" s="18">
        <v>77381.48</v>
      </c>
      <c r="J226" s="18">
        <v>22793.43</v>
      </c>
      <c r="K226" s="18"/>
      <c r="L226" s="19">
        <f t="shared" si="2"/>
        <v>470021.22999999992</v>
      </c>
      <c r="M226" s="8"/>
      <c r="N226" s="266"/>
    </row>
    <row r="227" spans="1:14" s="3" customFormat="1" ht="12.2" customHeight="1" x14ac:dyDescent="0.15">
      <c r="A227" s="1" t="s">
        <v>448</v>
      </c>
      <c r="B227" s="2" t="s">
        <v>346</v>
      </c>
      <c r="C227" s="2" t="s">
        <v>300</v>
      </c>
      <c r="D227" s="2" t="s">
        <v>431</v>
      </c>
      <c r="E227" s="6">
        <v>2700</v>
      </c>
      <c r="F227" s="18"/>
      <c r="G227" s="18"/>
      <c r="H227" s="18">
        <f>153717.72+19221.6</f>
        <v>172939.32</v>
      </c>
      <c r="I227" s="18"/>
      <c r="J227" s="18"/>
      <c r="K227" s="18"/>
      <c r="L227" s="19">
        <f t="shared" si="2"/>
        <v>172939.32</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2526890.2800000003</v>
      </c>
      <c r="G230" s="41">
        <f>SUM(G216:G229)</f>
        <v>1288646.0000000002</v>
      </c>
      <c r="H230" s="41">
        <f>SUM(H216:H229)</f>
        <v>956241.49</v>
      </c>
      <c r="I230" s="41">
        <f>SUM(I216:I229)</f>
        <v>188630.91999999998</v>
      </c>
      <c r="J230" s="41">
        <f>SUM(J216:J229)</f>
        <v>77526.329999999987</v>
      </c>
      <c r="K230" s="41">
        <f t="shared" si="3"/>
        <v>10453.68</v>
      </c>
      <c r="L230" s="41">
        <f t="shared" si="3"/>
        <v>5048388.7</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1817707.04</f>
        <v>1817707.04</v>
      </c>
      <c r="G234" s="18">
        <f>873045.17</f>
        <v>873045.17</v>
      </c>
      <c r="H234" s="18">
        <f>49456.57</f>
        <v>49456.57</v>
      </c>
      <c r="I234" s="18">
        <f>63703.09</f>
        <v>63703.09</v>
      </c>
      <c r="J234" s="18">
        <v>9954.7800000000007</v>
      </c>
      <c r="K234" s="18">
        <f>12307.91</f>
        <v>12307.91</v>
      </c>
      <c r="L234" s="19">
        <f>SUM(F234:K234)</f>
        <v>2826174.5599999996</v>
      </c>
      <c r="M234" s="8"/>
      <c r="N234" s="266"/>
    </row>
    <row r="235" spans="1:14" s="3" customFormat="1" ht="12.2" customHeight="1" x14ac:dyDescent="0.15">
      <c r="A235" s="1" t="s">
        <v>439</v>
      </c>
      <c r="B235" s="2" t="s">
        <v>350</v>
      </c>
      <c r="C235" s="2" t="s">
        <v>291</v>
      </c>
      <c r="D235" s="2" t="s">
        <v>431</v>
      </c>
      <c r="E235" s="6">
        <v>1200</v>
      </c>
      <c r="F235" s="18">
        <f>568311.71+299272.81+3479.75+66044</f>
        <v>937108.27</v>
      </c>
      <c r="G235" s="18">
        <f>324371.19+137682.94+687.77+40420.05</f>
        <v>503161.95</v>
      </c>
      <c r="H235" s="18">
        <f>117207.31+1586.02+16036.3+3872+112.34</f>
        <v>138813.97</v>
      </c>
      <c r="I235" s="18">
        <f>769.13+4489.3+2160.21</f>
        <v>7418.64</v>
      </c>
      <c r="J235" s="18">
        <f>1055.01+2506.13</f>
        <v>3561.1400000000003</v>
      </c>
      <c r="K235" s="18"/>
      <c r="L235" s="19">
        <f>SUM(F235:K235)</f>
        <v>1590063.9699999997</v>
      </c>
      <c r="M235" s="8"/>
      <c r="N235" s="266"/>
    </row>
    <row r="236" spans="1:14" s="3" customFormat="1" ht="12.2" customHeight="1" x14ac:dyDescent="0.15">
      <c r="A236" s="1" t="s">
        <v>440</v>
      </c>
      <c r="B236" s="2" t="s">
        <v>350</v>
      </c>
      <c r="C236" s="2" t="s">
        <v>292</v>
      </c>
      <c r="D236" s="2" t="s">
        <v>431</v>
      </c>
      <c r="E236" s="6">
        <v>1300</v>
      </c>
      <c r="F236" s="18"/>
      <c r="G236" s="18"/>
      <c r="H236" s="18">
        <v>48933.66</v>
      </c>
      <c r="I236" s="18"/>
      <c r="J236" s="18"/>
      <c r="K236" s="18"/>
      <c r="L236" s="19">
        <f>SUM(F236:K236)</f>
        <v>48933.66</v>
      </c>
      <c r="M236" s="8"/>
      <c r="N236" s="266"/>
    </row>
    <row r="237" spans="1:14" s="3" customFormat="1" ht="12.2" customHeight="1" x14ac:dyDescent="0.15">
      <c r="A237" s="1" t="s">
        <v>441</v>
      </c>
      <c r="B237" s="2" t="s">
        <v>350</v>
      </c>
      <c r="C237" s="2" t="s">
        <v>293</v>
      </c>
      <c r="D237" s="2" t="s">
        <v>431</v>
      </c>
      <c r="E237" s="6">
        <v>1400</v>
      </c>
      <c r="F237" s="18">
        <f>29625+123840.15+11941.28</f>
        <v>165406.43</v>
      </c>
      <c r="G237" s="18">
        <f>7500.45+35778.96+2831.05</f>
        <v>46110.46</v>
      </c>
      <c r="H237" s="18">
        <v>20001.82</v>
      </c>
      <c r="I237" s="18">
        <f>1760.29+22323.44</f>
        <v>24083.73</v>
      </c>
      <c r="J237" s="18">
        <f>698+18589.34</f>
        <v>19287.34</v>
      </c>
      <c r="K237" s="18">
        <f>276+11757.19</f>
        <v>12033.19</v>
      </c>
      <c r="L237" s="19">
        <f>SUM(F237:K237)</f>
        <v>286922.97000000003</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245447.19+70234+32500+74869+8793.25+576</f>
        <v>432419.44</v>
      </c>
      <c r="G239" s="18">
        <f>108369.62+18491.72+20039.82+8055.25+19810.84+6023.82+146.59</f>
        <v>180937.66</v>
      </c>
      <c r="H239" s="18">
        <f>21368.21+412.47+437.5+55675+458.12+24646.79+3718.4</f>
        <v>106716.48999999999</v>
      </c>
      <c r="I239" s="18">
        <f>166.47+1027.23+421+26.26</f>
        <v>1640.96</v>
      </c>
      <c r="J239" s="18">
        <v>0</v>
      </c>
      <c r="K239" s="18">
        <v>0</v>
      </c>
      <c r="L239" s="19">
        <f t="shared" ref="L239:L245" si="4">SUM(F239:K239)</f>
        <v>721714.54999999993</v>
      </c>
      <c r="M239" s="8"/>
      <c r="N239" s="266"/>
    </row>
    <row r="240" spans="1:14" s="3" customFormat="1" ht="12.2" customHeight="1" x14ac:dyDescent="0.15">
      <c r="A240" s="1" t="s">
        <v>443</v>
      </c>
      <c r="B240" s="2" t="s">
        <v>350</v>
      </c>
      <c r="C240" s="2" t="s">
        <v>295</v>
      </c>
      <c r="D240" s="2" t="s">
        <v>431</v>
      </c>
      <c r="E240" s="6">
        <v>2200</v>
      </c>
      <c r="F240" s="18">
        <f>72701+4216.76+51296.76</f>
        <v>128214.51999999999</v>
      </c>
      <c r="G240" s="18">
        <f>18249.65+21214.6+24946.95</f>
        <v>64411.199999999997</v>
      </c>
      <c r="H240" s="18">
        <f>10680.86+659.86+4745.4+3188.36+1558.15</f>
        <v>20832.63</v>
      </c>
      <c r="I240" s="18">
        <f>20703.39+10966.12+38255.9</f>
        <v>69925.41</v>
      </c>
      <c r="J240" s="18">
        <f>4490.98+66450.12</f>
        <v>70941.099999999991</v>
      </c>
      <c r="K240" s="18">
        <f>198+854.4</f>
        <v>1052.4000000000001</v>
      </c>
      <c r="L240" s="19">
        <f t="shared" si="4"/>
        <v>355377.26</v>
      </c>
      <c r="M240" s="8"/>
      <c r="N240" s="266"/>
    </row>
    <row r="241" spans="1:14" s="3" customFormat="1" ht="12.2" customHeight="1" x14ac:dyDescent="0.15">
      <c r="A241" s="1" t="s">
        <v>444</v>
      </c>
      <c r="B241" s="2" t="s">
        <v>350</v>
      </c>
      <c r="C241" s="2" t="s">
        <v>296</v>
      </c>
      <c r="D241" s="2" t="s">
        <v>431</v>
      </c>
      <c r="E241" s="6">
        <v>2300</v>
      </c>
      <c r="F241" s="18">
        <v>2944</v>
      </c>
      <c r="G241" s="18">
        <f>225.22+13518.81</f>
        <v>13744.029999999999</v>
      </c>
      <c r="H241" s="18">
        <f>16893.33+666.47+300076.8+7941.81+2466.17</f>
        <v>328044.57999999996</v>
      </c>
      <c r="I241" s="18">
        <v>52.8</v>
      </c>
      <c r="J241" s="18"/>
      <c r="K241" s="18">
        <v>4888.46</v>
      </c>
      <c r="L241" s="19">
        <f t="shared" si="4"/>
        <v>349673.87</v>
      </c>
      <c r="M241" s="8"/>
      <c r="N241" s="266"/>
    </row>
    <row r="242" spans="1:14" s="3" customFormat="1" ht="12.2" customHeight="1" x14ac:dyDescent="0.15">
      <c r="A242" s="1" t="s">
        <v>445</v>
      </c>
      <c r="B242" s="2" t="s">
        <v>350</v>
      </c>
      <c r="C242" s="2" t="s">
        <v>297</v>
      </c>
      <c r="D242" s="2" t="s">
        <v>431</v>
      </c>
      <c r="E242" s="6">
        <v>2400</v>
      </c>
      <c r="F242" s="18">
        <v>279983.44</v>
      </c>
      <c r="G242" s="18">
        <v>155888.09</v>
      </c>
      <c r="H242" s="18">
        <v>6013.93</v>
      </c>
      <c r="I242" s="18">
        <v>4071.51</v>
      </c>
      <c r="J242" s="18">
        <v>413.97</v>
      </c>
      <c r="K242" s="18">
        <v>16950.900000000001</v>
      </c>
      <c r="L242" s="19">
        <f t="shared" si="4"/>
        <v>463321.84</v>
      </c>
      <c r="M242" s="8"/>
      <c r="N242" s="266"/>
    </row>
    <row r="243" spans="1:14" s="3" customFormat="1" ht="12.2" customHeight="1" x14ac:dyDescent="0.15">
      <c r="A243" s="1" t="s">
        <v>446</v>
      </c>
      <c r="B243" s="2" t="s">
        <v>350</v>
      </c>
      <c r="C243" s="2" t="s">
        <v>298</v>
      </c>
      <c r="D243" s="2" t="s">
        <v>431</v>
      </c>
      <c r="E243" s="6">
        <v>2500</v>
      </c>
      <c r="F243" s="18"/>
      <c r="G243" s="18"/>
      <c r="H243" s="18">
        <v>4020.33</v>
      </c>
      <c r="I243" s="18"/>
      <c r="J243" s="18"/>
      <c r="K243" s="18"/>
      <c r="L243" s="19">
        <f t="shared" si="4"/>
        <v>4020.33</v>
      </c>
      <c r="M243" s="8"/>
      <c r="N243" s="266"/>
    </row>
    <row r="244" spans="1:14" s="3" customFormat="1" ht="12.2" customHeight="1" x14ac:dyDescent="0.15">
      <c r="A244" s="1" t="s">
        <v>447</v>
      </c>
      <c r="B244" s="2" t="s">
        <v>350</v>
      </c>
      <c r="C244" s="2" t="s">
        <v>299</v>
      </c>
      <c r="D244" s="2" t="s">
        <v>431</v>
      </c>
      <c r="E244" s="6">
        <v>2600</v>
      </c>
      <c r="F244" s="18">
        <v>52190.59</v>
      </c>
      <c r="G244" s="18">
        <v>23085.02</v>
      </c>
      <c r="H244" s="18">
        <f>439293.18+54840.99</f>
        <v>494134.17</v>
      </c>
      <c r="I244" s="18">
        <f>12472.54+107661.19</f>
        <v>120133.73000000001</v>
      </c>
      <c r="J244" s="18">
        <v>31712.6</v>
      </c>
      <c r="K244" s="18"/>
      <c r="L244" s="19">
        <f t="shared" si="4"/>
        <v>721256.11</v>
      </c>
      <c r="M244" s="8"/>
      <c r="N244" s="266"/>
    </row>
    <row r="245" spans="1:14" s="3" customFormat="1" ht="12.2" customHeight="1" x14ac:dyDescent="0.15">
      <c r="A245" s="1" t="s">
        <v>448</v>
      </c>
      <c r="B245" s="2" t="s">
        <v>350</v>
      </c>
      <c r="C245" s="2" t="s">
        <v>300</v>
      </c>
      <c r="D245" s="2" t="s">
        <v>431</v>
      </c>
      <c r="E245" s="6">
        <v>2700</v>
      </c>
      <c r="F245" s="18"/>
      <c r="G245" s="18"/>
      <c r="H245" s="18">
        <f>213868.14+82550.92</f>
        <v>296419.06</v>
      </c>
      <c r="I245" s="18"/>
      <c r="J245" s="18"/>
      <c r="K245" s="18"/>
      <c r="L245" s="19">
        <f t="shared" si="4"/>
        <v>296419.06</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3815973.73</v>
      </c>
      <c r="G248" s="41">
        <f t="shared" si="5"/>
        <v>1860383.58</v>
      </c>
      <c r="H248" s="41">
        <f t="shared" si="5"/>
        <v>1513387.21</v>
      </c>
      <c r="I248" s="41">
        <f t="shared" si="5"/>
        <v>291029.87</v>
      </c>
      <c r="J248" s="41">
        <f t="shared" si="5"/>
        <v>135870.93</v>
      </c>
      <c r="K248" s="41">
        <f t="shared" si="5"/>
        <v>47232.86</v>
      </c>
      <c r="L248" s="41">
        <f t="shared" si="5"/>
        <v>7663878.1799999988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10732473.27</v>
      </c>
      <c r="G258" s="41">
        <f t="shared" si="8"/>
        <v>5257351.46</v>
      </c>
      <c r="H258" s="41">
        <f t="shared" si="8"/>
        <v>4087694.09</v>
      </c>
      <c r="I258" s="41">
        <f t="shared" si="8"/>
        <v>819352.62</v>
      </c>
      <c r="J258" s="41">
        <f t="shared" si="8"/>
        <v>360147.53</v>
      </c>
      <c r="K258" s="41">
        <f t="shared" si="8"/>
        <v>68161.429999999993</v>
      </c>
      <c r="L258" s="41">
        <f t="shared" si="8"/>
        <v>21325180.399999999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735000</v>
      </c>
      <c r="L261" s="19">
        <f>SUM(F261:K261)</f>
        <v>735000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128625</v>
      </c>
      <c r="L262" s="19">
        <f>SUM(F262:K262)</f>
        <v>128625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50000</v>
      </c>
      <c r="L264" s="19">
        <f>SUM(F264:K264)</f>
        <v>50000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200000</v>
      </c>
      <c r="L267" s="19">
        <f t="shared" si="9"/>
        <v>200000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1113625</v>
      </c>
      <c r="L271" s="41">
        <f t="shared" si="9"/>
        <v>1113625</v>
      </c>
      <c r="M271" s="8"/>
      <c r="N271" s="266"/>
    </row>
    <row r="272" spans="1:14" s="34" customFormat="1" ht="12.2" customHeight="1" thickTop="1" x14ac:dyDescent="0.2">
      <c r="A272" s="43" t="s">
        <v>464</v>
      </c>
      <c r="B272" s="40">
        <v>10</v>
      </c>
      <c r="C272" s="40">
        <v>18</v>
      </c>
      <c r="D272" s="39" t="s">
        <v>431</v>
      </c>
      <c r="E272" s="40"/>
      <c r="F272" s="42">
        <f t="shared" ref="F272:L272" si="11">F258+F271</f>
        <v>10732473.27</v>
      </c>
      <c r="G272" s="42">
        <f t="shared" si="11"/>
        <v>5257351.46</v>
      </c>
      <c r="H272" s="42">
        <f t="shared" si="11"/>
        <v>4087694.09</v>
      </c>
      <c r="I272" s="42">
        <f t="shared" si="11"/>
        <v>819352.62</v>
      </c>
      <c r="J272" s="42">
        <f t="shared" si="11"/>
        <v>360147.53</v>
      </c>
      <c r="K272" s="42">
        <f t="shared" si="11"/>
        <v>1181786.43</v>
      </c>
      <c r="L272" s="42">
        <f t="shared" si="11"/>
        <v>22438805.399999999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593800</v>
      </c>
      <c r="G277" s="18">
        <v>188508.21</v>
      </c>
      <c r="H277" s="18">
        <v>107017.05</v>
      </c>
      <c r="I277" s="18">
        <v>64024.81</v>
      </c>
      <c r="J277" s="18">
        <v>27027</v>
      </c>
      <c r="K277" s="18">
        <v>36231.870000000003</v>
      </c>
      <c r="L277" s="19">
        <f>SUM(F277:K277)</f>
        <v>1016608.9400000001</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593800</v>
      </c>
      <c r="G291" s="42">
        <f t="shared" si="13"/>
        <v>188508.21</v>
      </c>
      <c r="H291" s="42">
        <f t="shared" si="13"/>
        <v>107017.05</v>
      </c>
      <c r="I291" s="42">
        <f t="shared" si="13"/>
        <v>64024.81</v>
      </c>
      <c r="J291" s="42">
        <f t="shared" si="13"/>
        <v>27027</v>
      </c>
      <c r="K291" s="42">
        <f t="shared" si="13"/>
        <v>36231.870000000003</v>
      </c>
      <c r="L291" s="41">
        <f t="shared" si="13"/>
        <v>1016608.9400000001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47975</v>
      </c>
      <c r="G296" s="18">
        <v>11748.61</v>
      </c>
      <c r="H296" s="18">
        <v>11796.03</v>
      </c>
      <c r="I296" s="18">
        <v>11174.98</v>
      </c>
      <c r="J296" s="18">
        <v>313.77</v>
      </c>
      <c r="K296" s="18">
        <v>820.52</v>
      </c>
      <c r="L296" s="19">
        <f>SUM(F296:K296)</f>
        <v>83828.91</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47975</v>
      </c>
      <c r="G310" s="42">
        <f t="shared" si="15"/>
        <v>11748.61</v>
      </c>
      <c r="H310" s="42">
        <f t="shared" si="15"/>
        <v>11796.03</v>
      </c>
      <c r="I310" s="42">
        <f t="shared" si="15"/>
        <v>11174.98</v>
      </c>
      <c r="J310" s="42">
        <f t="shared" si="15"/>
        <v>313.77</v>
      </c>
      <c r="K310" s="42">
        <f t="shared" si="15"/>
        <v>820.52</v>
      </c>
      <c r="L310" s="41">
        <f t="shared" si="15"/>
        <v>83828.91</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34248</v>
      </c>
      <c r="G315" s="18">
        <v>8614.24</v>
      </c>
      <c r="H315" s="18">
        <v>47741.9</v>
      </c>
      <c r="I315" s="18">
        <v>25984.880000000001</v>
      </c>
      <c r="J315" s="18">
        <v>427.74</v>
      </c>
      <c r="K315" s="18">
        <v>3042.18</v>
      </c>
      <c r="L315" s="19">
        <f>SUM(F315:K315)</f>
        <v>120058.94</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34248</v>
      </c>
      <c r="G329" s="42">
        <f t="shared" si="17"/>
        <v>8614.24</v>
      </c>
      <c r="H329" s="42">
        <f t="shared" si="17"/>
        <v>47741.9</v>
      </c>
      <c r="I329" s="42">
        <f t="shared" si="17"/>
        <v>25984.880000000001</v>
      </c>
      <c r="J329" s="42">
        <f t="shared" si="17"/>
        <v>427.74</v>
      </c>
      <c r="K329" s="42">
        <f t="shared" si="17"/>
        <v>3042.18</v>
      </c>
      <c r="L329" s="41">
        <f t="shared" si="17"/>
        <v>120058.94</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676023</v>
      </c>
      <c r="G339" s="41">
        <f t="shared" si="20"/>
        <v>208871.06</v>
      </c>
      <c r="H339" s="41">
        <f t="shared" si="20"/>
        <v>166554.98000000001</v>
      </c>
      <c r="I339" s="41">
        <f t="shared" si="20"/>
        <v>101184.67</v>
      </c>
      <c r="J339" s="41">
        <f t="shared" si="20"/>
        <v>27768.510000000002</v>
      </c>
      <c r="K339" s="41">
        <f t="shared" si="20"/>
        <v>40094.57</v>
      </c>
      <c r="L339" s="41">
        <f t="shared" si="20"/>
        <v>1220496.79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676023</v>
      </c>
      <c r="G353" s="41">
        <f>G339</f>
        <v>208871.06</v>
      </c>
      <c r="H353" s="41">
        <f>H339</f>
        <v>166554.98000000001</v>
      </c>
      <c r="I353" s="41">
        <f>I339</f>
        <v>101184.67</v>
      </c>
      <c r="J353" s="41">
        <f>J339</f>
        <v>27768.510000000002</v>
      </c>
      <c r="K353" s="47">
        <f>K339+K352</f>
        <v>40094.57</v>
      </c>
      <c r="L353" s="41">
        <f>L339+L352</f>
        <v>1220496.79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78163.62+23344.53</f>
        <v>101508.15</v>
      </c>
      <c r="G359" s="18">
        <f>48507.67+9746.84</f>
        <v>58254.509999999995</v>
      </c>
      <c r="H359" s="18">
        <v>2162.7399999999998</v>
      </c>
      <c r="I359" s="18">
        <f>165205.81+14387.23+3207.06</f>
        <v>182800.1</v>
      </c>
      <c r="J359" s="18"/>
      <c r="K359" s="18"/>
      <c r="L359" s="13">
        <f>SUM(F359:K359)</f>
        <v>344725.5</v>
      </c>
      <c r="M359" s="8"/>
      <c r="N359" s="266"/>
    </row>
    <row r="360" spans="1:22" s="3" customFormat="1" ht="12.2" customHeight="1" x14ac:dyDescent="0.15">
      <c r="A360" s="1" t="s">
        <v>542</v>
      </c>
      <c r="B360" s="2" t="s">
        <v>366</v>
      </c>
      <c r="C360" s="6">
        <v>2</v>
      </c>
      <c r="D360" s="2" t="s">
        <v>431</v>
      </c>
      <c r="E360" s="6"/>
      <c r="F360" s="18">
        <f>52641.77+11931.65</f>
        <v>64573.42</v>
      </c>
      <c r="G360" s="18">
        <f>12961.07+4981.72</f>
        <v>17942.79</v>
      </c>
      <c r="H360" s="18">
        <v>1105.4000000000001</v>
      </c>
      <c r="I360" s="18">
        <f>63399.41+7353.47+1639.57</f>
        <v>72392.450000000012</v>
      </c>
      <c r="J360" s="18"/>
      <c r="K360" s="18"/>
      <c r="L360" s="19">
        <f>SUM(F360:K360)</f>
        <v>156014.06</v>
      </c>
      <c r="M360" s="8"/>
      <c r="N360" s="266"/>
    </row>
    <row r="361" spans="1:22" s="3" customFormat="1" ht="12.2" customHeight="1" x14ac:dyDescent="0.15">
      <c r="A361" s="3" t="s">
        <v>543</v>
      </c>
      <c r="B361" s="2" t="s">
        <v>366</v>
      </c>
      <c r="C361" s="6">
        <v>3</v>
      </c>
      <c r="D361" s="2" t="s">
        <v>431</v>
      </c>
      <c r="E361" s="6"/>
      <c r="F361" s="18">
        <f>52634.55+16600.56</f>
        <v>69235.11</v>
      </c>
      <c r="G361" s="18">
        <f>10887.17+6931.09</f>
        <v>17818.260000000002</v>
      </c>
      <c r="H361" s="18">
        <v>1537.95</v>
      </c>
      <c r="I361" s="18">
        <f>52397.01+10230.92+2281.14</f>
        <v>64909.07</v>
      </c>
      <c r="J361" s="18"/>
      <c r="K361" s="18"/>
      <c r="L361" s="19">
        <f>SUM(F361:K361)</f>
        <v>153500.38999999998</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235316.68</v>
      </c>
      <c r="G363" s="47">
        <f t="shared" si="22"/>
        <v>94015.56</v>
      </c>
      <c r="H363" s="47">
        <f t="shared" si="22"/>
        <v>4806.09</v>
      </c>
      <c r="I363" s="47">
        <f t="shared" si="22"/>
        <v>320101.62</v>
      </c>
      <c r="J363" s="47">
        <f t="shared" si="22"/>
        <v>0</v>
      </c>
      <c r="K363" s="47">
        <f t="shared" si="22"/>
        <v>0</v>
      </c>
      <c r="L363" s="47">
        <f t="shared" si="22"/>
        <v>654239.94999999995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157433.37</v>
      </c>
      <c r="G368" s="18">
        <v>64639.75</v>
      </c>
      <c r="H368" s="18">
        <v>62086.29</v>
      </c>
      <c r="I368" s="56">
        <f>SUM(F368:H368)</f>
        <v>284159.40999999997</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15318.05</v>
      </c>
      <c r="G369" s="63">
        <v>11955.21</v>
      </c>
      <c r="H369" s="63">
        <v>8668.9500000000007</v>
      </c>
      <c r="I369" s="56">
        <f>SUM(F369:H369)</f>
        <v>35942.21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172751.41999999998</v>
      </c>
      <c r="G370" s="47">
        <f>SUM(G368:G369)</f>
        <v>76594.959999999992</v>
      </c>
      <c r="H370" s="47">
        <f>SUM(H368:H369)</f>
        <v>70755.240000000005</v>
      </c>
      <c r="I370" s="47">
        <f>SUM(I368:I369)</f>
        <v>320101.62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100000</v>
      </c>
      <c r="H397" s="18">
        <v>3702</v>
      </c>
      <c r="I397" s="18"/>
      <c r="J397" s="24" t="s">
        <v>288</v>
      </c>
      <c r="K397" s="24" t="s">
        <v>288</v>
      </c>
      <c r="L397" s="56">
        <f t="shared" si="26"/>
        <v>103702</v>
      </c>
      <c r="M397" s="8"/>
      <c r="N397" s="266"/>
    </row>
    <row r="398" spans="1:14" s="3" customFormat="1" ht="12.2" customHeight="1" x14ac:dyDescent="0.15">
      <c r="A398" s="79" t="s">
        <v>515</v>
      </c>
      <c r="B398" s="2" t="s">
        <v>381</v>
      </c>
      <c r="C398" s="6">
        <v>10</v>
      </c>
      <c r="D398" s="2" t="s">
        <v>432</v>
      </c>
      <c r="E398" s="6"/>
      <c r="F398" s="18"/>
      <c r="G398" s="18">
        <v>50000</v>
      </c>
      <c r="H398" s="18"/>
      <c r="I398" s="18"/>
      <c r="J398" s="24" t="s">
        <v>288</v>
      </c>
      <c r="K398" s="24" t="s">
        <v>288</v>
      </c>
      <c r="L398" s="56">
        <f t="shared" si="26"/>
        <v>50000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v>50000</v>
      </c>
      <c r="H400" s="18"/>
      <c r="I400" s="18"/>
      <c r="J400" s="24" t="s">
        <v>288</v>
      </c>
      <c r="K400" s="24" t="s">
        <v>288</v>
      </c>
      <c r="L400" s="56">
        <f t="shared" si="26"/>
        <v>50000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200000</v>
      </c>
      <c r="H402" s="47">
        <f>SUM(H396:H401)</f>
        <v>3702</v>
      </c>
      <c r="I402" s="47">
        <f>SUM(I396:I401)</f>
        <v>0</v>
      </c>
      <c r="J402" s="45" t="s">
        <v>288</v>
      </c>
      <c r="K402" s="45" t="s">
        <v>288</v>
      </c>
      <c r="L402" s="47">
        <f>SUM(L396:L401)</f>
        <v>203702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200000</v>
      </c>
      <c r="H409" s="47">
        <f>H394+H402+H408</f>
        <v>3702</v>
      </c>
      <c r="I409" s="47">
        <f>I394+I402+I408</f>
        <v>0</v>
      </c>
      <c r="J409" s="24" t="s">
        <v>288</v>
      </c>
      <c r="K409" s="24" t="s">
        <v>288</v>
      </c>
      <c r="L409" s="47">
        <f>L394+L402+L408</f>
        <v>203702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f>34034+18162</f>
        <v>52196</v>
      </c>
      <c r="I424" s="18"/>
      <c r="J424" s="18"/>
      <c r="K424" s="18"/>
      <c r="L424" s="56">
        <f t="shared" si="29"/>
        <v>52196</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v>74105</v>
      </c>
      <c r="I426" s="18"/>
      <c r="J426" s="18"/>
      <c r="K426" s="18"/>
      <c r="L426" s="56">
        <f t="shared" si="29"/>
        <v>74105</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126301</v>
      </c>
      <c r="I428" s="47">
        <f t="shared" si="30"/>
        <v>0</v>
      </c>
      <c r="J428" s="47">
        <f t="shared" si="30"/>
        <v>0</v>
      </c>
      <c r="K428" s="47">
        <f t="shared" si="30"/>
        <v>0</v>
      </c>
      <c r="L428" s="47">
        <f t="shared" si="30"/>
        <v>126301</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126301</v>
      </c>
      <c r="I435" s="47">
        <f t="shared" si="32"/>
        <v>0</v>
      </c>
      <c r="J435" s="47">
        <f t="shared" si="32"/>
        <v>0</v>
      </c>
      <c r="K435" s="47">
        <f t="shared" si="32"/>
        <v>0</v>
      </c>
      <c r="L435" s="47">
        <f t="shared" si="32"/>
        <v>126301</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990098.92</v>
      </c>
      <c r="H440" s="18"/>
      <c r="I440" s="56">
        <f t="shared" ref="I440:I446" si="33">SUM(F440:H440)</f>
        <v>990098.92</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990098.92</v>
      </c>
      <c r="H447" s="13">
        <f>SUM(H440:H446)</f>
        <v>0</v>
      </c>
      <c r="I447" s="13">
        <f>SUM(I440:I446)</f>
        <v>990098.92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v>0</v>
      </c>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990098.92</v>
      </c>
      <c r="H460" s="18"/>
      <c r="I460" s="56">
        <f t="shared" si="34"/>
        <v>990098.92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990098.92</v>
      </c>
      <c r="H461" s="83">
        <f>SUM(H455:H460)</f>
        <v>0</v>
      </c>
      <c r="I461" s="83">
        <f>SUM(I455:I460)</f>
        <v>990098.92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990098.92</v>
      </c>
      <c r="H462" s="42">
        <f>H453+H461</f>
        <v>0</v>
      </c>
      <c r="I462" s="42">
        <f>I453+I461</f>
        <v>990098.92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f>1392770.19+352300-0.41-78723.73</f>
        <v>1666346.05</v>
      </c>
      <c r="G466" s="18">
        <f>122072+5202.3</f>
        <v>127274.3</v>
      </c>
      <c r="H466" s="18">
        <f>322879-2955.37</f>
        <v>319923.63</v>
      </c>
      <c r="I466" s="18"/>
      <c r="J466" s="18">
        <f>891551+121146.92-100000</f>
        <v>912697.92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22102481.82</v>
      </c>
      <c r="G469" s="18">
        <f>G194</f>
        <v>575158.80000000005</v>
      </c>
      <c r="H469" s="18">
        <f>H194</f>
        <v>1240401.8</v>
      </c>
      <c r="I469" s="18"/>
      <c r="J469" s="18">
        <f>200000+802+1704+309+19+432+380+49+7</f>
        <v>203702</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22102481.82</v>
      </c>
      <c r="G471" s="53">
        <f>SUM(G469:G470)</f>
        <v>575158.80000000005</v>
      </c>
      <c r="H471" s="53">
        <f>SUM(H469:H470)</f>
        <v>1240401.8</v>
      </c>
      <c r="I471" s="53">
        <f>SUM(I469:I470)</f>
        <v>0</v>
      </c>
      <c r="J471" s="53">
        <f>SUM(J469:J470)</f>
        <v>203702</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22438805.399999999</v>
      </c>
      <c r="G473" s="18">
        <f>L363</f>
        <v>654239.94999999995</v>
      </c>
      <c r="H473" s="18">
        <f>L353</f>
        <v>1220496.79</v>
      </c>
      <c r="I473" s="18"/>
      <c r="J473" s="18">
        <f>34034+18162+74105</f>
        <v>126301</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22438805.399999999</v>
      </c>
      <c r="G475" s="53">
        <f>SUM(G473:G474)</f>
        <v>654239.94999999995</v>
      </c>
      <c r="H475" s="53">
        <f>SUM(H473:H474)</f>
        <v>1220496.79</v>
      </c>
      <c r="I475" s="53">
        <f>SUM(I473:I474)</f>
        <v>0</v>
      </c>
      <c r="J475" s="53">
        <f>SUM(J473:J474)</f>
        <v>126301</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1330022.4700000025</v>
      </c>
      <c r="G477" s="53">
        <f>(G466+G471)- G475</f>
        <v>48193.15000000014</v>
      </c>
      <c r="H477" s="53">
        <f>(H466+H471)- H475</f>
        <v>339828.64000000013</v>
      </c>
      <c r="I477" s="53">
        <f>(I466+I471)- I475</f>
        <v>0</v>
      </c>
      <c r="J477" s="53">
        <f>(J466+J471)- J475</f>
        <v>990098.91999999993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943065.52+117787+19258.27-F532</f>
        <v>931021.79</v>
      </c>
      <c r="G522" s="18">
        <f>642263.33+61502.88+3533.83-G532</f>
        <v>641161.03999999992</v>
      </c>
      <c r="H522" s="18">
        <f>149463.98+5445+157.98</f>
        <v>155066.96000000002</v>
      </c>
      <c r="I522" s="18">
        <f>4990.64+4726.96</f>
        <v>9717.6</v>
      </c>
      <c r="J522" s="18">
        <f>413.12+2154.74</f>
        <v>2567.8599999999997</v>
      </c>
      <c r="K522" s="18">
        <f>275</f>
        <v>275</v>
      </c>
      <c r="L522" s="88">
        <f>SUM(F522:K522)</f>
        <v>1739810.2500000002</v>
      </c>
      <c r="N522" s="265"/>
    </row>
    <row r="523" spans="1:14" s="52" customFormat="1" ht="12.2" customHeight="1" x14ac:dyDescent="0.2">
      <c r="A523" s="22" t="s">
        <v>634</v>
      </c>
      <c r="B523" s="105">
        <v>21</v>
      </c>
      <c r="C523" s="115">
        <v>2</v>
      </c>
      <c r="D523" s="2" t="s">
        <v>432</v>
      </c>
      <c r="E523" s="115"/>
      <c r="F523" s="18">
        <f>451705.93+60816.25+4935.54-F533</f>
        <v>382777.72</v>
      </c>
      <c r="G523" s="18">
        <f>268202.06+14126.58+1069.74-G533</f>
        <v>229330.38</v>
      </c>
      <c r="H523" s="18">
        <f>400+138709.05+2783+80.75</f>
        <v>141972.79999999999</v>
      </c>
      <c r="I523" s="18">
        <f>1569.37+1541.28</f>
        <v>3110.6499999999996</v>
      </c>
      <c r="J523" s="18">
        <v>628.94000000000005</v>
      </c>
      <c r="K523" s="18">
        <v>0</v>
      </c>
      <c r="L523" s="88">
        <f>SUM(F523:K523)</f>
        <v>757820.48999999987</v>
      </c>
      <c r="N523" s="265"/>
    </row>
    <row r="524" spans="1:14" s="52" customFormat="1" ht="12.2" customHeight="1" thickBot="1" x14ac:dyDescent="0.25">
      <c r="A524" s="22" t="s">
        <v>635</v>
      </c>
      <c r="B524" s="105">
        <v>21</v>
      </c>
      <c r="C524" s="115">
        <v>3</v>
      </c>
      <c r="D524" s="2" t="s">
        <v>432</v>
      </c>
      <c r="E524" s="115"/>
      <c r="F524" s="18">
        <f>568311.71+299272.81+3479.75+66044-F534</f>
        <v>806752.27</v>
      </c>
      <c r="G524" s="18">
        <f>324371.19+137682.94+687.77+40420.05-G534</f>
        <v>445638.95</v>
      </c>
      <c r="H524" s="18">
        <f>117207.31+1586.02+16036.3+3872+112.34</f>
        <v>138813.97</v>
      </c>
      <c r="I524" s="18">
        <f>769.13+4489.3+2160.21</f>
        <v>7418.64</v>
      </c>
      <c r="J524" s="18">
        <f>1055.01+2506.13</f>
        <v>3561.1400000000003</v>
      </c>
      <c r="K524" s="18"/>
      <c r="L524" s="88">
        <f>SUM(F524:K524)</f>
        <v>1402184.9699999997</v>
      </c>
      <c r="N524" s="265"/>
    </row>
    <row r="525" spans="1:14" s="52" customFormat="1" ht="12.2" customHeight="1" thickTop="1" x14ac:dyDescent="0.2">
      <c r="A525" s="139" t="s">
        <v>63</v>
      </c>
      <c r="B525" s="107">
        <v>21</v>
      </c>
      <c r="C525" s="195">
        <v>4</v>
      </c>
      <c r="D525" s="196" t="s">
        <v>432</v>
      </c>
      <c r="E525" s="195"/>
      <c r="F525" s="108">
        <f>SUM(F522:F524)</f>
        <v>2120551.7800000003</v>
      </c>
      <c r="G525" s="108">
        <f t="shared" ref="G525:L525" si="36">SUM(G522:G524)</f>
        <v>1316130.3699999999</v>
      </c>
      <c r="H525" s="108">
        <f t="shared" si="36"/>
        <v>435853.73</v>
      </c>
      <c r="I525" s="108">
        <f t="shared" si="36"/>
        <v>20246.89</v>
      </c>
      <c r="J525" s="108">
        <f t="shared" si="36"/>
        <v>6757.9400000000005</v>
      </c>
      <c r="K525" s="108">
        <f t="shared" si="36"/>
        <v>275</v>
      </c>
      <c r="L525" s="89">
        <f t="shared" si="36"/>
        <v>3899815.71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65600+137199+188599</f>
        <v>391398</v>
      </c>
      <c r="G527" s="18">
        <v>178442</v>
      </c>
      <c r="H527" s="18"/>
      <c r="I527" s="18">
        <v>1063</v>
      </c>
      <c r="J527" s="18"/>
      <c r="K527" s="18"/>
      <c r="L527" s="88">
        <f>SUM(F527:K527)</f>
        <v>570903</v>
      </c>
      <c r="M527" s="8"/>
      <c r="N527" s="266"/>
    </row>
    <row r="528" spans="1:14" s="3" customFormat="1" ht="12.2" customHeight="1" x14ac:dyDescent="0.15">
      <c r="A528" s="22" t="s">
        <v>634</v>
      </c>
      <c r="B528" s="105">
        <v>21</v>
      </c>
      <c r="C528" s="115">
        <v>6</v>
      </c>
      <c r="D528" s="2" t="s">
        <v>432</v>
      </c>
      <c r="E528" s="115"/>
      <c r="F528" s="18">
        <f>32500+78699</f>
        <v>111199</v>
      </c>
      <c r="G528" s="18">
        <v>63638</v>
      </c>
      <c r="H528" s="18"/>
      <c r="I528" s="18">
        <v>264</v>
      </c>
      <c r="J528" s="18"/>
      <c r="K528" s="18"/>
      <c r="L528" s="88">
        <f>SUM(F528:K528)</f>
        <v>175101</v>
      </c>
      <c r="M528" s="8"/>
      <c r="N528" s="266"/>
    </row>
    <row r="529" spans="1:14" s="3" customFormat="1" ht="12.2" customHeight="1" thickBot="1" x14ac:dyDescent="0.2">
      <c r="A529" s="22" t="s">
        <v>635</v>
      </c>
      <c r="B529" s="118">
        <v>21</v>
      </c>
      <c r="C529" s="118">
        <v>7</v>
      </c>
      <c r="D529" s="2" t="s">
        <v>432</v>
      </c>
      <c r="E529" s="118"/>
      <c r="F529" s="18">
        <f>32500+74869</f>
        <v>107369</v>
      </c>
      <c r="G529" s="18">
        <v>47905</v>
      </c>
      <c r="H529" s="18">
        <v>55675</v>
      </c>
      <c r="I529" s="18">
        <v>421</v>
      </c>
      <c r="J529" s="18"/>
      <c r="K529" s="18"/>
      <c r="L529" s="88">
        <f>SUM(F529:K529)</f>
        <v>211370</v>
      </c>
      <c r="M529" s="8"/>
      <c r="N529" s="266"/>
    </row>
    <row r="530" spans="1:14" s="3" customFormat="1" ht="12.2" customHeight="1" thickTop="1" x14ac:dyDescent="0.15">
      <c r="A530" s="139" t="s">
        <v>65</v>
      </c>
      <c r="B530" s="107">
        <v>21</v>
      </c>
      <c r="C530" s="107">
        <v>8</v>
      </c>
      <c r="D530" s="158" t="s">
        <v>432</v>
      </c>
      <c r="E530" s="107"/>
      <c r="F530" s="89">
        <f>SUM(F527:F529)</f>
        <v>609966</v>
      </c>
      <c r="G530" s="89">
        <f t="shared" ref="G530:L530" si="37">SUM(G527:G529)</f>
        <v>289985</v>
      </c>
      <c r="H530" s="89">
        <f t="shared" si="37"/>
        <v>55675</v>
      </c>
      <c r="I530" s="89">
        <f t="shared" si="37"/>
        <v>1748</v>
      </c>
      <c r="J530" s="89">
        <f t="shared" si="37"/>
        <v>0</v>
      </c>
      <c r="K530" s="89">
        <f t="shared" si="37"/>
        <v>0</v>
      </c>
      <c r="L530" s="89">
        <f t="shared" si="37"/>
        <v>957374</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81423+48596+19070</f>
        <v>149089</v>
      </c>
      <c r="G532" s="18">
        <f>37494+14899+13746</f>
        <v>66139</v>
      </c>
      <c r="H532" s="18"/>
      <c r="I532" s="18"/>
      <c r="J532" s="18"/>
      <c r="K532" s="18"/>
      <c r="L532" s="88">
        <f>SUM(F532:K532)</f>
        <v>215228</v>
      </c>
      <c r="M532" s="8"/>
      <c r="N532" s="266"/>
    </row>
    <row r="533" spans="1:14" s="3" customFormat="1" ht="12.2" customHeight="1" x14ac:dyDescent="0.15">
      <c r="A533" s="22" t="s">
        <v>634</v>
      </c>
      <c r="B533" s="105">
        <v>21</v>
      </c>
      <c r="C533" s="105">
        <v>10</v>
      </c>
      <c r="D533" s="2" t="s">
        <v>432</v>
      </c>
      <c r="E533" s="105"/>
      <c r="F533" s="18">
        <f>81148+28253+11087+14192</f>
        <v>134680</v>
      </c>
      <c r="G533" s="18">
        <f>37414+8662+7992</f>
        <v>54068</v>
      </c>
      <c r="H533" s="18"/>
      <c r="I533" s="18"/>
      <c r="J533" s="18"/>
      <c r="K533" s="18"/>
      <c r="L533" s="88">
        <f>SUM(F533:K533)</f>
        <v>188748</v>
      </c>
      <c r="M533" s="8"/>
      <c r="N533" s="266"/>
    </row>
    <row r="534" spans="1:14" s="3" customFormat="1" ht="12.2" customHeight="1" thickBot="1" x14ac:dyDescent="0.2">
      <c r="A534" s="22" t="s">
        <v>635</v>
      </c>
      <c r="B534" s="105">
        <v>21</v>
      </c>
      <c r="C534" s="105">
        <v>11</v>
      </c>
      <c r="D534" s="2" t="s">
        <v>432</v>
      </c>
      <c r="E534" s="105"/>
      <c r="F534" s="18">
        <f>80000+36164+14192</f>
        <v>130356</v>
      </c>
      <c r="G534" s="18">
        <f>36205+11088+10230</f>
        <v>57523</v>
      </c>
      <c r="H534" s="18"/>
      <c r="I534" s="18"/>
      <c r="J534" s="18"/>
      <c r="K534" s="18"/>
      <c r="L534" s="88">
        <f>SUM(F534:K534)</f>
        <v>187879</v>
      </c>
      <c r="M534" s="8"/>
      <c r="N534" s="266"/>
    </row>
    <row r="535" spans="1:14" s="3" customFormat="1" ht="12.2" customHeight="1" thickTop="1" x14ac:dyDescent="0.15">
      <c r="A535" s="139" t="s">
        <v>67</v>
      </c>
      <c r="B535" s="107">
        <v>21</v>
      </c>
      <c r="C535" s="107">
        <v>12</v>
      </c>
      <c r="D535" s="158" t="s">
        <v>432</v>
      </c>
      <c r="E535" s="107"/>
      <c r="F535" s="89">
        <f>SUM(F532:F534)</f>
        <v>414125</v>
      </c>
      <c r="G535" s="89">
        <f t="shared" ref="G535:L535" si="38">SUM(G532:G534)</f>
        <v>177730</v>
      </c>
      <c r="H535" s="89">
        <f t="shared" si="38"/>
        <v>0</v>
      </c>
      <c r="I535" s="89">
        <f t="shared" si="38"/>
        <v>0</v>
      </c>
      <c r="J535" s="89">
        <f t="shared" si="38"/>
        <v>0</v>
      </c>
      <c r="K535" s="89">
        <f t="shared" si="38"/>
        <v>0</v>
      </c>
      <c r="L535" s="89">
        <f t="shared" si="38"/>
        <v>591855</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76265</v>
      </c>
      <c r="I542" s="18"/>
      <c r="J542" s="18"/>
      <c r="K542" s="18"/>
      <c r="L542" s="88">
        <f>SUM(F542:K542)</f>
        <v>76265</v>
      </c>
      <c r="M542" s="8"/>
      <c r="N542" s="266"/>
    </row>
    <row r="543" spans="1:14" s="3" customFormat="1" ht="12.2" customHeight="1" x14ac:dyDescent="0.15">
      <c r="A543" s="22" t="s">
        <v>634</v>
      </c>
      <c r="B543" s="105">
        <v>21</v>
      </c>
      <c r="C543" s="105">
        <v>18</v>
      </c>
      <c r="D543" s="2" t="s">
        <v>432</v>
      </c>
      <c r="E543" s="105"/>
      <c r="F543" s="18"/>
      <c r="G543" s="18"/>
      <c r="H543" s="18">
        <v>40620</v>
      </c>
      <c r="I543" s="18"/>
      <c r="J543" s="18"/>
      <c r="K543" s="18"/>
      <c r="L543" s="88">
        <f>SUM(F543:K543)</f>
        <v>40620</v>
      </c>
      <c r="M543" s="8"/>
      <c r="N543" s="266"/>
    </row>
    <row r="544" spans="1:14" s="3" customFormat="1" ht="12.2" customHeight="1" thickBot="1" x14ac:dyDescent="0.2">
      <c r="A544" s="22" t="s">
        <v>635</v>
      </c>
      <c r="B544" s="105">
        <v>21</v>
      </c>
      <c r="C544" s="105">
        <v>19</v>
      </c>
      <c r="D544" s="2" t="s">
        <v>432</v>
      </c>
      <c r="E544" s="105"/>
      <c r="F544" s="18"/>
      <c r="G544" s="18"/>
      <c r="H544" s="18">
        <v>52368</v>
      </c>
      <c r="I544" s="18"/>
      <c r="J544" s="18"/>
      <c r="K544" s="18"/>
      <c r="L544" s="88">
        <f>SUM(F544:K544)</f>
        <v>52368</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169253</v>
      </c>
      <c r="I545" s="193">
        <f t="shared" si="40"/>
        <v>0</v>
      </c>
      <c r="J545" s="193">
        <f t="shared" si="40"/>
        <v>0</v>
      </c>
      <c r="K545" s="193">
        <f t="shared" si="40"/>
        <v>0</v>
      </c>
      <c r="L545" s="193">
        <f t="shared" si="40"/>
        <v>169253</v>
      </c>
      <c r="M545" s="8"/>
      <c r="N545" s="266"/>
    </row>
    <row r="546" spans="1:14" s="3" customFormat="1" ht="12.2" customHeight="1" thickTop="1" x14ac:dyDescent="0.15">
      <c r="A546" s="98" t="s">
        <v>72</v>
      </c>
      <c r="B546" s="107">
        <v>21</v>
      </c>
      <c r="C546" s="107">
        <v>21</v>
      </c>
      <c r="D546" s="158" t="s">
        <v>432</v>
      </c>
      <c r="E546" s="107"/>
      <c r="F546" s="89">
        <f>F525+F530+F535+F540+F545</f>
        <v>3144642.7800000003</v>
      </c>
      <c r="G546" s="89">
        <f t="shared" ref="G546:L546" si="41">G525+G530+G535+G540+G545</f>
        <v>1783845.3699999999</v>
      </c>
      <c r="H546" s="89">
        <f t="shared" si="41"/>
        <v>660781.73</v>
      </c>
      <c r="I546" s="89">
        <f t="shared" si="41"/>
        <v>21994.89</v>
      </c>
      <c r="J546" s="89">
        <f t="shared" si="41"/>
        <v>6757.9400000000005</v>
      </c>
      <c r="K546" s="89">
        <f t="shared" si="41"/>
        <v>275</v>
      </c>
      <c r="L546" s="89">
        <f t="shared" si="41"/>
        <v>5618297.71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1739810.2500000002</v>
      </c>
      <c r="G550" s="87">
        <f>L527</f>
        <v>570903</v>
      </c>
      <c r="H550" s="87">
        <f>L532</f>
        <v>215228</v>
      </c>
      <c r="I550" s="87">
        <f>L537</f>
        <v>0</v>
      </c>
      <c r="J550" s="87">
        <f>L542</f>
        <v>76265</v>
      </c>
      <c r="K550" s="87">
        <f>SUM(F550:J550)</f>
        <v>2602206.25</v>
      </c>
      <c r="L550" s="24" t="s">
        <v>288</v>
      </c>
      <c r="M550" s="8"/>
      <c r="N550" s="266"/>
    </row>
    <row r="551" spans="1:14" s="3" customFormat="1" ht="12.2" customHeight="1" x14ac:dyDescent="0.15">
      <c r="A551" s="22" t="s">
        <v>634</v>
      </c>
      <c r="B551" s="75">
        <v>21</v>
      </c>
      <c r="C551" s="75">
        <v>23</v>
      </c>
      <c r="D551" s="2" t="s">
        <v>432</v>
      </c>
      <c r="E551" s="75"/>
      <c r="F551" s="87">
        <f>L523</f>
        <v>757820.48999999987</v>
      </c>
      <c r="G551" s="87">
        <f>L528</f>
        <v>175101</v>
      </c>
      <c r="H551" s="87">
        <f>L533</f>
        <v>188748</v>
      </c>
      <c r="I551" s="87">
        <f>L538</f>
        <v>0</v>
      </c>
      <c r="J551" s="87">
        <f>L543</f>
        <v>40620</v>
      </c>
      <c r="K551" s="87">
        <f>SUM(F551:J551)</f>
        <v>1162289.4899999998</v>
      </c>
      <c r="L551" s="24" t="s">
        <v>288</v>
      </c>
      <c r="M551" s="8"/>
      <c r="N551" s="266"/>
    </row>
    <row r="552" spans="1:14" s="3" customFormat="1" ht="12.2" customHeight="1" thickBot="1" x14ac:dyDescent="0.2">
      <c r="A552" s="22" t="s">
        <v>635</v>
      </c>
      <c r="B552" s="75">
        <v>21</v>
      </c>
      <c r="C552" s="75">
        <v>24</v>
      </c>
      <c r="D552" s="2" t="s">
        <v>432</v>
      </c>
      <c r="E552" s="75"/>
      <c r="F552" s="87">
        <f>L524</f>
        <v>1402184.9699999997</v>
      </c>
      <c r="G552" s="87">
        <f>L529</f>
        <v>211370</v>
      </c>
      <c r="H552" s="87">
        <f>L534</f>
        <v>187879</v>
      </c>
      <c r="I552" s="87">
        <f>L539</f>
        <v>0</v>
      </c>
      <c r="J552" s="87">
        <f>L544</f>
        <v>52368</v>
      </c>
      <c r="K552" s="87">
        <f>SUM(F552:J552)</f>
        <v>1853801.9699999997</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3899815.71</v>
      </c>
      <c r="G553" s="89">
        <f t="shared" si="42"/>
        <v>957374</v>
      </c>
      <c r="H553" s="89">
        <f t="shared" si="42"/>
        <v>591855</v>
      </c>
      <c r="I553" s="89">
        <f t="shared" si="42"/>
        <v>0</v>
      </c>
      <c r="J553" s="89">
        <f t="shared" si="42"/>
        <v>169253</v>
      </c>
      <c r="K553" s="89">
        <f t="shared" si="42"/>
        <v>5618297.709999999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4"/>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SUM(F578:H578)</f>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v>16846.43</v>
      </c>
      <c r="I579" s="87">
        <f>SUM(F579:H579)</f>
        <v>16846.43</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186545.2</v>
      </c>
      <c r="G583" s="18">
        <v>149467.51999999999</v>
      </c>
      <c r="H583" s="18">
        <v>117207.31</v>
      </c>
      <c r="I583" s="87">
        <f t="shared" si="47"/>
        <v>453220.02999999997</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48933.66</v>
      </c>
      <c r="I585" s="87">
        <f t="shared" si="47"/>
        <v>48933.66</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224733</v>
      </c>
      <c r="I592" s="18">
        <v>114863</v>
      </c>
      <c r="J592" s="18">
        <v>159810</v>
      </c>
      <c r="K592" s="104">
        <f t="shared" ref="K592:K598" si="48">SUM(H592:J592)</f>
        <v>499406</v>
      </c>
      <c r="L592" s="24" t="s">
        <v>288</v>
      </c>
      <c r="M592" s="8"/>
      <c r="N592" s="266"/>
    </row>
    <row r="593" spans="1:14" s="3" customFormat="1" ht="12.2" customHeight="1" x14ac:dyDescent="0.15">
      <c r="A593" s="3" t="s">
        <v>638</v>
      </c>
      <c r="B593" s="75">
        <v>23</v>
      </c>
      <c r="C593" s="75">
        <v>2</v>
      </c>
      <c r="D593" s="2" t="s">
        <v>432</v>
      </c>
      <c r="E593" s="75"/>
      <c r="F593" s="102">
        <v>2722</v>
      </c>
      <c r="G593" s="103" t="s">
        <v>97</v>
      </c>
      <c r="H593" s="18">
        <f>76019+322.54</f>
        <v>76341.539999999994</v>
      </c>
      <c r="I593" s="18">
        <v>38854.32</v>
      </c>
      <c r="J593" s="18">
        <v>54058.06</v>
      </c>
      <c r="K593" s="104">
        <f t="shared" si="48"/>
        <v>169253.91999999998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45138</v>
      </c>
      <c r="K594" s="104">
        <f t="shared" si="48"/>
        <v>45138</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5824</v>
      </c>
      <c r="J595" s="18">
        <v>33867</v>
      </c>
      <c r="K595" s="104">
        <f t="shared" si="48"/>
        <v>39691</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2600</v>
      </c>
      <c r="I596" s="18">
        <v>13398</v>
      </c>
      <c r="J596" s="18">
        <v>3546</v>
      </c>
      <c r="K596" s="104">
        <f t="shared" si="48"/>
        <v>19544</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303674.53999999998</v>
      </c>
      <c r="I599" s="108">
        <f>SUM(I592:I598)</f>
        <v>172939.32</v>
      </c>
      <c r="J599" s="108">
        <f>SUM(J592:J598)</f>
        <v>296419.06</v>
      </c>
      <c r="K599" s="108">
        <f>SUM(K592:K598)</f>
        <v>773032.91999999993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146750.27+27027</f>
        <v>173777.27</v>
      </c>
      <c r="I605" s="18">
        <f>77526.33+313.77</f>
        <v>77840.100000000006</v>
      </c>
      <c r="J605" s="18">
        <f>135870.93+427.74</f>
        <v>136298.66999999998</v>
      </c>
      <c r="K605" s="104">
        <f>SUM(H605:J605)</f>
        <v>387916.04</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173777.27</v>
      </c>
      <c r="I606" s="108">
        <f>SUM(I603:I605)</f>
        <v>77840.100000000006</v>
      </c>
      <c r="J606" s="108">
        <f>SUM(J603:J605)</f>
        <v>136298.66999999998</v>
      </c>
      <c r="K606" s="108">
        <f>SUM(K603:K605)</f>
        <v>387916.04</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1654415.93</v>
      </c>
      <c r="H618" s="109">
        <f>SUM(F52)</f>
        <v>1654415.93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48945.15</v>
      </c>
      <c r="H619" s="109">
        <f>SUM(G52)</f>
        <v>48945.15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367547.43000000005</v>
      </c>
      <c r="H620" s="109">
        <f>SUM(H52)</f>
        <v>367547.43000000005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990098.92</v>
      </c>
      <c r="H622" s="109">
        <f>SUM(J52)</f>
        <v>990098.92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1330022.47</v>
      </c>
      <c r="H623" s="109">
        <f>F477</f>
        <v>1330022.4700000025</v>
      </c>
      <c r="I623" s="121" t="s">
        <v>101</v>
      </c>
      <c r="J623" s="109">
        <f t="shared" ref="J623:J656" si="50">G623-H623</f>
        <v>-2.5611370801925659E-9</v>
      </c>
      <c r="K623" s="109"/>
      <c r="L623" s="109"/>
      <c r="M623" s="8"/>
    </row>
    <row r="624" spans="1:14" s="3" customFormat="1" ht="12.2" customHeight="1" x14ac:dyDescent="0.15">
      <c r="A624" s="97"/>
      <c r="B624" s="105"/>
      <c r="C624" s="119"/>
      <c r="D624" s="119"/>
      <c r="E624" s="119"/>
      <c r="F624" s="119" t="s">
        <v>866</v>
      </c>
      <c r="G624" s="109">
        <f>G51</f>
        <v>48193.15</v>
      </c>
      <c r="H624" s="109">
        <f>G477</f>
        <v>48193.15000000014</v>
      </c>
      <c r="I624" s="121" t="s">
        <v>102</v>
      </c>
      <c r="J624" s="109">
        <f t="shared" si="50"/>
        <v>-1.3824319466948509E-10</v>
      </c>
      <c r="K624" s="109"/>
      <c r="L624" s="109"/>
      <c r="M624" s="8"/>
    </row>
    <row r="625" spans="1:13" s="3" customFormat="1" ht="12.2" customHeight="1" x14ac:dyDescent="0.15">
      <c r="A625" s="97"/>
      <c r="B625" s="105"/>
      <c r="C625" s="105"/>
      <c r="D625" s="105"/>
      <c r="E625" s="105"/>
      <c r="F625" s="120" t="s">
        <v>867</v>
      </c>
      <c r="G625" s="109">
        <f>H51</f>
        <v>339828.64000000007</v>
      </c>
      <c r="H625" s="109">
        <f>H477</f>
        <v>339828.64000000013</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990098.92</v>
      </c>
      <c r="H627" s="109">
        <f>J477</f>
        <v>990098.91999999993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22102481.82</v>
      </c>
      <c r="H628" s="104">
        <f>SUM(F469)</f>
        <v>22102481.82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575158.80000000005</v>
      </c>
      <c r="H629" s="104">
        <f>SUM(G469)</f>
        <v>575158.80000000005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1240401.8</v>
      </c>
      <c r="H630" s="104">
        <f>SUM(H469)</f>
        <v>1240401.8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203702</v>
      </c>
      <c r="H632" s="104">
        <f>SUM(J469)</f>
        <v>203702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22438805.399999999</v>
      </c>
      <c r="H633" s="104">
        <f>SUM(F473)</f>
        <v>22438805.399999999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1220496.79</v>
      </c>
      <c r="H634" s="104">
        <f>SUM(H473)</f>
        <v>1220496.79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320101.62</v>
      </c>
      <c r="H635" s="104">
        <f>I370</f>
        <v>320101.62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654239.94999999995</v>
      </c>
      <c r="H636" s="104">
        <f>SUM(G473)</f>
        <v>654239.94999999995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203702</v>
      </c>
      <c r="H638" s="164">
        <f>SUM(J469)</f>
        <v>203702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126301</v>
      </c>
      <c r="H639" s="164">
        <f>SUM(J473)</f>
        <v>126301</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990098.92</v>
      </c>
      <c r="H641" s="104">
        <f>SUM(G462)</f>
        <v>990098.92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990098.92</v>
      </c>
      <c r="H643" s="104">
        <f>SUM(I462)</f>
        <v>990098.92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3702</v>
      </c>
      <c r="H645" s="104">
        <f>H409</f>
        <v>3702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200000</v>
      </c>
      <c r="H646" s="104">
        <f>G409</f>
        <v>200000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203702</v>
      </c>
      <c r="H647" s="104">
        <f>L409</f>
        <v>203702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773032.91999999993</v>
      </c>
      <c r="H648" s="104">
        <f>L209+L227+L245</f>
        <v>773032.91999999993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387916.04</v>
      </c>
      <c r="H649" s="104">
        <f>(J258+J339)-(J256+J337)</f>
        <v>387916.04000000004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303674.53999999998</v>
      </c>
      <c r="H650" s="104">
        <f>H599</f>
        <v>303674.53999999998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172939.32</v>
      </c>
      <c r="H651" s="104">
        <f>I599</f>
        <v>172939.32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296419.06</v>
      </c>
      <c r="H652" s="104">
        <f>J599</f>
        <v>296419.06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50000</v>
      </c>
      <c r="H653" s="104">
        <f>K264+K346</f>
        <v>50000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200000</v>
      </c>
      <c r="H656" s="104">
        <f>K267+K348</f>
        <v>200000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9974247.9599999972</v>
      </c>
      <c r="G661" s="19">
        <f>(L230+L310+L360)</f>
        <v>5288231.67</v>
      </c>
      <c r="H661" s="19">
        <f>(L248+L329+L361)</f>
        <v>7937437.5099999988</v>
      </c>
      <c r="I661" s="19">
        <f>SUM(F661:H661)</f>
        <v>23199917.139999997</v>
      </c>
      <c r="J661" s="13"/>
      <c r="K661" s="13"/>
      <c r="L661" s="13"/>
      <c r="M661" s="9"/>
    </row>
    <row r="662" spans="1:13" s="3" customFormat="1" ht="12.2" customHeight="1" x14ac:dyDescent="0.2">
      <c r="A662" s="1" t="s">
        <v>127</v>
      </c>
      <c r="F662" s="19">
        <f>(L359/IF(SUM(L359:L361)=0,1,SUM(L359:L361))*(SUM(G97:G110)))</f>
        <v>96638.61967910247</v>
      </c>
      <c r="G662" s="19">
        <f>(L360/IF(SUM(L359:L361)=0,1,SUM(L359:L361))*(SUM(G97:G110)))</f>
        <v>43736.199987911168</v>
      </c>
      <c r="H662" s="19">
        <f>(L361/IF(SUM(L359:L361)=0,1,SUM(L359:L361))*(SUM(G97:G110)))</f>
        <v>43031.530332986389</v>
      </c>
      <c r="I662" s="19">
        <f>SUM(F662:H662)</f>
        <v>183406.35000000003</v>
      </c>
      <c r="J662"/>
      <c r="K662" s="13"/>
      <c r="L662" s="13"/>
      <c r="M662" s="8"/>
    </row>
    <row r="663" spans="1:13" s="3" customFormat="1" ht="12.2" customHeight="1" x14ac:dyDescent="0.2">
      <c r="A663" s="1" t="s">
        <v>128</v>
      </c>
      <c r="F663" s="19">
        <f>(L209+L288)-(J209+J288)</f>
        <v>303674.53999999998</v>
      </c>
      <c r="G663" s="19">
        <f>(L227+L307)-(J227+J307)</f>
        <v>172939.32</v>
      </c>
      <c r="H663" s="19">
        <f>(L245+L326)-(J245+J326)</f>
        <v>296419.06</v>
      </c>
      <c r="I663" s="19">
        <f>SUM(F663:H663)</f>
        <v>773032.91999999993</v>
      </c>
      <c r="J663"/>
      <c r="K663" s="13"/>
      <c r="L663" s="13"/>
      <c r="M663" s="9"/>
    </row>
    <row r="664" spans="1:13" s="3" customFormat="1" ht="12.2" customHeight="1" x14ac:dyDescent="0.15">
      <c r="A664" s="198" t="s">
        <v>129</v>
      </c>
      <c r="B664" s="169"/>
      <c r="C664" s="169"/>
      <c r="D664" s="169"/>
      <c r="E664" s="169"/>
      <c r="F664" s="199">
        <f>SUM(F576:F588)+SUM(H603:H605)+SUM(L612)</f>
        <v>360322.47</v>
      </c>
      <c r="G664" s="199">
        <f>SUM(G576:G588)+SUM(I603:I605)+L613</f>
        <v>227307.62</v>
      </c>
      <c r="H664" s="199">
        <f>SUM(H577:H588)+SUM(J603:J605)+L614</f>
        <v>319286.06999999995</v>
      </c>
      <c r="I664" s="19">
        <f>SUM(F664:H664)</f>
        <v>906916.15999999992</v>
      </c>
      <c r="J664" s="13"/>
      <c r="K664" s="13"/>
      <c r="L664" s="13"/>
      <c r="M664" s="9"/>
    </row>
    <row r="665" spans="1:13" s="3" customFormat="1" ht="12.2" customHeight="1" x14ac:dyDescent="0.15">
      <c r="A665" s="1" t="s">
        <v>130</v>
      </c>
      <c r="F665" s="19">
        <f>F661-SUM(F662:F664)</f>
        <v>9213612.3303208947</v>
      </c>
      <c r="G665" s="19">
        <f>G661-SUM(G662:G664)</f>
        <v>4844248.5300120888</v>
      </c>
      <c r="H665" s="19">
        <f>H661-SUM(H662:H664)</f>
        <v>7278700.8496670127</v>
      </c>
      <c r="I665" s="19">
        <f>I661-SUM(I662:I664)</f>
        <v>21336561.709999997</v>
      </c>
      <c r="J665" s="13"/>
      <c r="K665" s="13"/>
      <c r="L665" s="13"/>
      <c r="M665" s="8"/>
    </row>
    <row r="666" spans="1:13" s="3" customFormat="1" ht="12.2" customHeight="1" x14ac:dyDescent="0.2">
      <c r="A666" s="1" t="s">
        <v>131</v>
      </c>
      <c r="F666" s="246">
        <f>12.05+70.18+376.19</f>
        <v>458.42</v>
      </c>
      <c r="G666" s="247">
        <v>282.23</v>
      </c>
      <c r="H666" s="247">
        <v>354.45</v>
      </c>
      <c r="I666" s="19">
        <f>SUM(F666:H666)</f>
        <v>1095.1000000000001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20098.63</v>
      </c>
      <c r="G668" s="19">
        <f>ROUND(G665/G666,2)</f>
        <v>17164.189999999999</v>
      </c>
      <c r="H668" s="19">
        <f>ROUND(H665/H666,2)</f>
        <v>20535.2</v>
      </c>
      <c r="I668" s="19">
        <f>ROUND(I665/I666,2)</f>
        <v>19483.669999999998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-8.5</v>
      </c>
      <c r="I671" s="19">
        <f>SUM(F671:H671)</f>
        <v>-8.5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20098.63</v>
      </c>
      <c r="G673" s="19">
        <f>ROUND((G665+G670)/(G666+G671),2)</f>
        <v>17164.189999999999</v>
      </c>
      <c r="H673" s="19">
        <f>ROUND((H665+H670)/(H666+H671),2)</f>
        <v>21039.75</v>
      </c>
      <c r="I673" s="19">
        <f>ROUND((I665+I670)/(I666+I671),2)</f>
        <v>19636.080000000002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HILLSBORO-DEERING COOPERATIVE SCHOOL DISTRICT</v>
      </c>
      <c r="C5" s="344"/>
      <c r="D5" s="344"/>
      <c r="E5" s="344"/>
      <c r="F5" s="344"/>
    </row>
    <row r="8" spans="1:9" ht="18" x14ac:dyDescent="0.25">
      <c r="A8" s="323" t="s">
        <v>1591</v>
      </c>
      <c r="F8" s="330" t="s">
        <v>1609</v>
      </c>
    </row>
    <row r="9" spans="1:9" ht="15" x14ac:dyDescent="0.2">
      <c r="A9" s="321" t="s">
        <v>1592</v>
      </c>
      <c r="B9" s="324">
        <f>'DOE25'!G97</f>
        <v>183406.35</v>
      </c>
      <c r="F9" s="321" t="s">
        <v>1605</v>
      </c>
    </row>
    <row r="10" spans="1:9" ht="15" x14ac:dyDescent="0.2">
      <c r="A10" s="321" t="s">
        <v>1593</v>
      </c>
      <c r="B10" s="324">
        <f>'DOE25'!G112-'DOE25'!G97</f>
        <v>0</v>
      </c>
      <c r="F10" s="321" t="s">
        <v>1606</v>
      </c>
    </row>
    <row r="11" spans="1:9" ht="15" x14ac:dyDescent="0.2">
      <c r="A11" s="321" t="s">
        <v>1594</v>
      </c>
      <c r="B11" s="324">
        <f>'DOE25'!G140</f>
        <v>46033.87</v>
      </c>
      <c r="F11" s="321" t="s">
        <v>1607</v>
      </c>
    </row>
    <row r="12" spans="1:9" ht="15" x14ac:dyDescent="0.2">
      <c r="A12" s="321" t="s">
        <v>1595</v>
      </c>
      <c r="B12" s="324">
        <f>'DOE25'!G170</f>
        <v>295718.58</v>
      </c>
      <c r="F12" s="321" t="s">
        <v>1608</v>
      </c>
    </row>
    <row r="13" spans="1:9" ht="15" x14ac:dyDescent="0.2">
      <c r="A13" s="321" t="s">
        <v>1596</v>
      </c>
      <c r="B13" s="324">
        <f>'DOE25'!G193-'DOE25'!G180</f>
        <v>0</v>
      </c>
      <c r="F13" s="321" t="s">
        <v>1618</v>
      </c>
    </row>
    <row r="14" spans="1:9" ht="18" x14ac:dyDescent="0.25">
      <c r="A14" s="323" t="s">
        <v>732</v>
      </c>
      <c r="B14" s="325">
        <f>SUM(B9:B13)</f>
        <v>525158.80000000005</v>
      </c>
    </row>
    <row r="16" spans="1:9" ht="18" x14ac:dyDescent="0.25">
      <c r="A16" s="323" t="s">
        <v>786</v>
      </c>
      <c r="F16" s="330" t="s">
        <v>1610</v>
      </c>
    </row>
    <row r="17" spans="1:6" ht="15" x14ac:dyDescent="0.2">
      <c r="A17" s="321" t="s">
        <v>1597</v>
      </c>
      <c r="B17" s="324">
        <f>'DOE25'!L363-'DOE25'!L362</f>
        <v>654239.94999999995</v>
      </c>
      <c r="F17" s="321" t="s">
        <v>1611</v>
      </c>
    </row>
    <row r="18" spans="1:6" ht="15" x14ac:dyDescent="0.2">
      <c r="A18" s="321" t="s">
        <v>1598</v>
      </c>
      <c r="B18" s="338"/>
      <c r="F18" s="330" t="s">
        <v>1637</v>
      </c>
    </row>
    <row r="19" spans="1:6" ht="18" x14ac:dyDescent="0.25">
      <c r="A19" s="323" t="s">
        <v>725</v>
      </c>
      <c r="B19" s="325">
        <f>SUM(B17:B18)</f>
        <v>654239.94999999995</v>
      </c>
    </row>
    <row r="21" spans="1:6" ht="18.75" thickBot="1" x14ac:dyDescent="0.3">
      <c r="A21" s="323" t="s">
        <v>1599</v>
      </c>
    </row>
    <row r="22" spans="1:6" ht="18.75" thickTop="1" x14ac:dyDescent="0.25">
      <c r="A22" s="323" t="s">
        <v>1600</v>
      </c>
      <c r="B22" s="329">
        <f>B14-B19</f>
        <v>-129081.14999999991</v>
      </c>
      <c r="F22" s="321" t="s">
        <v>1612</v>
      </c>
    </row>
    <row r="26" spans="1:6" ht="18" x14ac:dyDescent="0.25">
      <c r="A26" s="323" t="s">
        <v>186</v>
      </c>
    </row>
    <row r="27" spans="1:6" ht="15" x14ac:dyDescent="0.2">
      <c r="A27" s="321" t="s">
        <v>1601</v>
      </c>
      <c r="B27" s="324">
        <f>'DOE25'!G180</f>
        <v>50000</v>
      </c>
      <c r="F27" s="321" t="s">
        <v>1613</v>
      </c>
    </row>
    <row r="28" spans="1:6" ht="15" x14ac:dyDescent="0.2">
      <c r="A28" s="321" t="s">
        <v>1603</v>
      </c>
      <c r="B28" s="324">
        <f>'DOE25'!L362</f>
        <v>0</v>
      </c>
      <c r="F28" s="321" t="s">
        <v>1614</v>
      </c>
    </row>
    <row r="31" spans="1:6" ht="15" x14ac:dyDescent="0.2">
      <c r="A31" s="321" t="s">
        <v>1640</v>
      </c>
      <c r="B31" s="324">
        <f>'DOE25'!G466</f>
        <v>127274.3</v>
      </c>
      <c r="F31" s="321" t="s">
        <v>1615</v>
      </c>
    </row>
    <row r="33" spans="1:6" ht="15" x14ac:dyDescent="0.2">
      <c r="A33" s="321" t="s">
        <v>1641</v>
      </c>
      <c r="B33" s="324">
        <f>'DOE25'!G477</f>
        <v>48193.15000000014</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HILLSBORO-DEERING COOPERATIVE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5942587.5</v>
      </c>
      <c r="C9" s="229">
        <f>'DOE25'!G198+'DOE25'!G216+'DOE25'!G234+'DOE25'!G277+'DOE25'!G296+'DOE25'!G315</f>
        <v>2615128.1800000002</v>
      </c>
    </row>
    <row r="10" spans="1:3" x14ac:dyDescent="0.2">
      <c r="A10" t="s">
        <v>775</v>
      </c>
      <c r="B10" s="240">
        <v>5815781.5300000003</v>
      </c>
      <c r="C10" s="240">
        <v>2574380.7999999998</v>
      </c>
    </row>
    <row r="11" spans="1:3" x14ac:dyDescent="0.2">
      <c r="A11" t="s">
        <v>776</v>
      </c>
      <c r="B11" s="240">
        <v>67139.179999999993</v>
      </c>
      <c r="C11" s="240">
        <v>36182.879999999997</v>
      </c>
    </row>
    <row r="12" spans="1:3" x14ac:dyDescent="0.2">
      <c r="A12" t="s">
        <v>777</v>
      </c>
      <c r="B12" s="240">
        <v>59666.79</v>
      </c>
      <c r="C12" s="240">
        <v>4564.5</v>
      </c>
    </row>
    <row r="13" spans="1:3" x14ac:dyDescent="0.2">
      <c r="A13" t="str">
        <f>IF(B9=B13,IF(C9=C13,"Check Total OK","Check Total Error"),"Check Total Error")</f>
        <v>Check Total OK</v>
      </c>
      <c r="B13" s="231">
        <f>SUM(B10:B12)</f>
        <v>5942587.5</v>
      </c>
      <c r="C13" s="231">
        <f>SUM(C10:C12)</f>
        <v>2615128.1799999997</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2534676.7800000003</v>
      </c>
      <c r="C18" s="229">
        <f>'DOE25'!G199+'DOE25'!G217+'DOE25'!G235+'DOE25'!G278+'DOE25'!G297+'DOE25'!G316</f>
        <v>1493860.3699999999</v>
      </c>
    </row>
    <row r="19" spans="1:3" x14ac:dyDescent="0.2">
      <c r="A19" t="s">
        <v>775</v>
      </c>
      <c r="B19" s="240">
        <f>1335812.73+8107.75</f>
        <v>1343920.48</v>
      </c>
      <c r="C19" s="240">
        <f>896769.44-8028.57</f>
        <v>888740.87</v>
      </c>
    </row>
    <row r="20" spans="1:3" x14ac:dyDescent="0.2">
      <c r="A20" t="s">
        <v>776</v>
      </c>
      <c r="B20" s="240">
        <v>824829.06</v>
      </c>
      <c r="C20" s="240">
        <v>419162.3</v>
      </c>
    </row>
    <row r="21" spans="1:3" x14ac:dyDescent="0.2">
      <c r="A21" t="s">
        <v>777</v>
      </c>
      <c r="B21" s="240">
        <v>365927.24</v>
      </c>
      <c r="C21" s="240">
        <v>185957.2</v>
      </c>
    </row>
    <row r="22" spans="1:3" x14ac:dyDescent="0.2">
      <c r="A22" t="str">
        <f>IF(B18=B22,IF(C18=C22,"Check Total OK","Check Total Error"),"Check Total Error")</f>
        <v>Check Total OK</v>
      </c>
      <c r="B22" s="231">
        <f>SUM(B19:B21)</f>
        <v>2534676.7800000003</v>
      </c>
      <c r="C22" s="231">
        <f>SUM(C19:C21)</f>
        <v>1493860.3699999999</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185656.43</v>
      </c>
      <c r="C36" s="235">
        <f>'DOE25'!G201+'DOE25'!G219+'DOE25'!G237+'DOE25'!G280+'DOE25'!G299+'DOE25'!G318</f>
        <v>50551.68</v>
      </c>
    </row>
    <row r="37" spans="1:3" x14ac:dyDescent="0.2">
      <c r="A37" t="s">
        <v>775</v>
      </c>
      <c r="B37" s="240">
        <v>111767.43</v>
      </c>
      <c r="C37" s="240">
        <v>45056.68</v>
      </c>
    </row>
    <row r="38" spans="1:3" x14ac:dyDescent="0.2">
      <c r="A38" t="s">
        <v>776</v>
      </c>
      <c r="B38" s="240">
        <v>27972</v>
      </c>
      <c r="C38" s="240">
        <v>2080</v>
      </c>
    </row>
    <row r="39" spans="1:3" x14ac:dyDescent="0.2">
      <c r="A39" t="s">
        <v>777</v>
      </c>
      <c r="B39" s="240">
        <v>45917</v>
      </c>
      <c r="C39" s="240">
        <v>3415</v>
      </c>
    </row>
    <row r="40" spans="1:3" x14ac:dyDescent="0.2">
      <c r="A40" t="str">
        <f>IF(B36=B40,IF(C36=C40,"Check Total OK","Check Total Error"),"Check Total Error")</f>
        <v>Check Total OK</v>
      </c>
      <c r="B40" s="231">
        <f>SUM(B37:B39)</f>
        <v>185656.43</v>
      </c>
      <c r="C40" s="231">
        <f>SUM(C37:C39)</f>
        <v>50551.68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N32" sqref="N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HILLSBORO-DEERING COOPERATIVE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12871278.149999999</v>
      </c>
      <c r="D5" s="20">
        <f>SUM('DOE25'!L198:L201)+SUM('DOE25'!L216:L219)+SUM('DOE25'!L234:L237)-F5-G5-H5</f>
        <v>12799624.739999998</v>
      </c>
      <c r="E5" s="243"/>
      <c r="F5" s="244"/>
      <c r="G5" s="53">
        <f>SUM('DOE25'!J198:J201)+SUM('DOE25'!J216:J219)+SUM('DOE25'!J234:J237)</f>
        <v>42081.31</v>
      </c>
      <c r="H5" s="53">
        <f>SUM('DOE25'!K198:K201)+SUM('DOE25'!K216:K219)+SUM('DOE25'!K234:K237)</f>
        <v>29572.1</v>
      </c>
      <c r="I5" s="256"/>
    </row>
    <row r="6" spans="1:9" x14ac:dyDescent="0.2">
      <c r="A6" s="32">
        <v>2100</v>
      </c>
      <c r="B6" t="s">
        <v>796</v>
      </c>
      <c r="C6" s="276">
        <f t="shared" si="0"/>
        <v>2174411.59</v>
      </c>
      <c r="D6" s="20">
        <f>'DOE25'!L203+'DOE25'!L221+'DOE25'!L239-F6-G6-H6</f>
        <v>2174282.59</v>
      </c>
      <c r="E6" s="243"/>
      <c r="F6" s="244"/>
      <c r="G6" s="53">
        <f>'DOE25'!J203+'DOE25'!J221+'DOE25'!J239</f>
        <v>0</v>
      </c>
      <c r="H6" s="53">
        <f>'DOE25'!K203+'DOE25'!K221+'DOE25'!K239</f>
        <v>129</v>
      </c>
      <c r="I6" s="256"/>
    </row>
    <row r="7" spans="1:9" x14ac:dyDescent="0.2">
      <c r="A7" s="32">
        <v>2200</v>
      </c>
      <c r="B7" t="s">
        <v>821</v>
      </c>
      <c r="C7" s="276">
        <f t="shared" si="0"/>
        <v>1095555.8900000001</v>
      </c>
      <c r="D7" s="20">
        <f>'DOE25'!L204+'DOE25'!L222+'DOE25'!L240-F7-G7-H7</f>
        <v>875291.3600000001</v>
      </c>
      <c r="E7" s="243"/>
      <c r="F7" s="244"/>
      <c r="G7" s="53">
        <f>'DOE25'!J204+'DOE25'!J222+'DOE25'!J240</f>
        <v>217396.52999999997</v>
      </c>
      <c r="H7" s="53">
        <f>'DOE25'!K204+'DOE25'!K222+'DOE25'!K240</f>
        <v>2868</v>
      </c>
      <c r="I7" s="256"/>
    </row>
    <row r="8" spans="1:9" x14ac:dyDescent="0.2">
      <c r="A8" s="32">
        <v>2300</v>
      </c>
      <c r="B8" t="s">
        <v>797</v>
      </c>
      <c r="C8" s="276">
        <f t="shared" si="0"/>
        <v>753356.28000000014</v>
      </c>
      <c r="D8" s="243"/>
      <c r="E8" s="20">
        <f>'DOE25'!L205+'DOE25'!L223+'DOE25'!L241-F8-G8-H8-D9-D11</f>
        <v>738079.85000000009</v>
      </c>
      <c r="F8" s="244"/>
      <c r="G8" s="53">
        <f>'DOE25'!J205+'DOE25'!J223+'DOE25'!J241</f>
        <v>0</v>
      </c>
      <c r="H8" s="53">
        <f>'DOE25'!K205+'DOE25'!K223+'DOE25'!K241</f>
        <v>15276.43</v>
      </c>
      <c r="I8" s="256"/>
    </row>
    <row r="9" spans="1:9" ht="14.25" x14ac:dyDescent="0.2">
      <c r="A9" s="32">
        <v>2310</v>
      </c>
      <c r="B9" s="185" t="s">
        <v>890</v>
      </c>
      <c r="C9" s="276">
        <f t="shared" si="0"/>
        <v>62106</v>
      </c>
      <c r="D9" s="244">
        <v>62106</v>
      </c>
      <c r="E9" s="243"/>
      <c r="F9" s="253"/>
      <c r="G9" s="253"/>
      <c r="H9" s="253"/>
      <c r="I9" s="256"/>
    </row>
    <row r="10" spans="1:9" ht="14.25" x14ac:dyDescent="0.2">
      <c r="A10" s="32">
        <v>2317</v>
      </c>
      <c r="B10" s="185" t="s">
        <v>891</v>
      </c>
      <c r="C10" s="276">
        <f t="shared" si="0"/>
        <v>18113.599999999999</v>
      </c>
      <c r="D10" s="243"/>
      <c r="E10" s="244">
        <v>18113.599999999999</v>
      </c>
      <c r="F10" s="253"/>
      <c r="G10" s="253"/>
      <c r="H10" s="253"/>
      <c r="I10" s="256"/>
    </row>
    <row r="11" spans="1:9" ht="14.25" x14ac:dyDescent="0.2">
      <c r="A11" s="32">
        <v>2321</v>
      </c>
      <c r="B11" s="185" t="s">
        <v>892</v>
      </c>
      <c r="C11" s="276">
        <f t="shared" si="0"/>
        <v>277268.55</v>
      </c>
      <c r="D11" s="244">
        <f>260328.89+16939.66</f>
        <v>277268.55</v>
      </c>
      <c r="E11" s="243"/>
      <c r="F11" s="253"/>
      <c r="G11" s="253"/>
      <c r="H11" s="253"/>
      <c r="I11" s="256"/>
    </row>
    <row r="12" spans="1:9" x14ac:dyDescent="0.2">
      <c r="A12" s="32">
        <v>2400</v>
      </c>
      <c r="B12" t="s">
        <v>711</v>
      </c>
      <c r="C12" s="276">
        <f t="shared" si="0"/>
        <v>1194723.3800000001</v>
      </c>
      <c r="D12" s="20">
        <f>'DOE25'!L206+'DOE25'!L224+'DOE25'!L242-F12-G12-H12</f>
        <v>1172839.6600000001</v>
      </c>
      <c r="E12" s="243"/>
      <c r="F12" s="244"/>
      <c r="G12" s="53">
        <f>'DOE25'!J206+'DOE25'!J224+'DOE25'!J242</f>
        <v>1567.82</v>
      </c>
      <c r="H12" s="53">
        <f>'DOE25'!K206+'DOE25'!K224+'DOE25'!K242</f>
        <v>20315.900000000001</v>
      </c>
      <c r="I12" s="256"/>
    </row>
    <row r="13" spans="1:9" x14ac:dyDescent="0.2">
      <c r="A13" s="32">
        <v>2500</v>
      </c>
      <c r="B13" t="s">
        <v>798</v>
      </c>
      <c r="C13" s="276">
        <f t="shared" si="0"/>
        <v>12563.53</v>
      </c>
      <c r="D13" s="243"/>
      <c r="E13" s="20">
        <f>'DOE25'!L207+'DOE25'!L225+'DOE25'!L243-F13-G13-H13</f>
        <v>12563.53</v>
      </c>
      <c r="F13" s="244"/>
      <c r="G13" s="53">
        <f>'DOE25'!J207+'DOE25'!J225+'DOE25'!J243</f>
        <v>0</v>
      </c>
      <c r="H13" s="53">
        <f>'DOE25'!K207+'DOE25'!K225+'DOE25'!K243</f>
        <v>0</v>
      </c>
      <c r="I13" s="256"/>
    </row>
    <row r="14" spans="1:9" x14ac:dyDescent="0.2">
      <c r="A14" s="32">
        <v>2600</v>
      </c>
      <c r="B14" t="s">
        <v>819</v>
      </c>
      <c r="C14" s="276">
        <f t="shared" si="0"/>
        <v>2110884.11</v>
      </c>
      <c r="D14" s="20">
        <f>'DOE25'!L208+'DOE25'!L226+'DOE25'!L244-F14-G14-H14</f>
        <v>1436533.2399999998</v>
      </c>
      <c r="E14" s="243"/>
      <c r="F14" s="244">
        <v>575249</v>
      </c>
      <c r="G14" s="53">
        <f>'DOE25'!J208+'DOE25'!J226+'DOE25'!J244</f>
        <v>99101.87</v>
      </c>
      <c r="H14" s="53">
        <f>'DOE25'!K208+'DOE25'!K226+'DOE25'!K244</f>
        <v>0</v>
      </c>
      <c r="I14" s="256"/>
    </row>
    <row r="15" spans="1:9" x14ac:dyDescent="0.2">
      <c r="A15" s="32">
        <v>2700</v>
      </c>
      <c r="B15" t="s">
        <v>799</v>
      </c>
      <c r="C15" s="276">
        <f t="shared" si="0"/>
        <v>773032.91999999993</v>
      </c>
      <c r="D15" s="20">
        <f>'DOE25'!L209+'DOE25'!L227+'DOE25'!L245-F15-G15-H15</f>
        <v>50.494999999878928</v>
      </c>
      <c r="E15" s="243"/>
      <c r="F15" s="244">
        <v>772982.42500000005</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863625</v>
      </c>
      <c r="D25" s="243"/>
      <c r="E25" s="243"/>
      <c r="F25" s="255"/>
      <c r="G25" s="253"/>
      <c r="H25" s="253"/>
      <c r="I25" s="254">
        <f>'DOE25'!L261+'DOE25'!L262+'DOE25'!L342+'DOE25'!L343</f>
        <v>863625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370080.54</v>
      </c>
      <c r="D29" s="284">
        <f>'DOE25'!L359+'DOE25'!L360+'DOE25'!L361-'DOE25'!I368-F29-G29-H29</f>
        <v>118673.53999999998</v>
      </c>
      <c r="E29" s="243"/>
      <c r="F29" s="244">
        <v>251407</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1220496.79</v>
      </c>
      <c r="D31" s="20">
        <f>'DOE25'!L291+'DOE25'!L310+'DOE25'!L329+'DOE25'!L334+'DOE25'!L335+'DOE25'!L336-F31-G31-H31</f>
        <v>1152633.71</v>
      </c>
      <c r="E31" s="243"/>
      <c r="F31" s="244"/>
      <c r="G31" s="53">
        <f>'DOE25'!J291+'DOE25'!J310+'DOE25'!J329+'DOE25'!J334+'DOE25'!J335+'DOE25'!J336</f>
        <v>27768.510000000002</v>
      </c>
      <c r="H31" s="53">
        <f>'DOE25'!K291+'DOE25'!K310+'DOE25'!K329+'DOE25'!K334+'DOE25'!K335+'DOE25'!K336</f>
        <v>40094.57</v>
      </c>
      <c r="I31" s="256"/>
    </row>
    <row r="32" spans="1:9" ht="12" thickBot="1" x14ac:dyDescent="0.25">
      <c r="C32" s="277"/>
      <c r="G32" s="251"/>
      <c r="H32" s="251"/>
      <c r="I32" s="258"/>
    </row>
    <row r="33" spans="1:9" ht="12" thickTop="1" x14ac:dyDescent="0.2">
      <c r="B33" t="s">
        <v>809</v>
      </c>
      <c r="D33" s="245">
        <f t="shared" ref="D33:I33" si="1">SUM(D5:D31)</f>
        <v>20069303.884999998</v>
      </c>
      <c r="E33" s="245">
        <f t="shared" si="1"/>
        <v>768756.9800000001</v>
      </c>
      <c r="F33" s="245">
        <f t="shared" si="1"/>
        <v>1599638.425</v>
      </c>
      <c r="G33" s="245">
        <f t="shared" si="1"/>
        <v>387916.04</v>
      </c>
      <c r="H33" s="245">
        <f t="shared" si="1"/>
        <v>108256</v>
      </c>
      <c r="I33" s="245">
        <f t="shared" si="1"/>
        <v>863625</v>
      </c>
    </row>
    <row r="35" spans="1:9" ht="12" thickBot="1" x14ac:dyDescent="0.25">
      <c r="B35" s="251" t="s">
        <v>831</v>
      </c>
      <c r="D35" s="252">
        <f>E33</f>
        <v>768756.9800000001</v>
      </c>
      <c r="E35" s="248"/>
    </row>
    <row r="36" spans="1:9" ht="12" thickTop="1" x14ac:dyDescent="0.2">
      <c r="B36" t="s">
        <v>810</v>
      </c>
      <c r="D36" s="20">
        <f>D33</f>
        <v>20069303.884999998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HILLSBORO-DEERING COOPERATIVE SCHOOL DISTRICT</v>
      </c>
      <c r="B2" s="126">
        <f>'DOE25'!B2</f>
        <v>251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9629522.4599999972</v>
      </c>
      <c r="G4" s="303">
        <f>'DOE25'!L212+'DOE25'!L291</f>
        <v>9629522.4599999972</v>
      </c>
      <c r="H4" s="337">
        <f>F4-G4</f>
        <v>0</v>
      </c>
      <c r="I4" s="309" t="str">
        <f>IF(H4=0,"","Does not match DOE25 page 7 and 11 Totals!!")</f>
        <v/>
      </c>
      <c r="N4"/>
    </row>
    <row r="5" spans="1:18" x14ac:dyDescent="0.2">
      <c r="A5" s="21" t="s">
        <v>1112</v>
      </c>
      <c r="B5" s="304">
        <f>IFERROR(VLOOKUP(A5,'School Tables'!$C$3:$D$365,2,FALSE),"")</f>
        <v>20955</v>
      </c>
      <c r="C5" s="297" t="str">
        <f>IFERROR(INDEX('School Tables'!$B$3:$B$365,MATCH('School Level Expenditures'!B5,'School Tables'!$D$3:$D$365,0)),"")</f>
        <v>Hillsboro-Deering Cooperative</v>
      </c>
      <c r="D5" s="294">
        <f>+G4-D6</f>
        <v>9442977.2599999979</v>
      </c>
      <c r="E5" s="294"/>
      <c r="F5" s="312">
        <f>D5+E5</f>
        <v>9442977.2599999979</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v>186545.2</v>
      </c>
      <c r="E6" s="294"/>
      <c r="F6" s="307">
        <f t="shared" ref="F6:F20" si="0">D6+E6</f>
        <v>186545.2</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5132217.6100000003</v>
      </c>
      <c r="G24" s="303">
        <f>'DOE25'!L230+'DOE25'!L310</f>
        <v>5132217.6100000003</v>
      </c>
      <c r="H24" s="337">
        <f>F24-G24</f>
        <v>0</v>
      </c>
      <c r="I24" s="309" t="str">
        <f>IF(H24=0,"","Does not match DOE25 page 8 and 12 Totals!!")</f>
        <v/>
      </c>
      <c r="N24"/>
    </row>
    <row r="25" spans="1:14" x14ac:dyDescent="0.2">
      <c r="A25" s="21" t="s">
        <v>1113</v>
      </c>
      <c r="B25" s="304">
        <f>IFERROR(VLOOKUP(A25,'School Tables'!$I$3:$J$80,2,FALSE),"")</f>
        <v>20960</v>
      </c>
      <c r="C25" s="297" t="str">
        <f t="array" ref="C25">IFERROR(INDEX('School Tables'!$H$3:$H$80,MATCH('School Level Expenditures'!B25,'School Tables'!$J$3:$J$80,0)),"")</f>
        <v>Hillsboro-Deering Cooperative</v>
      </c>
      <c r="D25" s="294">
        <f>+G24-D26</f>
        <v>4982750.0900000008</v>
      </c>
      <c r="E25" s="294"/>
      <c r="F25" s="307">
        <f>D25+E25</f>
        <v>4982750.0900000008</v>
      </c>
      <c r="G25" s="297"/>
      <c r="H25" s="297"/>
      <c r="I25" s="126"/>
      <c r="N25"/>
    </row>
    <row r="26" spans="1:14" x14ac:dyDescent="0.2">
      <c r="A26" s="21" t="s">
        <v>1562</v>
      </c>
      <c r="B26" s="304">
        <f>IFERROR(VLOOKUP(A26,'School Tables'!$I$3:$J$80,2,FALSE),"")</f>
        <v>99999</v>
      </c>
      <c r="C26" s="297" t="str">
        <f t="array" ref="C26">IFERROR(INDEX('School Tables'!$H$3:$H$80,MATCH('School Level Expenditures'!B26,'School Tables'!$J$3:$J$80,0)),"")</f>
        <v>Other District Expenditures</v>
      </c>
      <c r="D26" s="294">
        <v>149467.51999999999</v>
      </c>
      <c r="E26" s="294"/>
      <c r="F26" s="307">
        <f t="shared" ref="F26:F32" si="1">D26+E26</f>
        <v>149467.51999999999</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7783937.1199999992</v>
      </c>
      <c r="G36" s="303">
        <f>'DOE25'!L248+'DOE25'!L329</f>
        <v>7783937.1199999992</v>
      </c>
      <c r="H36" s="337">
        <f>F36-G36</f>
        <v>0</v>
      </c>
      <c r="I36" s="309" t="str">
        <f>IF(H36=0,"","Does not match DOE25 page 9 and 13 Totals!!")</f>
        <v/>
      </c>
      <c r="N36"/>
    </row>
    <row r="37" spans="1:14" x14ac:dyDescent="0.2">
      <c r="A37" s="21" t="s">
        <v>1111</v>
      </c>
      <c r="B37" s="304">
        <f>IFERROR(VLOOKUP(A37,'School Tables'!$O$3:$P$118,2,FALSE),"")</f>
        <v>20950</v>
      </c>
      <c r="C37" s="297" t="str">
        <f t="array" ref="C37">IFERROR(INDEX('School Tables'!$N$3:$N$118,MATCH('School Level Expenditures'!B37,'School Tables'!$P$3:$P$118,0)),"")</f>
        <v>Hillsboro-Deering Cooperative</v>
      </c>
      <c r="D37" s="294">
        <f>+G36-D38</f>
        <v>7600949.7199999988</v>
      </c>
      <c r="E37" s="294"/>
      <c r="F37" s="307">
        <f>D37+E37</f>
        <v>7600949.7199999988</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f>16846.43+117207.31+48933.66</f>
        <v>182987.4</v>
      </c>
      <c r="E38" s="294"/>
      <c r="F38" s="307">
        <f t="shared" ref="F38:F41" si="2">D38+E38</f>
        <v>182987.4</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4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HILLSBORO-DEERING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1739009.18</v>
      </c>
      <c r="D8" s="95">
        <f>'DOE25'!G9</f>
        <v>0</v>
      </c>
      <c r="E8" s="95">
        <f>'DOE25'!H9</f>
        <v>0</v>
      </c>
      <c r="F8" s="95">
        <f>'DOE25'!I9</f>
        <v>0</v>
      </c>
      <c r="G8" s="95">
        <f>'DOE25'!J9</f>
        <v>990098.92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-348701</v>
      </c>
      <c r="D11" s="95">
        <f>'DOE25'!G12</f>
        <v>48945.15</v>
      </c>
      <c r="E11" s="95">
        <f>'DOE25'!H12</f>
        <v>199756.79000000004</v>
      </c>
      <c r="F11" s="95">
        <f>'DOE25'!I12</f>
        <v>0</v>
      </c>
      <c r="G11" s="95">
        <f>'DOE25'!J12</f>
        <v>0</v>
      </c>
      <c r="H11" s="124"/>
      <c r="I11" s="124"/>
    </row>
    <row r="12" spans="1:9" x14ac:dyDescent="0.2">
      <c r="A12" s="1" t="s">
        <v>143</v>
      </c>
      <c r="B12" s="6">
        <v>140</v>
      </c>
      <c r="C12" s="95">
        <f>'DOE25'!F13</f>
        <v>301406.39</v>
      </c>
      <c r="D12" s="95">
        <f>'DOE25'!G13</f>
        <v>0</v>
      </c>
      <c r="E12" s="95">
        <f>'DOE25'!H13</f>
        <v>167790.64</v>
      </c>
      <c r="F12" s="95">
        <f>'DOE25'!I13</f>
        <v>0</v>
      </c>
      <c r="G12" s="95">
        <f>'DOE25'!J13</f>
        <v>0</v>
      </c>
      <c r="H12" s="124"/>
      <c r="I12" s="124"/>
    </row>
    <row r="13" spans="1:9" x14ac:dyDescent="0.2">
      <c r="A13" s="1" t="s">
        <v>144</v>
      </c>
      <c r="B13" s="6">
        <v>150</v>
      </c>
      <c r="C13" s="95">
        <f>'DOE25'!F14</f>
        <v>-37398.639999999999</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100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1654415.93</v>
      </c>
      <c r="D18" s="41">
        <f>SUM(D8:D17)</f>
        <v>48945.15</v>
      </c>
      <c r="E18" s="41">
        <f>SUM(E8:E17)</f>
        <v>367547.43000000005</v>
      </c>
      <c r="F18" s="41">
        <f>SUM(F8:F17)</f>
        <v>0</v>
      </c>
      <c r="G18" s="41">
        <f>SUM(G8:G17)</f>
        <v>990098.92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'DOE25'!F24</f>
        <v>330891.46000000002</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t="e">
        <f>'DOE25'!#REF!</f>
        <v>#REF!</v>
      </c>
      <c r="D23" s="95">
        <f>'DOE25'!G24</f>
        <v>752</v>
      </c>
      <c r="E23" s="95">
        <f>'DOE25'!H24</f>
        <v>18420.09</v>
      </c>
      <c r="F23" s="95">
        <f>'DOE25'!I24</f>
        <v>0</v>
      </c>
      <c r="G23" s="95">
        <f>'DOE25'!J24</f>
        <v>0</v>
      </c>
      <c r="H23" s="124"/>
      <c r="I23" s="124"/>
    </row>
    <row r="24" spans="1:9" x14ac:dyDescent="0.2">
      <c r="A24" s="1" t="s">
        <v>153</v>
      </c>
      <c r="B24" s="6">
        <v>430</v>
      </c>
      <c r="C24" s="95">
        <f>'DOE25'!F25</f>
        <v>-6498</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9298.7000000000007</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t="e">
        <f>SUM(C21:C30)</f>
        <v>#REF!</v>
      </c>
      <c r="D31" s="41">
        <f>SUM(D21:D30)</f>
        <v>752</v>
      </c>
      <c r="E31" s="41">
        <f>SUM(E21:E30)</f>
        <v>27718.79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48193.15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339828.64000000007</v>
      </c>
      <c r="F47" s="95">
        <f>'DOE25'!I48</f>
        <v>0</v>
      </c>
      <c r="G47" s="95">
        <f>'DOE25'!J48</f>
        <v>990098.92</v>
      </c>
      <c r="H47" s="124"/>
      <c r="I47" s="124"/>
    </row>
    <row r="48" spans="1:9" x14ac:dyDescent="0.2">
      <c r="A48" s="1" t="s">
        <v>882</v>
      </c>
      <c r="B48" s="6">
        <v>753</v>
      </c>
      <c r="C48" s="95">
        <f>'DOE25'!F49</f>
        <v>389570</v>
      </c>
      <c r="D48" s="95">
        <f>'DOE25'!G49</f>
        <v>0</v>
      </c>
      <c r="E48" s="95">
        <f>'DOE25'!H49</f>
        <v>0</v>
      </c>
      <c r="F48" s="95">
        <f>'DOE25'!I49</f>
        <v>0</v>
      </c>
      <c r="G48" s="95">
        <f>'DOE25'!J49</f>
        <v>0</v>
      </c>
      <c r="H48" s="124"/>
      <c r="I48" s="124"/>
    </row>
    <row r="49" spans="1:9" ht="12" thickBot="1" x14ac:dyDescent="0.25">
      <c r="A49" s="29" t="s">
        <v>883</v>
      </c>
      <c r="B49" s="71">
        <v>770</v>
      </c>
      <c r="C49" s="95">
        <f>'DOE25'!F50</f>
        <v>740452.47</v>
      </c>
      <c r="D49" s="24" t="s">
        <v>288</v>
      </c>
      <c r="E49" s="24" t="s">
        <v>288</v>
      </c>
      <c r="F49" s="24" t="s">
        <v>288</v>
      </c>
      <c r="G49" s="24" t="s">
        <v>288</v>
      </c>
      <c r="H49" s="124"/>
      <c r="I49" s="124"/>
    </row>
    <row r="50" spans="1:9" ht="12.75" thickTop="1" thickBot="1" x14ac:dyDescent="0.25">
      <c r="A50" s="38" t="s">
        <v>884</v>
      </c>
      <c r="B50" s="48"/>
      <c r="C50" s="41">
        <f>SUM(C34:C49)</f>
        <v>1330022.47</v>
      </c>
      <c r="D50" s="41">
        <f>SUM(D34:D49)</f>
        <v>48193.15</v>
      </c>
      <c r="E50" s="41">
        <f>SUM(E34:E49)</f>
        <v>339828.64000000007</v>
      </c>
      <c r="F50" s="41">
        <f>SUM(F34:F49)</f>
        <v>0</v>
      </c>
      <c r="G50" s="41">
        <f>SUM(G34:G49)</f>
        <v>990098.92</v>
      </c>
      <c r="H50" s="124"/>
      <c r="I50" s="124"/>
    </row>
    <row r="51" spans="1:9" ht="12" thickTop="1" x14ac:dyDescent="0.2">
      <c r="A51" s="38" t="s">
        <v>885</v>
      </c>
      <c r="B51" s="2"/>
      <c r="C51" s="41" t="e">
        <f>C50+C31</f>
        <v>#REF!</v>
      </c>
      <c r="D51" s="41">
        <f>D50+D31</f>
        <v>48945.15</v>
      </c>
      <c r="E51" s="41">
        <f>E50+E31</f>
        <v>367547.43000000005</v>
      </c>
      <c r="F51" s="41">
        <f>F50+F31</f>
        <v>0</v>
      </c>
      <c r="G51" s="41">
        <f>G50+G31</f>
        <v>990098.92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12447578</v>
      </c>
      <c r="D56" s="95">
        <f>'DOE25'!G60</f>
        <v>0</v>
      </c>
      <c r="E56" s="95">
        <f>'DOE25'!H60</f>
        <v>0</v>
      </c>
      <c r="F56" s="95">
        <f>'DOE25'!I60</f>
        <v>0</v>
      </c>
      <c r="G56" s="95">
        <f>'DOE25'!J60</f>
        <v>0</v>
      </c>
      <c r="H56"/>
      <c r="I56"/>
    </row>
    <row r="57" spans="1:9" x14ac:dyDescent="0.2">
      <c r="A57" s="1" t="s">
        <v>164</v>
      </c>
      <c r="B57" s="6" t="s">
        <v>165</v>
      </c>
      <c r="C57" s="95">
        <f>'DOE25'!F79</f>
        <v>1347952.39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1320.68</v>
      </c>
      <c r="D59" s="95">
        <f>'DOE25'!G96</f>
        <v>0</v>
      </c>
      <c r="E59" s="95">
        <f>'DOE25'!H96</f>
        <v>0</v>
      </c>
      <c r="F59" s="95">
        <f>'DOE25'!I96</f>
        <v>0</v>
      </c>
      <c r="G59" s="95">
        <f>'DOE25'!J96</f>
        <v>3702</v>
      </c>
      <c r="H59"/>
      <c r="I59"/>
    </row>
    <row r="60" spans="1:9" x14ac:dyDescent="0.2">
      <c r="A60" s="1" t="s">
        <v>170</v>
      </c>
      <c r="B60" s="118" t="s">
        <v>171</v>
      </c>
      <c r="C60" s="24" t="s">
        <v>288</v>
      </c>
      <c r="D60" s="95">
        <f>'DOE25'!G97</f>
        <v>183406.35</v>
      </c>
      <c r="E60" s="24" t="s">
        <v>288</v>
      </c>
      <c r="F60" s="24" t="s">
        <v>288</v>
      </c>
      <c r="G60" s="24" t="s">
        <v>288</v>
      </c>
      <c r="H60"/>
      <c r="I60"/>
    </row>
    <row r="61" spans="1:9" ht="12" thickBot="1" x14ac:dyDescent="0.25">
      <c r="A61" s="1" t="s">
        <v>172</v>
      </c>
      <c r="B61" s="118" t="s">
        <v>173</v>
      </c>
      <c r="C61" s="95">
        <f>SUM('DOE25'!F98:F110)</f>
        <v>47365.93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1396638.9999999998</v>
      </c>
      <c r="D62" s="130">
        <f>SUM(D57:D61)</f>
        <v>183406.35</v>
      </c>
      <c r="E62" s="130">
        <f>SUM(E57:E61)</f>
        <v>0</v>
      </c>
      <c r="F62" s="130">
        <f>SUM(F57:F61)</f>
        <v>0</v>
      </c>
      <c r="G62" s="130">
        <f>SUM(G57:G61)</f>
        <v>3702</v>
      </c>
      <c r="H62"/>
      <c r="I62"/>
    </row>
    <row r="63" spans="1:9" ht="12" thickTop="1" x14ac:dyDescent="0.2">
      <c r="A63" s="29" t="s">
        <v>175</v>
      </c>
      <c r="B63" s="6"/>
      <c r="C63" s="22">
        <f>C56+C62</f>
        <v>13844217</v>
      </c>
      <c r="D63" s="22">
        <f>D56+D62</f>
        <v>183406.35</v>
      </c>
      <c r="E63" s="22">
        <f>E56+E62</f>
        <v>0</v>
      </c>
      <c r="F63" s="22">
        <f>F56+F62</f>
        <v>0</v>
      </c>
      <c r="G63" s="22">
        <f>G56+G62</f>
        <v>3702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6351367.2400000002</v>
      </c>
      <c r="D66" s="24" t="s">
        <v>288</v>
      </c>
      <c r="E66" s="24" t="s">
        <v>288</v>
      </c>
      <c r="F66" s="24" t="s">
        <v>288</v>
      </c>
      <c r="G66" s="24" t="s">
        <v>288</v>
      </c>
      <c r="H66"/>
      <c r="I66"/>
    </row>
    <row r="67" spans="1:9" x14ac:dyDescent="0.2">
      <c r="A67" s="1" t="s">
        <v>770</v>
      </c>
      <c r="B67" s="6">
        <v>3112</v>
      </c>
      <c r="C67" s="95">
        <f>'DOE25'!F118</f>
        <v>1431618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7147.4</v>
      </c>
      <c r="D69" s="95">
        <f>'DOE25'!G120</f>
        <v>0</v>
      </c>
      <c r="E69" s="95">
        <f>'DOE25'!H120</f>
        <v>0</v>
      </c>
      <c r="F69" s="95">
        <f>'DOE25'!I120</f>
        <v>0</v>
      </c>
      <c r="G69" s="95">
        <f>'DOE25'!J120</f>
        <v>0</v>
      </c>
      <c r="H69"/>
      <c r="I69"/>
    </row>
    <row r="70" spans="1:9" ht="12" thickTop="1" x14ac:dyDescent="0.2">
      <c r="A70" s="29" t="s">
        <v>252</v>
      </c>
      <c r="B70" s="2"/>
      <c r="C70" s="139">
        <f>SUM(C66:C69)</f>
        <v>7790132.6400000006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342730.58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105201.79</v>
      </c>
      <c r="D75" s="24" t="s">
        <v>288</v>
      </c>
      <c r="E75" s="24" t="s">
        <v>288</v>
      </c>
      <c r="F75" s="24" t="s">
        <v>288</v>
      </c>
      <c r="G75" s="24" t="s">
        <v>288</v>
      </c>
      <c r="H75"/>
      <c r="I75"/>
    </row>
    <row r="76" spans="1:9" x14ac:dyDescent="0.2">
      <c r="A76" s="1" t="s">
        <v>257</v>
      </c>
      <c r="B76" s="6" t="s">
        <v>179</v>
      </c>
      <c r="C76" s="95">
        <f>SUM('DOE25'!F127:F130)</f>
        <v>15299</v>
      </c>
      <c r="D76" s="24" t="s">
        <v>288</v>
      </c>
      <c r="E76" s="95">
        <f>SUM('DOE25'!H127:H130)</f>
        <v>0</v>
      </c>
      <c r="F76" s="95">
        <f>SUM('DOE25'!I127:I130)</f>
        <v>0</v>
      </c>
      <c r="G76" s="24" t="s">
        <v>288</v>
      </c>
      <c r="H76"/>
      <c r="I76"/>
    </row>
    <row r="77" spans="1:9" ht="12" thickBot="1" x14ac:dyDescent="0.25">
      <c r="A77" s="1" t="s">
        <v>258</v>
      </c>
      <c r="B77" s="6" t="s">
        <v>180</v>
      </c>
      <c r="C77" s="95">
        <f>SUM('DOE25'!F131:F135)</f>
        <v>1956.09</v>
      </c>
      <c r="D77" s="95">
        <f>SUM('DOE25'!G131:G135)</f>
        <v>46033.87</v>
      </c>
      <c r="E77" s="95">
        <f>SUM('DOE25'!H131:H135)</f>
        <v>0</v>
      </c>
      <c r="F77" s="95">
        <f>SUM('DOE25'!I131:I135)</f>
        <v>0</v>
      </c>
      <c r="G77" s="95">
        <f>SUM('DOE25'!J131:J135)</f>
        <v>0</v>
      </c>
      <c r="H77"/>
      <c r="I77"/>
    </row>
    <row r="78" spans="1:9" ht="12.75" thickTop="1" thickBot="1" x14ac:dyDescent="0.25">
      <c r="A78" s="29" t="s">
        <v>259</v>
      </c>
      <c r="B78" s="6"/>
      <c r="C78" s="130">
        <f>SUM(C72:C77)</f>
        <v>465187.46</v>
      </c>
      <c r="D78" s="130">
        <f>SUM(D72:D77)</f>
        <v>46033.87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8255320.1000000006</v>
      </c>
      <c r="D81" s="130">
        <f>SUM(D79:D80)+D78+D70</f>
        <v>46033.87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2944.72</v>
      </c>
      <c r="D88" s="341">
        <f>SUM('DOE25'!G153:G162)</f>
        <v>295718.58</v>
      </c>
      <c r="E88" s="341">
        <f>SUM('DOE25'!H153:H162)</f>
        <v>1240401.8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2944.72</v>
      </c>
      <c r="D91" s="131">
        <f>SUM(D85:D90)</f>
        <v>295718.58</v>
      </c>
      <c r="E91" s="131">
        <f>SUM(E85:E90)</f>
        <v>1240401.8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50000</v>
      </c>
      <c r="E96" s="95">
        <f>'DOE25'!H180</f>
        <v>0</v>
      </c>
      <c r="F96" s="95">
        <f>'DOE25'!I180</f>
        <v>0</v>
      </c>
      <c r="G96" s="95">
        <f>'DOE25'!J180</f>
        <v>200000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50000</v>
      </c>
      <c r="E103" s="86">
        <f>SUM(E93:E102)</f>
        <v>0</v>
      </c>
      <c r="F103" s="86">
        <f>SUM(F93:F102)</f>
        <v>0</v>
      </c>
      <c r="G103" s="86">
        <f>SUM(G93:G102)</f>
        <v>200000</v>
      </c>
    </row>
    <row r="104" spans="1:7" ht="12.75" thickTop="1" thickBot="1" x14ac:dyDescent="0.25">
      <c r="A104" s="33" t="s">
        <v>761</v>
      </c>
      <c r="C104" s="86">
        <f>C63+C81+C91+C103</f>
        <v>22102481.82</v>
      </c>
      <c r="D104" s="86">
        <f>D63+D81+D91+D103</f>
        <v>575158.80000000005</v>
      </c>
      <c r="E104" s="86">
        <f>E63+E81+E91+E103</f>
        <v>1240401.8</v>
      </c>
      <c r="F104" s="86">
        <f>F63+F81+F91+F103</f>
        <v>0</v>
      </c>
      <c r="G104" s="86">
        <f>G63+G81+G103</f>
        <v>203702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7989059.5899999999</v>
      </c>
      <c r="D109" s="24" t="s">
        <v>288</v>
      </c>
      <c r="E109" s="95">
        <f>('DOE25'!L277)+('DOE25'!L296)+('DOE25'!L315)</f>
        <v>1220496.79</v>
      </c>
      <c r="F109" s="24" t="s">
        <v>288</v>
      </c>
      <c r="G109" s="24" t="s">
        <v>288</v>
      </c>
    </row>
    <row r="110" spans="1:7" x14ac:dyDescent="0.2">
      <c r="A110" t="s">
        <v>198</v>
      </c>
      <c r="B110" s="32" t="s">
        <v>199</v>
      </c>
      <c r="C110" s="95">
        <f>('DOE25'!L199)+('DOE25'!L217)+('DOE25'!L235)</f>
        <v>4491670.71</v>
      </c>
      <c r="D110" s="24" t="s">
        <v>288</v>
      </c>
      <c r="E110" s="95">
        <f>('DOE25'!L278)+('DOE25'!L297)+('DOE25'!L316)</f>
        <v>0</v>
      </c>
      <c r="F110" s="24" t="s">
        <v>288</v>
      </c>
      <c r="G110" s="24" t="s">
        <v>288</v>
      </c>
    </row>
    <row r="111" spans="1:7" x14ac:dyDescent="0.2">
      <c r="A111" t="s">
        <v>200</v>
      </c>
      <c r="B111" s="32" t="s">
        <v>165</v>
      </c>
      <c r="C111" s="95">
        <f>('DOE25'!L200)+('DOE25'!L218)+('DOE25'!L236)</f>
        <v>48933.66</v>
      </c>
      <c r="D111" s="24" t="s">
        <v>288</v>
      </c>
      <c r="E111" s="95">
        <f>('DOE25'!L279)+('DOE25'!L298)+('DOE25'!L317)</f>
        <v>0</v>
      </c>
      <c r="F111" s="24" t="s">
        <v>288</v>
      </c>
      <c r="G111" s="24" t="s">
        <v>288</v>
      </c>
    </row>
    <row r="112" spans="1:7" x14ac:dyDescent="0.2">
      <c r="A112" t="s">
        <v>201</v>
      </c>
      <c r="B112" s="32" t="s">
        <v>167</v>
      </c>
      <c r="C112" s="95">
        <f>('DOE25'!L201)+('DOE25'!L219)+('DOE25'!L237)</f>
        <v>341614.19000000006</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12871278.15</v>
      </c>
      <c r="D115" s="86">
        <f>SUM(D109:D114)</f>
        <v>0</v>
      </c>
      <c r="E115" s="86">
        <f>SUM(E109:E114)</f>
        <v>1220496.79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2174411.59</v>
      </c>
      <c r="D118" s="24" t="s">
        <v>288</v>
      </c>
      <c r="E118" s="95">
        <f>+('DOE25'!L282)+('DOE25'!L301)+('DOE25'!L320)</f>
        <v>0</v>
      </c>
      <c r="F118" s="24" t="s">
        <v>288</v>
      </c>
      <c r="G118" s="24" t="s">
        <v>288</v>
      </c>
    </row>
    <row r="119" spans="1:7" x14ac:dyDescent="0.2">
      <c r="A119" t="s">
        <v>208</v>
      </c>
      <c r="B119" s="32" t="s">
        <v>209</v>
      </c>
      <c r="C119" s="95">
        <f>('DOE25'!L204)+('DOE25'!L222)+('DOE25'!L240)</f>
        <v>1095555.8900000001</v>
      </c>
      <c r="D119" s="24" t="s">
        <v>288</v>
      </c>
      <c r="E119" s="95">
        <f>+('DOE25'!L283)+('DOE25'!L302)+('DOE25'!L321)</f>
        <v>0</v>
      </c>
      <c r="F119" s="24" t="s">
        <v>288</v>
      </c>
      <c r="G119" s="24" t="s">
        <v>288</v>
      </c>
    </row>
    <row r="120" spans="1:7" x14ac:dyDescent="0.2">
      <c r="A120" t="s">
        <v>210</v>
      </c>
      <c r="B120" s="32" t="s">
        <v>211</v>
      </c>
      <c r="C120" s="95">
        <f>('DOE25'!L205)+('DOE25'!L223)+('DOE25'!L241)</f>
        <v>1092730.83</v>
      </c>
      <c r="D120" s="24" t="s">
        <v>288</v>
      </c>
      <c r="E120" s="95">
        <f>+('DOE25'!L284)+('DOE25'!L303)+('DOE25'!L322)</f>
        <v>0</v>
      </c>
      <c r="F120" s="24" t="s">
        <v>288</v>
      </c>
      <c r="G120" s="24" t="s">
        <v>288</v>
      </c>
    </row>
    <row r="121" spans="1:7" x14ac:dyDescent="0.2">
      <c r="A121" t="s">
        <v>212</v>
      </c>
      <c r="B121" s="32" t="s">
        <v>213</v>
      </c>
      <c r="C121" s="95">
        <f>('DOE25'!L206)+('DOE25'!L224)+('DOE25'!L242)</f>
        <v>1194723.3800000001</v>
      </c>
      <c r="D121" s="24" t="s">
        <v>288</v>
      </c>
      <c r="E121" s="95">
        <f>+('DOE25'!L285)+('DOE25'!L304)+('DOE25'!L323)</f>
        <v>0</v>
      </c>
      <c r="F121" s="24" t="s">
        <v>288</v>
      </c>
      <c r="G121" s="24" t="s">
        <v>288</v>
      </c>
    </row>
    <row r="122" spans="1:7" x14ac:dyDescent="0.2">
      <c r="A122" t="s">
        <v>214</v>
      </c>
      <c r="B122" s="32" t="s">
        <v>215</v>
      </c>
      <c r="C122" s="95">
        <f>('DOE25'!L207)+('DOE25'!L225)+('DOE25'!L243)</f>
        <v>12563.53</v>
      </c>
      <c r="D122" s="24" t="s">
        <v>288</v>
      </c>
      <c r="E122" s="95">
        <f>+('DOE25'!L286)+('DOE25'!L305)+('DOE25'!L324)</f>
        <v>0</v>
      </c>
      <c r="F122" s="24" t="s">
        <v>288</v>
      </c>
      <c r="G122" s="24" t="s">
        <v>288</v>
      </c>
    </row>
    <row r="123" spans="1:7" x14ac:dyDescent="0.2">
      <c r="A123" t="s">
        <v>216</v>
      </c>
      <c r="B123" s="32" t="s">
        <v>217</v>
      </c>
      <c r="C123" s="95">
        <f>('DOE25'!L208)+('DOE25'!L226)+('DOE25'!L244)</f>
        <v>2110884.11</v>
      </c>
      <c r="D123" s="24" t="s">
        <v>288</v>
      </c>
      <c r="E123" s="95">
        <f>+('DOE25'!L287)+('DOE25'!L306)+('DOE25'!L325)</f>
        <v>0</v>
      </c>
      <c r="F123" s="24" t="s">
        <v>288</v>
      </c>
      <c r="G123" s="24" t="s">
        <v>288</v>
      </c>
    </row>
    <row r="124" spans="1:7" x14ac:dyDescent="0.2">
      <c r="A124" t="s">
        <v>218</v>
      </c>
      <c r="B124" s="32" t="s">
        <v>219</v>
      </c>
      <c r="C124" s="95">
        <f>('DOE25'!L209)+('DOE25'!L227)+('DOE25'!L245+'DOE25'!L255)</f>
        <v>773032.91999999993</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654239.94999999995</v>
      </c>
      <c r="E127" s="24" t="s">
        <v>288</v>
      </c>
      <c r="F127" s="24" t="s">
        <v>288</v>
      </c>
      <c r="G127" s="24" t="s">
        <v>288</v>
      </c>
    </row>
    <row r="128" spans="1:7" ht="12.75" thickTop="1" thickBot="1" x14ac:dyDescent="0.25">
      <c r="A128" s="33" t="s">
        <v>226</v>
      </c>
      <c r="C128" s="86">
        <f>SUM(C118:C127)</f>
        <v>8453902.25</v>
      </c>
      <c r="D128" s="86">
        <f>SUM(D118:D127)</f>
        <v>654239.94999999995</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735000</v>
      </c>
      <c r="D131" s="24" t="s">
        <v>288</v>
      </c>
      <c r="E131" s="129">
        <f>'DOE25'!L342</f>
        <v>0</v>
      </c>
      <c r="F131" s="24" t="s">
        <v>288</v>
      </c>
      <c r="G131" s="24" t="s">
        <v>288</v>
      </c>
    </row>
    <row r="132" spans="1:7" x14ac:dyDescent="0.2">
      <c r="A132" t="s">
        <v>230</v>
      </c>
      <c r="B132" s="32">
        <v>5120</v>
      </c>
      <c r="C132" s="95">
        <f>'DOE25'!L262</f>
        <v>128625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50000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203702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-3702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1113625</v>
      </c>
      <c r="D144" s="141">
        <f>SUM(D130:D143)</f>
        <v>0</v>
      </c>
      <c r="E144" s="141">
        <f>SUM(E130:E143)</f>
        <v>0</v>
      </c>
      <c r="F144" s="141">
        <f>SUM(F130:F143)</f>
        <v>0</v>
      </c>
      <c r="G144" s="141">
        <f>SUM(G130:G143)</f>
        <v>0</v>
      </c>
    </row>
    <row r="145" spans="1:9" ht="12.75" thickTop="1" thickBot="1" x14ac:dyDescent="0.25">
      <c r="A145" s="33" t="s">
        <v>244</v>
      </c>
      <c r="C145" s="86">
        <f>(C115+C128+C144)</f>
        <v>22438805.399999999</v>
      </c>
      <c r="D145" s="86">
        <f>(D115+D128+D144)</f>
        <v>654239.94999999995</v>
      </c>
      <c r="E145" s="86">
        <f>(E115+E128+E144)</f>
        <v>1220496.79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HILLSBORO-DEERING COOPERATIVE SCHOOL DISTRICT</v>
      </c>
    </row>
    <row r="3" spans="1:4" x14ac:dyDescent="0.2">
      <c r="B3" s="188" t="s">
        <v>1587</v>
      </c>
    </row>
    <row r="4" spans="1:4" x14ac:dyDescent="0.2">
      <c r="B4" t="s">
        <v>61</v>
      </c>
      <c r="C4" s="179">
        <f>IF('DOE25'!F666+'DOE25'!F671=0,0,ROUND('DOE25'!F673,0))</f>
        <v>20099</v>
      </c>
    </row>
    <row r="5" spans="1:4" x14ac:dyDescent="0.2">
      <c r="B5" t="s">
        <v>700</v>
      </c>
      <c r="C5" s="179">
        <f>IF('DOE25'!G666+'DOE25'!G671=0,0,ROUND('DOE25'!G673,0))</f>
        <v>17164</v>
      </c>
    </row>
    <row r="6" spans="1:4" x14ac:dyDescent="0.2">
      <c r="B6" t="s">
        <v>62</v>
      </c>
      <c r="C6" s="179">
        <f>IF('DOE25'!H666+'DOE25'!H671=0,0,ROUND('DOE25'!H673,0))</f>
        <v>21040</v>
      </c>
    </row>
    <row r="7" spans="1:4" x14ac:dyDescent="0.2">
      <c r="B7" t="s">
        <v>701</v>
      </c>
      <c r="C7" s="179">
        <f>IF('DOE25'!I666+'DOE25'!I671=0,0,ROUND('DOE25'!I673,0))</f>
        <v>19636</v>
      </c>
    </row>
    <row r="9" spans="1:4" x14ac:dyDescent="0.2">
      <c r="A9" s="187" t="s">
        <v>94</v>
      </c>
      <c r="B9" s="188" t="s">
        <v>1588</v>
      </c>
      <c r="C9" s="181" t="s">
        <v>720</v>
      </c>
      <c r="D9" s="181" t="s">
        <v>721</v>
      </c>
    </row>
    <row r="10" spans="1:4" x14ac:dyDescent="0.2">
      <c r="A10">
        <v>1100</v>
      </c>
      <c r="B10" t="s">
        <v>702</v>
      </c>
      <c r="C10" s="179">
        <f>ROUND('DOE25'!L198+'DOE25'!L216+'DOE25'!L234+'DOE25'!L277+'DOE25'!L296+'DOE25'!L315,0)</f>
        <v>9209556</v>
      </c>
      <c r="D10" s="182">
        <f>ROUND((C10/$C$28)*100,1)</f>
        <v>39.799999999999997</v>
      </c>
    </row>
    <row r="11" spans="1:4" x14ac:dyDescent="0.2">
      <c r="A11">
        <v>1200</v>
      </c>
      <c r="B11" t="s">
        <v>703</v>
      </c>
      <c r="C11" s="179">
        <f>ROUND('DOE25'!L199+'DOE25'!L217+'DOE25'!L235+'DOE25'!L278+'DOE25'!L297+'DOE25'!L316,0)</f>
        <v>4491671</v>
      </c>
      <c r="D11" s="182">
        <f>ROUND((C11/$C$28)*100,1)</f>
        <v>19.399999999999999</v>
      </c>
    </row>
    <row r="12" spans="1:4" x14ac:dyDescent="0.2">
      <c r="A12">
        <v>1300</v>
      </c>
      <c r="B12" t="s">
        <v>704</v>
      </c>
      <c r="C12" s="179">
        <f>ROUND('DOE25'!L200+'DOE25'!L218+'DOE25'!L236+'DOE25'!L279+'DOE25'!L298+'DOE25'!L317,0)</f>
        <v>48934</v>
      </c>
      <c r="D12" s="182">
        <f>ROUND((C12/$C$28)*100,1)</f>
        <v>0.2</v>
      </c>
    </row>
    <row r="13" spans="1:4" x14ac:dyDescent="0.2">
      <c r="A13">
        <v>1400</v>
      </c>
      <c r="B13" t="s">
        <v>705</v>
      </c>
      <c r="C13" s="179">
        <f>ROUND('DOE25'!L201+'DOE25'!L219+'DOE25'!L237+'DOE25'!L280+'DOE25'!L299+'DOE25'!L318,0)</f>
        <v>341614</v>
      </c>
      <c r="D13" s="182">
        <f>ROUND((C13/$C$28)*100,1)</f>
        <v>1.5</v>
      </c>
    </row>
    <row r="14" spans="1:4" x14ac:dyDescent="0.2">
      <c r="D14" s="182"/>
    </row>
    <row r="15" spans="1:4" x14ac:dyDescent="0.2">
      <c r="A15">
        <v>2100</v>
      </c>
      <c r="B15" t="s">
        <v>706</v>
      </c>
      <c r="C15" s="179">
        <f>ROUND('DOE25'!L203+'DOE25'!L221+'DOE25'!L239+'DOE25'!L282+'DOE25'!L301+'DOE25'!L320,0)</f>
        <v>2174412</v>
      </c>
      <c r="D15" s="182">
        <f t="shared" ref="D15:D27" si="0">ROUND((C15/$C$28)*100,1)</f>
        <v>9.4</v>
      </c>
    </row>
    <row r="16" spans="1:4" x14ac:dyDescent="0.2">
      <c r="A16">
        <v>2200</v>
      </c>
      <c r="B16" t="s">
        <v>707</v>
      </c>
      <c r="C16" s="179">
        <f>ROUND('DOE25'!L204+'DOE25'!L222+'DOE25'!L240+'DOE25'!L283+'DOE25'!L302+'DOE25'!L321,0)</f>
        <v>1095556</v>
      </c>
      <c r="D16" s="182">
        <f t="shared" si="0"/>
        <v>4.7</v>
      </c>
    </row>
    <row r="17" spans="1:4" x14ac:dyDescent="0.2">
      <c r="A17" s="183" t="s">
        <v>723</v>
      </c>
      <c r="B17" t="s">
        <v>738</v>
      </c>
      <c r="C17" s="179">
        <f>ROUND('DOE25'!L205+'DOE25'!L210+'DOE25'!L223+'DOE25'!L228+'DOE25'!L241+'DOE25'!L246+'DOE25'!L284+'DOE25'!L289+'DOE25'!L303+'DOE25'!L308+'DOE25'!L322+'DOE25'!L327,0)</f>
        <v>1092731</v>
      </c>
      <c r="D17" s="182">
        <f t="shared" si="0"/>
        <v>4.7</v>
      </c>
    </row>
    <row r="18" spans="1:4" x14ac:dyDescent="0.2">
      <c r="A18">
        <v>2400</v>
      </c>
      <c r="B18" t="s">
        <v>711</v>
      </c>
      <c r="C18" s="179">
        <f>ROUND('DOE25'!L206+'DOE25'!L224+'DOE25'!L242+'DOE25'!L285+'DOE25'!L304+'DOE25'!L323,0)</f>
        <v>1194723</v>
      </c>
      <c r="D18" s="182">
        <f t="shared" si="0"/>
        <v>5.2</v>
      </c>
    </row>
    <row r="19" spans="1:4" x14ac:dyDescent="0.2">
      <c r="A19">
        <v>2500</v>
      </c>
      <c r="B19" t="s">
        <v>708</v>
      </c>
      <c r="C19" s="179">
        <f>ROUND('DOE25'!L207+'DOE25'!L225+'DOE25'!L243+'DOE25'!L286+'DOE25'!L305+'DOE25'!L324,0)</f>
        <v>12564</v>
      </c>
      <c r="D19" s="182">
        <f t="shared" si="0"/>
        <v>0.1</v>
      </c>
    </row>
    <row r="20" spans="1:4" x14ac:dyDescent="0.2">
      <c r="A20">
        <v>2600</v>
      </c>
      <c r="B20" t="s">
        <v>709</v>
      </c>
      <c r="C20" s="179">
        <f>ROUND('DOE25'!L208+'DOE25'!L226+'DOE25'!L244+'DOE25'!L287+'DOE25'!L306+'DOE25'!L325,0)</f>
        <v>2110884</v>
      </c>
      <c r="D20" s="182">
        <f t="shared" si="0"/>
        <v>9.1</v>
      </c>
    </row>
    <row r="21" spans="1:4" x14ac:dyDescent="0.2">
      <c r="A21">
        <v>2700</v>
      </c>
      <c r="B21" t="s">
        <v>710</v>
      </c>
      <c r="C21" s="179">
        <f>ROUND('DOE25'!L209+'DOE25'!L227+'DOE25'!L245+'DOE25'!L288+'DOE25'!L307+'DOE25'!L326,0)</f>
        <v>773033</v>
      </c>
      <c r="D21" s="182">
        <f t="shared" si="0"/>
        <v>3.3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128625</v>
      </c>
      <c r="D25" s="182">
        <f t="shared" si="0"/>
        <v>0.6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470833.65</v>
      </c>
      <c r="D27" s="182">
        <f t="shared" si="0"/>
        <v>2</v>
      </c>
    </row>
    <row r="28" spans="1:4" x14ac:dyDescent="0.2">
      <c r="B28" s="187" t="s">
        <v>719</v>
      </c>
      <c r="C28" s="180">
        <f>SUM(C10:C27)</f>
        <v>23145136.649999999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23145136.649999999</v>
      </c>
    </row>
    <row r="31" spans="1:4" x14ac:dyDescent="0.2">
      <c r="B31" s="33"/>
      <c r="C31" s="180"/>
    </row>
    <row r="32" spans="1:4" x14ac:dyDescent="0.2">
      <c r="A32">
        <v>5100</v>
      </c>
      <c r="B32" s="33" t="s">
        <v>726</v>
      </c>
      <c r="C32" s="180">
        <f>ROUND('DOE25'!L261+'DOE25'!L342,0)</f>
        <v>735000</v>
      </c>
    </row>
    <row r="34" spans="1:4" x14ac:dyDescent="0.2">
      <c r="A34" s="187" t="s">
        <v>94</v>
      </c>
      <c r="B34" s="188" t="s">
        <v>1589</v>
      </c>
      <c r="C34" s="181" t="s">
        <v>720</v>
      </c>
      <c r="D34" s="181" t="s">
        <v>721</v>
      </c>
    </row>
    <row r="35" spans="1:4" x14ac:dyDescent="0.2">
      <c r="A35">
        <v>1100</v>
      </c>
      <c r="B35" s="185" t="s">
        <v>727</v>
      </c>
      <c r="C35" s="179">
        <f>ROUND('DOE25'!F60+'DOE25'!G60+'DOE25'!H60+'DOE25'!I60+'DOE25'!J60,0)</f>
        <v>12447578</v>
      </c>
      <c r="D35" s="182">
        <f t="shared" ref="D35:D40" si="1">ROUND((C35/$C$41)*100,1)</f>
        <v>52.5</v>
      </c>
    </row>
    <row r="36" spans="1:4" x14ac:dyDescent="0.2">
      <c r="B36" s="185" t="s">
        <v>739</v>
      </c>
      <c r="C36" s="179">
        <f>SUM('DOE25'!F112:J112)-SUM('DOE25'!G97:G110)+('DOE25'!F175+'DOE25'!F176+'DOE25'!I175+'DOE25'!I176)-C35</f>
        <v>1400341</v>
      </c>
      <c r="D36" s="182">
        <f t="shared" si="1"/>
        <v>5.9</v>
      </c>
    </row>
    <row r="37" spans="1:4" x14ac:dyDescent="0.2">
      <c r="A37" s="183" t="s">
        <v>835</v>
      </c>
      <c r="B37" s="185" t="s">
        <v>728</v>
      </c>
      <c r="C37" s="179">
        <f>ROUND('DOE25'!F117+'DOE25'!F118,0)</f>
        <v>7782985</v>
      </c>
      <c r="D37" s="182">
        <f t="shared" si="1"/>
        <v>32.9</v>
      </c>
    </row>
    <row r="38" spans="1:4" x14ac:dyDescent="0.2">
      <c r="A38" s="183" t="s">
        <v>734</v>
      </c>
      <c r="B38" s="185" t="s">
        <v>729</v>
      </c>
      <c r="C38" s="179">
        <f>ROUND(SUM('DOE25'!F140:J140)-SUM('DOE25'!F117:F119),0)</f>
        <v>518369</v>
      </c>
      <c r="D38" s="182">
        <f t="shared" si="1"/>
        <v>2.2000000000000002</v>
      </c>
    </row>
    <row r="39" spans="1:4" x14ac:dyDescent="0.2">
      <c r="A39">
        <v>4000</v>
      </c>
      <c r="B39" s="185" t="s">
        <v>730</v>
      </c>
      <c r="C39" s="179">
        <f>ROUND('DOE25'!F170+'DOE25'!G170+'DOE25'!H170+'DOE25'!I170,0)</f>
        <v>1539065</v>
      </c>
      <c r="D39" s="182">
        <f t="shared" si="1"/>
        <v>6.5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23688338</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HILLSBORO-DEERING COOPERATIVE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t="s">
        <v>286</v>
      </c>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2020-10-30T13:22:40Z</cp:lastPrinted>
  <dcterms:created xsi:type="dcterms:W3CDTF">1997-12-04T19:04:30Z</dcterms:created>
  <dcterms:modified xsi:type="dcterms:W3CDTF">2020-12-11T15:04:09Z</dcterms:modified>
</cp:coreProperties>
</file>