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6" i="1" l="1"/>
  <c r="F9" i="1"/>
  <c r="F50" i="1"/>
  <c r="F469" i="1"/>
  <c r="F57" i="1"/>
  <c r="F110" i="1" l="1"/>
  <c r="F44" i="1" l="1"/>
  <c r="H48" i="1" l="1"/>
  <c r="F5" i="13" l="1"/>
  <c r="H544" i="1" l="1"/>
  <c r="H543" i="1"/>
  <c r="J593" i="1"/>
  <c r="I593" i="1"/>
  <c r="E37" i="14" l="1"/>
  <c r="E25" i="14"/>
  <c r="D37" i="14"/>
  <c r="D25" i="14"/>
  <c r="F15" i="13"/>
  <c r="F14" i="13"/>
  <c r="F6" i="13"/>
  <c r="H13" i="1" l="1"/>
  <c r="J256" i="1"/>
  <c r="J180" i="1" l="1"/>
  <c r="K267" i="1"/>
  <c r="G443" i="1"/>
  <c r="I41" i="1" l="1"/>
  <c r="G43" i="1"/>
  <c r="J592" i="1" l="1"/>
  <c r="H237" i="1"/>
  <c r="H245" i="1"/>
  <c r="I318" i="1" l="1"/>
  <c r="H380" i="1" l="1"/>
  <c r="I24" i="1"/>
  <c r="F316" i="1"/>
  <c r="H316" i="1"/>
  <c r="I316" i="1"/>
  <c r="J315" i="1"/>
  <c r="F320" i="1"/>
  <c r="H315" i="1"/>
  <c r="I315" i="1"/>
  <c r="H320" i="1"/>
  <c r="F321" i="1"/>
  <c r="H321" i="1"/>
  <c r="F297" i="1"/>
  <c r="H297" i="1"/>
  <c r="I297" i="1"/>
  <c r="J296" i="1"/>
  <c r="F301" i="1"/>
  <c r="H296" i="1"/>
  <c r="I296" i="1"/>
  <c r="H301" i="1"/>
  <c r="F302" i="1"/>
  <c r="H302" i="1"/>
  <c r="I299" i="1"/>
  <c r="H299" i="1"/>
  <c r="H98" i="1"/>
  <c r="H23" i="1"/>
  <c r="H22" i="1"/>
  <c r="H14" i="1"/>
  <c r="G132" i="1"/>
  <c r="G158" i="1"/>
  <c r="G97" i="1"/>
  <c r="G13" i="1"/>
  <c r="F118" i="1"/>
  <c r="F45" i="1"/>
  <c r="F36" i="1"/>
  <c r="F28" i="1"/>
  <c r="F24" i="1"/>
  <c r="F23" i="1"/>
  <c r="F17" i="1"/>
  <c r="F13" i="1"/>
  <c r="H227" i="1" l="1"/>
  <c r="H219" i="1"/>
  <c r="H155" i="1"/>
  <c r="H24" i="1" l="1"/>
  <c r="I524" i="1" l="1"/>
  <c r="I523" i="1"/>
  <c r="G534" i="1"/>
  <c r="G533" i="1"/>
  <c r="G529" i="1"/>
  <c r="G528" i="1"/>
  <c r="G524" i="1"/>
  <c r="G523" i="1"/>
  <c r="H524" i="1"/>
  <c r="H523" i="1"/>
  <c r="G449" i="1"/>
  <c r="K423" i="1"/>
  <c r="J423" i="1"/>
  <c r="I423" i="1"/>
  <c r="H423" i="1"/>
  <c r="G9" i="1" l="1"/>
  <c r="G499" i="1"/>
  <c r="F503" i="1"/>
  <c r="H376" i="1" l="1"/>
  <c r="H369" i="1"/>
  <c r="H368" i="1"/>
  <c r="G369" i="1"/>
  <c r="G368" i="1"/>
  <c r="H318" i="1" l="1"/>
  <c r="K262" i="1" l="1"/>
  <c r="K261" i="1"/>
  <c r="I245" i="1"/>
  <c r="K244" i="1"/>
  <c r="I244" i="1"/>
  <c r="H244" i="1"/>
  <c r="K242" i="1"/>
  <c r="I242" i="1"/>
  <c r="H242" i="1"/>
  <c r="H241" i="1"/>
  <c r="F241" i="1"/>
  <c r="H240" i="1"/>
  <c r="I240" i="1"/>
  <c r="F240" i="1"/>
  <c r="F239" i="1"/>
  <c r="H239" i="1"/>
  <c r="J237" i="1"/>
  <c r="F237" i="1"/>
  <c r="I235" i="1"/>
  <c r="H235" i="1"/>
  <c r="F235" i="1"/>
  <c r="K234" i="1"/>
  <c r="I234" i="1"/>
  <c r="F234" i="1"/>
  <c r="I227" i="1"/>
  <c r="K226" i="1"/>
  <c r="I226" i="1"/>
  <c r="H226" i="1"/>
  <c r="K224" i="1"/>
  <c r="I224" i="1"/>
  <c r="H224" i="1"/>
  <c r="K223" i="1"/>
  <c r="I223" i="1"/>
  <c r="H223" i="1"/>
  <c r="F223" i="1"/>
  <c r="H222" i="1"/>
  <c r="I222" i="1"/>
  <c r="F222" i="1"/>
  <c r="F221" i="1"/>
  <c r="H221" i="1"/>
  <c r="F219" i="1"/>
  <c r="I217" i="1"/>
  <c r="H217" i="1"/>
  <c r="F217" i="1"/>
  <c r="I216" i="1"/>
  <c r="F216" i="1"/>
  <c r="J240" i="1"/>
  <c r="H236" i="1"/>
  <c r="F98" i="1" l="1"/>
  <c r="F63"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36" i="1"/>
  <c r="F147" i="1"/>
  <c r="F170" i="1" s="1"/>
  <c r="G147" i="1"/>
  <c r="D85" i="2" s="1"/>
  <c r="H147" i="1"/>
  <c r="H170" i="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0" i="2"/>
  <c r="E121" i="2"/>
  <c r="E123"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53" i="1"/>
  <c r="H653" i="1"/>
  <c r="G654" i="1"/>
  <c r="H654" i="1"/>
  <c r="G655" i="1"/>
  <c r="H655" i="1"/>
  <c r="H656" i="1"/>
  <c r="J572" i="1"/>
  <c r="I170" i="1"/>
  <c r="G477" i="1"/>
  <c r="G339" i="1"/>
  <c r="G353" i="1" s="1"/>
  <c r="J140" i="1"/>
  <c r="J258" i="1" l="1"/>
  <c r="C91" i="2"/>
  <c r="D50" i="2"/>
  <c r="H462" i="1"/>
  <c r="H642" i="1" s="1"/>
  <c r="H409" i="1"/>
  <c r="H645" i="1" s="1"/>
  <c r="A31" i="12"/>
  <c r="A40" i="12"/>
  <c r="J656" i="1"/>
  <c r="L402" i="1"/>
  <c r="C139" i="2" s="1"/>
  <c r="G409" i="1"/>
  <c r="H646" i="1" s="1"/>
  <c r="G646" i="1"/>
  <c r="J652" i="1"/>
  <c r="G553" i="1"/>
  <c r="H477" i="1"/>
  <c r="H625" i="1" s="1"/>
  <c r="G662" i="1"/>
  <c r="E112" i="2"/>
  <c r="K339" i="1"/>
  <c r="K353" i="1" s="1"/>
  <c r="H112" i="1"/>
  <c r="L257" i="1"/>
  <c r="F258" i="1"/>
  <c r="F272" i="1" s="1"/>
  <c r="C119" i="2"/>
  <c r="C20" i="10"/>
  <c r="C13" i="10"/>
  <c r="C11" i="10"/>
  <c r="C110" i="2"/>
  <c r="D15" i="13"/>
  <c r="C15" i="13" s="1"/>
  <c r="E13" i="13"/>
  <c r="C13" i="13" s="1"/>
  <c r="C121" i="2"/>
  <c r="C120" i="2"/>
  <c r="D6" i="13"/>
  <c r="C6" i="13" s="1"/>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E128" i="2" l="1"/>
  <c r="E115" i="2"/>
  <c r="J646" i="1"/>
  <c r="E145" i="2"/>
  <c r="E51" i="2"/>
  <c r="H661" i="1"/>
  <c r="H665" i="1" s="1"/>
  <c r="H668" i="1" s="1"/>
  <c r="H649" i="1"/>
  <c r="G24" i="14"/>
  <c r="G36" i="14"/>
  <c r="H36" i="14" s="1"/>
  <c r="I36" i="14" s="1"/>
  <c r="C81" i="2"/>
  <c r="F194" i="1"/>
  <c r="G628" i="1" s="1"/>
  <c r="J62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H24" i="14"/>
  <c r="I24" i="14" s="1"/>
  <c r="F673" i="1"/>
  <c r="C4" i="10" s="1"/>
  <c r="C51" i="2"/>
  <c r="G632" i="1"/>
  <c r="J632" i="1" s="1"/>
  <c r="G194" i="1"/>
  <c r="G629" i="1" s="1"/>
  <c r="J629" i="1" s="1"/>
  <c r="G627" i="1"/>
  <c r="J627" i="1" s="1"/>
  <c r="J52" i="1"/>
  <c r="H622" i="1" s="1"/>
  <c r="J622" i="1" s="1"/>
  <c r="C38" i="10"/>
  <c r="I661" i="1" l="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<sst xmlns="http://schemas.openxmlformats.org/spreadsheetml/2006/main" count="5548" uniqueCount="1647">
  <si>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</si>
  <si>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</si>
  <si>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</si>
  <si>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</si>
  <si>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</si>
  <si>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</si>
  <si>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</si>
  <si>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</si>
  <si>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</si>
  <si>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</si>
  <si>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</si>
  <si>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</si>
  <si>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</si>
  <si>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</si>
  <si>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</si>
  <si>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</si>
  <si>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</si>
  <si>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</si>
  <si>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</si>
  <si>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</si>
  <si>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</si>
  <si>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</si>
  <si>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</si>
  <si>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</si>
  <si>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</si>
  <si>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</si>
  <si>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</si>
  <si>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</si>
  <si>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</si>
  <si>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</si>
  <si>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</si>
  <si>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</si>
  <si>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</si>
  <si>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</si>
  <si>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</si>
  <si>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</si>
  <si>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</si>
  <si>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</si>
  <si>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</si>
  <si>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</si>
  <si>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</si>
  <si>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</si>
  <si>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</si>
  <si>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</si>
  <si>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</si>
  <si>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</si>
  <si>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</si>
  <si>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</si>
  <si>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</si>
  <si>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</si>
  <si>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</si>
  <si>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</si>
  <si>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</si>
  <si>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</si>
  <si>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</si>
  <si>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</si>
  <si>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</si>
  <si>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</si>
  <si>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</si>
  <si>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</si>
  <si>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</si>
  <si>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</si>
  <si>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</si>
  <si>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</si>
  <si>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</si>
  <si>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</si>
  <si>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</si>
  <si>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</si>
  <si>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</si>
  <si>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</si>
  <si>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</si>
  <si>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</si>
  <si>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</si>
  <si>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</si>
  <si>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</si>
  <si>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</si>
  <si>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</si>
  <si>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</si>
  <si>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</si>
  <si>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</si>
  <si>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</si>
  <si>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</si>
  <si>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</si>
  <si>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</si>
  <si>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</si>
  <si>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</si>
  <si>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</si>
  <si>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</si>
  <si>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</si>
  <si>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</si>
  <si>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</si>
  <si>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</si>
  <si>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</si>
  <si>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</si>
  <si>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</si>
  <si>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</si>
  <si>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</si>
  <si>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</si>
  <si>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</si>
  <si>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</si>
  <si>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</si>
  <si>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</si>
  <si>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</si>
  <si>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</si>
  <si>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</si>
  <si>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</si>
  <si>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</si>
  <si>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</si>
  <si>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</si>
  <si>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</si>
  <si>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</si>
  <si>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</si>
  <si>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</si>
  <si>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</si>
  <si>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</si>
  <si>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</si>
  <si>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</si>
  <si>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</si>
  <si>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</si>
  <si>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</si>
  <si>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</si>
  <si>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</si>
  <si>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</si>
  <si>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</si>
  <si>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</si>
  <si>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</si>
  <si>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</si>
  <si>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</si>
  <si>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</si>
  <si>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</si>
  <si>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</si>
  <si>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</si>
  <si>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</si>
  <si>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</si>
  <si>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</si>
  <si>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</si>
  <si>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</si>
  <si>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</si>
  <si>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</si>
  <si>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</si>
  <si>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</si>
  <si>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</si>
  <si>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</si>
  <si>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</si>
  <si>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</si>
  <si>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</si>
  <si>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</si>
  <si>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</si>
  <si>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</si>
  <si>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</si>
  <si>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</si>
  <si>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</si>
  <si>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</si>
  <si>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</si>
  <si>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</si>
  <si>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</si>
  <si>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</si>
  <si>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</si>
  <si>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</si>
  <si>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</si>
  <si>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</si>
  <si>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</si>
  <si>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</si>
  <si>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</si>
  <si>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</si>
  <si>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</si>
  <si>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</si>
  <si>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</si>
  <si>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</si>
  <si>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</si>
  <si>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</si>
  <si>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</si>
  <si>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</si>
  <si>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</si>
  <si>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</si>
  <si>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</si>
  <si>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</si>
  <si>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</si>
  <si>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</si>
  <si>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</si>
  <si>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</si>
  <si>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</si>
  <si>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</si>
  <si>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</si>
  <si>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</si>
  <si>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</si>
  <si>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</si>
  <si>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</si>
  <si>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</si>
  <si>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</si>
  <si>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</si>
  <si>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</si>
  <si>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</si>
  <si>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</si>
  <si>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</si>
  <si>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</si>
  <si>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</si>
  <si>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</si>
  <si>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</si>
  <si>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</si>
  <si>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</si>
  <si>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</si>
  <si>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</si>
  <si>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</si>
  <si>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</si>
  <si>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</si>
  <si>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</si>
  <si>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</si>
  <si>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</si>
  <si>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</si>
  <si>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</si>
  <si>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</si>
  <si>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</si>
  <si>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</si>
  <si>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</si>
  <si>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</si>
  <si>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</si>
  <si>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</si>
  <si>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</si>
  <si>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</si>
  <si>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</si>
  <si>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</si>
  <si>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</si>
  <si>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</si>
  <si>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</si>
  <si>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</si>
  <si>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</si>
  <si>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</si>
  <si>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</si>
  <si>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</si>
  <si>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</si>
  <si>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</si>
  <si>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</si>
  <si>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</si>
  <si>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</si>
  <si>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</si>
  <si>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</si>
  <si>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</si>
  <si>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</si>
  <si>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</si>
  <si>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</si>
  <si>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</si>
  <si>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</si>
  <si>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</si>
  <si>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</si>
  <si>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</si>
  <si>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</si>
  <si>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</si>
  <si>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</si>
  <si>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</si>
  <si>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</si>
  <si>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</si>
  <si>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</si>
  <si>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</si>
  <si>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</si>
  <si>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</si>
  <si>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</si>
  <si>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</si>
  <si>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</si>
  <si>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</si>
  <si>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</si>
  <si>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</si>
  <si>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</si>
  <si>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</si>
  <si>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</si>
  <si>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</si>
  <si>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</si>
  <si>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</si>
  <si>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</si>
  <si>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</si>
  <si>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</si>
  <si>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</si>
  <si>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</si>
  <si>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</si>
  <si>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</si>
  <si>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</si>
  <si>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</si>
  <si>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</si>
  <si>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</si>
  <si>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</si>
  <si>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</si>
  <si>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</si>
  <si>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</si>
  <si>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</si>
  <si>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</si>
  <si>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</si>
  <si>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</si>
  <si>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</si>
  <si>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</si>
  <si>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</si>
  <si>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</si>
  <si>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</si>
  <si>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</si>
  <si>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</si>
  <si>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</si>
  <si>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</si>
  <si>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</si>
  <si>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</si>
  <si>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</si>
  <si>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</si>
  <si>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</si>
  <si>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</si>
  <si>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</si>
  <si>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</si>
  <si>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</si>
  <si>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</si>
  <si>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</si>
  <si>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</si>
  <si>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</si>
  <si>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</si>
  <si>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</si>
  <si>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</si>
  <si>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</si>
  <si>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</si>
  <si>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</si>
  <si>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</si>
  <si>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</si>
  <si>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</si>
  <si>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</si>
  <si>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</si>
  <si>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</si>
  <si>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</si>
  <si>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</si>
  <si>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</si>
  <si>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</si>
  <si>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</si>
  <si>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</si>
  <si>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</si>
  <si>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</si>
  <si>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</si>
  <si>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</si>
  <si>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</si>
  <si>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</si>
  <si>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</si>
  <si>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</si>
  <si>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</si>
  <si>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</si>
  <si>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</si>
  <si>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</si>
  <si>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</si>
  <si>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</si>
  <si>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</si>
  <si>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</si>
  <si>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</si>
  <si>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</si>
  <si>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</si>
  <si>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</si>
  <si>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</si>
  <si>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</si>
  <si>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</si>
  <si>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</si>
  <si>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</si>
  <si>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</si>
  <si>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</si>
  <si>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</si>
  <si>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</si>
  <si>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</si>
  <si>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</si>
  <si>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</si>
  <si>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</si>
  <si>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</si>
  <si>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</si>
  <si>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</si>
  <si>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</si>
  <si>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</si>
  <si>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</si>
  <si>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</si>
  <si>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</si>
  <si>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</si>
  <si>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</si>
  <si>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</si>
  <si>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</si>
  <si>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</si>
  <si>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</si>
  <si>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</si>
  <si>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</si>
  <si>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</si>
  <si>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</si>
  <si>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</si>
  <si>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</si>
  <si>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</si>
  <si>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</si>
  <si>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</si>
  <si>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</si>
  <si>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</si>
  <si>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</si>
  <si>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</si>
  <si>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</si>
  <si>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</si>
  <si>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</si>
  <si>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</si>
  <si>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</si>
  <si>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</si>
  <si>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</si>
  <si>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</si>
  <si>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</si>
  <si>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</si>
  <si>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</si>
  <si>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</si>
  <si>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</si>
  <si>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</si>
  <si>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</si>
  <si>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</si>
  <si>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</si>
  <si>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</si>
  <si>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</si>
  <si>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</si>
  <si>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</si>
  <si>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</si>
  <si>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</si>
  <si>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</si>
  <si>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</si>
  <si>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</si>
  <si>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</si>
  <si>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</si>
  <si>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</si>
  <si>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</si>
  <si>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</si>
  <si>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</si>
  <si>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</si>
  <si>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</si>
  <si>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</si>
  <si>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</si>
  <si>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</si>
  <si>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</si>
  <si>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</si>
  <si>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</si>
  <si>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</si>
  <si>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</si>
  <si>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</si>
  <si>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</si>
  <si>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</si>
  <si>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</si>
  <si>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</si>
  <si>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</si>
  <si>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</si>
  <si>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</si>
  <si>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</si>
  <si>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</si>
  <si>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</si>
  <si>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</si>
  <si>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</si>
  <si>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</si>
  <si>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</si>
  <si>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</si>
  <si>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</si>
  <si>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</si>
  <si>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</si>
  <si>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</si>
  <si>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</si>
  <si>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</si>
  <si>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</si>
  <si>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</si>
  <si>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</si>
  <si>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</si>
  <si>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</si>
  <si>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</si>
  <si>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</si>
  <si>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</si>
  <si>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</si>
  <si>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</si>
  <si>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</si>
  <si>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</si>
  <si>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</si>
  <si>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</si>
  <si>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</si>
  <si>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</si>
  <si>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</si>
  <si>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</si>
  <si>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</si>
  <si>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</si>
  <si>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</si>
  <si>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</si>
  <si>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</si>
  <si>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</si>
  <si>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</si>
  <si>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</si>
  <si>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</si>
  <si>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</si>
  <si>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</si>
  <si>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</si>
  <si>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</si>
  <si>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</si>
  <si>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</si>
  <si>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</si>
  <si>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</si>
  <si>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</si>
  <si>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</si>
  <si>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</si>
  <si>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</si>
  <si>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</si>
  <si>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</si>
  <si>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</si>
  <si>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</si>
  <si>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</si>
  <si>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</si>
  <si>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</si>
  <si>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</si>
  <si>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</si>
  <si>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</si>
  <si>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</si>
  <si>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</si>
  <si>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</si>
  <si>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</si>
  <si>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</si>
  <si>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</si>
  <si>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</si>
  <si>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</si>
  <si>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</si>
  <si>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</si>
  <si>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</si>
  <si>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</si>
  <si>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</si>
  <si>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</si>
  <si>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</si>
  <si>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</si>
  <si>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</si>
  <si>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</si>
  <si>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</si>
  <si>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</si>
  <si>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</si>
  <si>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</si>
  <si>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</si>
  <si>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</si>
  <si>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</si>
  <si>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</si>
  <si>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</si>
  <si>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</si>
  <si>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</si>
  <si>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</si>
  <si>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</si>
  <si>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</si>
  <si>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</si>
  <si>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</si>
  <si>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</si>
  <si>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</si>
  <si>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</si>
  <si>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</si>
  <si>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</si>
  <si>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</si>
  <si>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</si>
  <si>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</si>
  <si>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</si>
  <si>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</si>
  <si>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</si>
  <si>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</si>
  <si>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</si>
  <si>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</si>
  <si>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</si>
  <si>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</si>
  <si>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</si>
  <si>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</si>
  <si>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</si>
  <si>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</si>
  <si>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</si>
  <si>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</si>
  <si>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</si>
  <si>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</si>
  <si>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</si>
  <si>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</si>
  <si>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</si>
  <si>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</si>
  <si>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</si>
  <si>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</si>
  <si>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</si>
  <si>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</si>
  <si>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</si>
  <si>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</si>
  <si>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</si>
  <si>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</si>
  <si>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</si>
  <si>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</si>
  <si>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</si>
  <si>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</si>
  <si>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</si>
  <si>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</si>
  <si>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</si>
  <si>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</si>
  <si>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</si>
  <si>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</si>
  <si>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</si>
  <si>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</si>
  <si>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</si>
  <si>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</si>
  <si>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</si>
  <si>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</si>
  <si>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</si>
  <si>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</si>
  <si>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</si>
  <si>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</si>
  <si>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</si>
  <si>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</si>
  <si>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</si>
  <si>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</si>
  <si>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</si>
  <si>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</si>
  <si>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</si>
  <si>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</si>
  <si>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</si>
  <si>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</si>
  <si>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</si>
  <si>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</si>
  <si>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</si>
  <si>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</si>
  <si>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</si>
  <si>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</si>
  <si>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</si>
  <si>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</si>
  <si>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</si>
  <si>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</si>
  <si>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</si>
  <si>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</si>
  <si>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</si>
  <si>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</si>
  <si>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</si>
  <si>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</si>
  <si>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</si>
  <si>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</si>
  <si>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</si>
  <si>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</si>
  <si>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</si>
  <si>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</si>
  <si>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</si>
  <si>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</si>
  <si>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</si>
  <si>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</si>
  <si>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</si>
  <si>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</si>
  <si>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</si>
  <si>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</si>
  <si>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</si>
  <si>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</si>
  <si>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</si>
  <si>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</si>
  <si>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</si>
  <si>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</si>
  <si>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</si>
  <si>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</si>
  <si>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</si>
  <si>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</si>
  <si>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</si>
  <si>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</si>
  <si>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</si>
  <si>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</si>
  <si>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</si>
  <si>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</si>
  <si>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</si>
  <si>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</si>
  <si>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</si>
  <si>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</si>
  <si>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</si>
  <si>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</si>
  <si>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</si>
  <si>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</si>
  <si>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</si>
  <si>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</si>
  <si>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</si>
  <si>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</si>
  <si>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</si>
  <si>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</si>
  <si>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</si>
  <si>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</si>
  <si>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</si>
  <si>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</si>
  <si>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</si>
  <si>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</si>
  <si>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</si>
  <si>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</si>
  <si>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</si>
  <si>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</si>
  <si>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</si>
  <si>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</si>
  <si>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</si>
  <si>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</si>
  <si>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</si>
  <si>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</si>
  <si>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</si>
  <si>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</si>
  <si>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</si>
  <si>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</si>
  <si>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</si>
  <si>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</si>
  <si>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</si>
  <si>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</si>
  <si>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</si>
  <si>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</si>
  <si>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</si>
  <si>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</si>
  <si>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</si>
  <si>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</si>
  <si>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</si>
  <si>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</si>
  <si>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</si>
  <si>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</si>
  <si>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</si>
  <si>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</si>
  <si>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</si>
  <si>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</si>
  <si>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</si>
  <si>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</si>
  <si>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</si>
  <si>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</si>
  <si>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</si>
  <si>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</si>
  <si>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</si>
  <si>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</si>
  <si>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</si>
  <si>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</si>
  <si>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</si>
  <si>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</si>
  <si>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</si>
  <si>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</si>
  <si>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</si>
  <si>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</si>
  <si>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</si>
  <si>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</si>
  <si>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</si>
  <si>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</si>
  <si>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</si>
  <si>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</si>
  <si>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</si>
  <si>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</si>
  <si>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</si>
  <si>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</si>
  <si>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</si>
  <si>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</si>
  <si>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</si>
  <si>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</si>
  <si>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</si>
  <si>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</si>
  <si>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</si>
  <si>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</si>
  <si>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</si>
  <si>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</si>
  <si>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</si>
  <si>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</si>
  <si>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</si>
  <si>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</si>
  <si>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</si>
  <si>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</si>
  <si>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</si>
  <si>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</si>
  <si>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</si>
  <si>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</si>
  <si>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</si>
  <si>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</si>
  <si>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</si>
  <si>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</si>
  <si>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</si>
  <si>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</si>
  <si>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</si>
  <si>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</si>
  <si>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</si>
  <si>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</si>
  <si>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</si>
  <si>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</si>
  <si>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</si>
  <si>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</si>
  <si>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</si>
  <si>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</si>
  <si>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</si>
  <si>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</si>
  <si>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</si>
  <si>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</si>
  <si>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</si>
  <si>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</si>
  <si>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</si>
  <si>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</si>
  <si>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</si>
  <si>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</si>
  <si>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</si>
  <si>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</si>
  <si>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</si>
  <si>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</si>
  <si>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</si>
  <si>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</si>
  <si>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</si>
  <si>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</si>
  <si>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</si>
  <si>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</si>
  <si>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</si>
  <si>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</si>
  <si>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</si>
  <si>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</si>
  <si>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</si>
  <si>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</si>
  <si>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</si>
  <si>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</si>
  <si>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</si>
  <si>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</si>
  <si>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</si>
  <si>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</si>
  <si>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</si>
  <si>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</si>
  <si>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</si>
  <si>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</si>
  <si>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</si>
  <si>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</si>
  <si>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</si>
  <si>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</si>
  <si>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</si>
  <si>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</si>
  <si>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</si>
  <si>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</si>
  <si>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</si>
  <si>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</si>
  <si>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</si>
  <si>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</si>
  <si>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</si>
  <si>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</si>
  <si>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</si>
  <si>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</si>
  <si>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</si>
  <si>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</si>
  <si>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</si>
  <si>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</si>
  <si>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</si>
  <si>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</si>
  <si>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</si>
  <si>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</si>
  <si>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</si>
  <si>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</si>
  <si>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</si>
  <si>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</si>
  <si>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</si>
  <si>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</si>
  <si>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</si>
  <si>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</si>
  <si>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</si>
  <si>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</si>
  <si>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</si>
  <si>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</si>
  <si>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</si>
  <si>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</si>
  <si>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</si>
  <si>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</si>
  <si>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</si>
  <si>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</si>
  <si>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</si>
  <si>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</si>
  <si>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</si>
  <si>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</si>
  <si>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</si>
  <si>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</si>
  <si>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</si>
  <si>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</si>
  <si>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</si>
  <si>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</si>
  <si>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</si>
  <si>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</si>
  <si>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</si>
  <si>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</si>
  <si>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</si>
  <si>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</si>
  <si>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</si>
  <si>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</si>
  <si>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</si>
  <si>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</si>
  <si>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</si>
  <si>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</si>
  <si>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</si>
  <si>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</si>
  <si>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</si>
  <si>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</si>
  <si>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</si>
  <si>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</si>
  <si>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</si>
  <si>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</si>
  <si>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</si>
  <si>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</si>
  <si>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</si>
  <si>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</si>
  <si>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</si>
  <si>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</si>
  <si>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</si>
  <si>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</si>
  <si>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</si>
  <si>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</si>
  <si>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</si>
  <si>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</si>
  <si>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</si>
  <si>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</si>
  <si>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</si>
  <si>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</si>
  <si>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</si>
  <si>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</si>
  <si>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</si>
  <si>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</si>
  <si>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</si>
  <si>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</si>
  <si>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</si>
  <si>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</si>
  <si>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</si>
  <si>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</si>
  <si>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</si>
  <si>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</si>
  <si>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</si>
  <si>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</si>
  <si>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</si>
  <si>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</si>
  <si>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</si>
  <si>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</si>
  <si>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</si>
  <si>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</si>
  <si>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</si>
  <si>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</si>
  <si>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</si>
  <si>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</si>
  <si>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</si>
  <si>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</si>
  <si>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</si>
  <si>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</si>
  <si>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</si>
  <si>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</si>
  <si>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</si>
  <si>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</si>
  <si>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</si>
  <si>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</si>
  <si>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</si>
  <si>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</si>
  <si>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</si>
  <si>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</si>
  <si>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</si>
  <si>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</si>
  <si>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</si>
  <si>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</si>
  <si>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</si>
  <si>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</si>
  <si>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</si>
  <si>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</si>
  <si>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</si>
  <si>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</si>
  <si>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</si>
  <si>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</si>
  <si>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</si>
  <si>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</si>
  <si>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</si>
  <si>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</si>
  <si>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</si>
  <si>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</si>
  <si>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</si>
  <si>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</si>
  <si>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</si>
  <si>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</si>
  <si>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</si>
  <si>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</si>
  <si>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</si>
  <si>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</si>
  <si>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</si>
  <si>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</si>
  <si>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</si>
  <si>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</si>
  <si>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</si>
  <si>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</si>
  <si>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</si>
  <si>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</si>
  <si>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</si>
  <si>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</si>
  <si>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</si>
  <si>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</si>
  <si>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</si>
  <si>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</si>
  <si>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</si>
  <si>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</si>
  <si>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</si>
  <si>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</si>
  <si>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</si>
  <si>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</si>
  <si>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</si>
  <si>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</si>
  <si>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</si>
  <si>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</si>
  <si>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</si>
  <si>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</si>
  <si>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</si>
  <si>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</si>
  <si>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</si>
  <si>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</si>
  <si>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</si>
  <si>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</si>
  <si>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</si>
  <si>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</si>
  <si>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</si>
  <si>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</si>
  <si>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</si>
  <si>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</si>
  <si>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</si>
  <si>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</si>
  <si>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</si>
  <si>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</si>
  <si>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</si>
  <si>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</si>
  <si>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</si>
  <si>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</si>
  <si>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</si>
  <si>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</si>
  <si>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</si>
  <si>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</si>
  <si>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</si>
  <si>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</si>
  <si>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</si>
  <si>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</si>
  <si>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</si>
  <si>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</si>
  <si>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</si>
  <si>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</si>
  <si>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</si>
  <si>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</si>
  <si>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</si>
  <si>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</si>
  <si>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</si>
  <si>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</si>
  <si>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</si>
  <si>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</si>
  <si>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</si>
  <si>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</si>
  <si>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</si>
  <si>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</si>
  <si>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</si>
  <si>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</si>
  <si>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</si>
  <si>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</si>
  <si>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</si>
  <si>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</si>
  <si>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</si>
  <si>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</si>
  <si>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</si>
  <si>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</si>
  <si>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</si>
  <si>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</si>
  <si>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</si>
  <si>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</si>
  <si>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</si>
  <si>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</si>
  <si>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</si>
  <si>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</si>
  <si>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</si>
  <si>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</si>
  <si>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</si>
  <si>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</si>
  <si>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</si>
  <si>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</si>
  <si>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</si>
  <si>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</si>
  <si>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</si>
  <si>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</si>
  <si>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</si>
  <si>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</si>
  <si>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</si>
  <si>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</si>
  <si>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</si>
  <si>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</si>
  <si>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</si>
  <si>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</si>
  <si>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</si>
  <si>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</si>
  <si>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</si>
  <si>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</si>
  <si>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</si>
  <si>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</si>
  <si>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</si>
  <si>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</si>
  <si>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</si>
  <si>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</si>
  <si>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</si>
  <si>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</si>
  <si>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</si>
  <si>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</si>
  <si>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</si>
  <si>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</si>
  <si>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</si>
  <si>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</si>
  <si>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</si>
  <si>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</si>
  <si>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</si>
  <si>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</si>
  <si>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</si>
  <si>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</si>
  <si>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</si>
  <si>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</si>
  <si>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</si>
  <si>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</si>
  <si>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</si>
  <si>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</si>
  <si>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</si>
  <si>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</si>
  <si>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</si>
  <si>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</si>
  <si>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</si>
  <si>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</si>
  <si>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</si>
  <si>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</si>
  <si>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</si>
  <si>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</si>
  <si>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</si>
  <si>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</si>
  <si>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</si>
  <si>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</si>
  <si>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</si>
  <si>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</si>
  <si>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</si>
  <si>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</si>
  <si>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</si>
  <si>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</si>
  <si>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</si>
  <si>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</si>
  <si>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</si>
  <si>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</si>
  <si>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</si>
  <si>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</si>
  <si>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</si>
  <si>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</si>
  <si>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</si>
  <si>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</si>
  <si>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</si>
  <si>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</si>
  <si>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</si>
  <si>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</si>
  <si>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</si>
  <si>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</si>
  <si>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</si>
  <si>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</si>
  <si>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</si>
  <si>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</si>
  <si>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</si>
  <si>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</si>
  <si>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</si>
  <si>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</si>
  <si>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</si>
  <si>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</si>
  <si>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</si>
  <si>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</si>
  <si>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</si>
  <si>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</si>
  <si>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</si>
  <si>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</si>
  <si>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</si>
  <si>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</si>
  <si>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</si>
  <si>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</si>
  <si>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</si>
  <si>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</si>
  <si>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</si>
  <si>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</si>
  <si>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</si>
  <si>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</si>
  <si>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</si>
  <si>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</si>
  <si>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</si>
  <si>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</si>
  <si>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</si>
  <si>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</si>
  <si>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</si>
  <si>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</si>
  <si>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</si>
  <si>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</si>
  <si>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</si>
  <si>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</si>
  <si>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</si>
  <si>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</si>
  <si>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</si>
  <si>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</si>
  <si>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</si>
  <si>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</si>
  <si>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</si>
  <si>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</si>
  <si>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</si>
  <si>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</si>
  <si>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</si>
  <si>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</si>
  <si>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</si>
  <si>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</si>
  <si>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</si>
  <si>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</si>
  <si>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</si>
  <si>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</si>
  <si>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</si>
  <si>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</si>
  <si>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</si>
  <si>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</si>
  <si>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</si>
  <si>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</si>
  <si>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</si>
  <si>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</si>
  <si>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</si>
  <si>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</si>
  <si>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</si>
  <si>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</si>
  <si>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</si>
  <si>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</si>
  <si>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</si>
  <si>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</si>
  <si>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</si>
  <si>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</si>
  <si>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</si>
  <si>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</si>
  <si>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</si>
  <si>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</si>
  <si>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</si>
  <si>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</si>
  <si>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</si>
  <si>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</si>
  <si>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</si>
  <si>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</si>
  <si>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</si>
  <si>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</si>
  <si>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</si>
  <si>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</si>
  <si>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</si>
  <si>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</si>
  <si>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</si>
  <si>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</si>
  <si>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</si>
  <si>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</si>
  <si>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</si>
  <si>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</si>
  <si>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</si>
  <si>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</si>
  <si>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</si>
  <si>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</si>
  <si>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</si>
  <si>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</si>
  <si>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</si>
  <si>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</si>
  <si>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</si>
  <si>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</si>
  <si>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</si>
  <si>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</si>
  <si>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</si>
  <si>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</si>
  <si>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</si>
  <si>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</si>
  <si>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</si>
  <si>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</si>
  <si>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</si>
  <si>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</si>
  <si>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</si>
  <si>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</si>
  <si>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</si>
  <si>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</si>
  <si>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</si>
  <si>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</si>
  <si>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</si>
  <si>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</si>
  <si>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</si>
  <si>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</si>
  <si>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</si>
  <si>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</si>
  <si>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</si>
  <si>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</si>
  <si>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</si>
  <si>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</si>
  <si>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</si>
  <si>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</si>
  <si>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</si>
  <si>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</si>
  <si>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</si>
  <si>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</si>
  <si>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</si>
  <si>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</si>
  <si>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</si>
  <si>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</si>
  <si>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</si>
  <si>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</si>
  <si>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</si>
  <si>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</si>
  <si>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</si>
  <si>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</si>
  <si>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</si>
  <si>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</si>
  <si>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</si>
  <si>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</si>
  <si>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</si>
  <si>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</si>
  <si>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</si>
  <si>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</si>
  <si>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</si>
  <si>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</si>
  <si>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</si>
  <si>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</si>
  <si>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</si>
  <si>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</si>
  <si>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</si>
  <si>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</si>
  <si>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</si>
  <si>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</si>
  <si>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</si>
  <si>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</si>
  <si>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</si>
  <si>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</si>
  <si>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</si>
  <si>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</si>
  <si>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</si>
  <si>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</si>
  <si>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</si>
  <si>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</si>
  <si>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</si>
  <si>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</si>
  <si>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</si>
  <si>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</si>
  <si>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</si>
  <si>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</si>
  <si>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</si>
  <si>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</si>
  <si>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</si>
  <si>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</si>
  <si>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</si>
  <si>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</si>
  <si>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</si>
  <si>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</si>
  <si>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</si>
  <si>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</si>
  <si>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</si>
  <si>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</si>
  <si>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</si>
  <si>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</si>
  <si>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</si>
  <si>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</si>
  <si>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</si>
  <si>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</si>
  <si>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</si>
  <si>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</si>
  <si>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</si>
  <si>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</si>
  <si>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</si>
  <si>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</si>
  <si>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</si>
  <si>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</si>
  <si>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</si>
  <si>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</si>
  <si>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</si>
  <si>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</si>
  <si>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</si>
  <si>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</si>
  <si>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</si>
  <si>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</si>
  <si>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</si>
  <si>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</si>
  <si>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</si>
  <si>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</si>
  <si>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</si>
  <si>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</si>
  <si>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</si>
  <si>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</si>
  <si>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</si>
  <si>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</si>
  <si>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</si>
  <si>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</si>
  <si>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</si>
  <si>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</si>
  <si>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</si>
  <si>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</si>
  <si>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</si>
  <si>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</si>
  <si>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</si>
  <si>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</si>
  <si>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</si>
  <si>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</si>
  <si>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</si>
  <si>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</si>
  <si>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</si>
  <si>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</si>
  <si>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</si>
  <si>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</si>
  <si>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</si>
  <si>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</si>
  <si>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</si>
  <si>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</si>
  <si>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</si>
  <si>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</si>
  <si>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</si>
  <si>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</si>
  <si>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</si>
  <si>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</si>
  <si>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</si>
  <si>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</si>
  <si>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</si>
  <si>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</si>
  <si>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</si>
  <si>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</si>
  <si>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</si>
  <si>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</si>
  <si>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</si>
  <si>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</si>
  <si>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</si>
  <si>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</si>
  <si>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</si>
  <si>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</si>
  <si>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</si>
  <si>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</si>
  <si>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</si>
  <si>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</si>
  <si>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</si>
  <si>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</si>
  <si>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</si>
  <si>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</si>
  <si>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</si>
  <si>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</si>
  <si>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</si>
  <si>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</si>
  <si>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</si>
  <si>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</si>
  <si>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</si>
  <si>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</si>
  <si>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</si>
  <si>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</si>
  <si>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</si>
  <si>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</si>
  <si>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</si>
  <si>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</si>
  <si>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</si>
  <si>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</si>
  <si>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</si>
  <si>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</si>
  <si>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</si>
  <si>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</si>
  <si>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</si>
  <si>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</si>
  <si>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</si>
  <si>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</si>
  <si>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</si>
  <si>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</si>
  <si>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</si>
  <si>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</si>
  <si>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</si>
  <si>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</si>
  <si>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</si>
  <si>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</si>
  <si>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</si>
  <si>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</si>
  <si>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</si>
  <si>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</si>
  <si>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</si>
  <si>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</si>
  <si>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</si>
  <si>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</si>
  <si>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</si>
  <si>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</si>
  <si>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</si>
  <si>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</si>
  <si>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</si>
  <si>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</si>
  <si>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</si>
  <si>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</si>
  <si>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</si>
  <si>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</si>
  <si>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</si>
  <si>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</si>
  <si>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</si>
  <si>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</si>
  <si>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</si>
  <si>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</si>
  <si>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</si>
  <si>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</si>
  <si>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</si>
  <si>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</si>
  <si>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</si>
  <si>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</si>
  <si>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</si>
  <si>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</si>
  <si>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</si>
  <si>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</si>
  <si>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</si>
  <si>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</si>
  <si>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</si>
  <si>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</si>
  <si>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</si>
  <si>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</si>
  <si>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</si>
  <si>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</si>
  <si>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</si>
  <si>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</si>
  <si>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</si>
  <si>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</si>
  <si>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</si>
  <si>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</si>
  <si>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</si>
  <si>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</si>
  <si>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</si>
  <si>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</si>
  <si>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</si>
  <si>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</si>
  <si>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</si>
  <si>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</si>
  <si>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</si>
  <si>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</si>
  <si>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</si>
  <si>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</si>
  <si>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</si>
  <si>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</si>
  <si>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</si>
  <si>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</si>
  <si>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</si>
  <si>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</si>
  <si>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</si>
  <si>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</si>
  <si>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</si>
  <si>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</si>
  <si>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</si>
  <si>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</si>
  <si>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</si>
  <si>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</si>
  <si>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</si>
  <si>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</si>
  <si>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</si>
  <si>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</si>
  <si>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</si>
  <si>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</si>
  <si>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</si>
  <si>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</si>
  <si>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</si>
  <si>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</si>
  <si>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</si>
  <si>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</si>
  <si>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</si>
  <si>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</si>
  <si>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</si>
  <si>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</si>
  <si>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</si>
  <si>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</si>
  <si>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</si>
  <si>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</si>
  <si>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</si>
  <si>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</si>
  <si>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</si>
  <si>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</si>
  <si>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</si>
  <si>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</si>
  <si>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</si>
  <si>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</si>
  <si>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</si>
  <si>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</si>
  <si>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</si>
  <si>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</si>
  <si>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</si>
  <si>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</si>
  <si>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</si>
  <si>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</si>
  <si>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</si>
  <si>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</si>
  <si>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</si>
  <si>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</si>
  <si>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</si>
  <si>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</si>
  <si>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</si>
  <si>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</si>
  <si>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</si>
  <si>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</si>
  <si>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</si>
  <si>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</si>
  <si>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</si>
  <si>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</si>
  <si>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</si>
  <si>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</si>
  <si>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</si>
  <si>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</si>
  <si>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</si>
  <si>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</si>
  <si>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</si>
  <si>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</si>
  <si>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</si>
  <si>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</si>
  <si>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</si>
  <si>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</si>
  <si>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</si>
  <si>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</si>
  <si>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</si>
  <si>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</si>
  <si>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</si>
  <si>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</si>
  <si>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</si>
  <si>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</si>
  <si>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</si>
  <si>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</si>
  <si>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</si>
  <si>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</si>
  <si>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</si>
  <si>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</si>
  <si>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</si>
  <si>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</si>
  <si>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</si>
  <si>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</si>
  <si>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</si>
  <si>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</si>
  <si>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</si>
  <si>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</si>
  <si>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</si>
  <si>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</si>
  <si>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</si>
  <si>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</si>
  <si>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</si>
  <si>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</si>
  <si>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</si>
  <si>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</si>
  <si>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</si>
  <si>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</si>
  <si>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</si>
  <si>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</si>
  <si>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</si>
  <si>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</si>
  <si>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</si>
  <si>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</si>
  <si>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</si>
  <si>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</si>
  <si>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</si>
  <si>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</si>
  <si>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</si>
  <si>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</si>
  <si>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</si>
  <si>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</si>
  <si>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</si>
  <si>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</si>
  <si>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</si>
  <si>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</si>
  <si>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</si>
  <si>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</si>
  <si>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</si>
  <si>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</si>
  <si>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</si>
  <si>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</si>
  <si>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</si>
  <si>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</si>
  <si>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</si>
  <si>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</si>
  <si>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</si>
  <si>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</si>
  <si>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</si>
  <si>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</si>
  <si>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</si>
  <si>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</si>
  <si>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</si>
  <si>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</si>
  <si>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</si>
  <si>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</si>
  <si>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</si>
  <si>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</si>
  <si>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</si>
  <si>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</si>
  <si>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</si>
  <si>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</si>
  <si>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</si>
  <si>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</si>
  <si>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08/04</t>
  </si>
  <si>
    <t>08/24</t>
  </si>
  <si>
    <t>8/2028</t>
  </si>
  <si>
    <t>7/2020</t>
  </si>
  <si>
    <t>Hollis Brookline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</si>
</sst>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5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260</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2294900.19+300+300</f>
        <v>2295500.19</v>
      </c>
      <c r="G9" s="18">
        <f>74+6767.96+5552.3</f>
        <v>12394.26</v>
      </c>
      <c r="H9" s="18">
        <v>0</v>
      </c>
      <c r="I9" s="18">
        <v>95305.04</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f>13795.05+3023.76+3935.5+1000</f>
        <v>21754.309999999998</v>
      </c>
      <c r="G13" s="18">
        <f>4097.57+1583.6</f>
        <v>5681.17</v>
      </c>
      <c r="H13" s="18">
        <f>108911.19-1000</f>
        <v>107911.19</v>
      </c>
      <c r="I13" s="18"/>
      <c r="J13" s="67">
        <f>SUM(I443)</f>
        <v>474262.85</v>
      </c>
      <c r="K13" s="24" t="s">
        <v>288</v>
      </c>
      <c r="L13" s="24" t="s">
        <v>288</v>
      </c>
      <c r="M13" s="8"/>
      <c r="N13" s="266"/>
    </row>
    <row r="14" spans="1:14" s="3" customFormat="1" ht="12.2" customHeight="1" x14ac:dyDescent="0.15">
      <c r="A14" s="1" t="s">
        <v>565</v>
      </c>
      <c r="B14" s="2" t="s">
        <v>289</v>
      </c>
      <c r="C14" s="6">
        <v>6</v>
      </c>
      <c r="D14" s="2" t="s">
        <v>428</v>
      </c>
      <c r="E14" s="6">
        <v>150</v>
      </c>
      <c r="F14" s="18">
        <v>547.04</v>
      </c>
      <c r="G14" s="18"/>
      <c r="H14" s="18">
        <f>26.94+105000</f>
        <v>105026.94</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23063.5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f>58855.71-9071.07</f>
        <v>49784.639999999999</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2367586.1800000002</v>
      </c>
      <c r="G19" s="41">
        <f>SUM(G9:G18)</f>
        <v>41138.93</v>
      </c>
      <c r="H19" s="41">
        <f>SUM(H9:H18)</f>
        <v>212938.13</v>
      </c>
      <c r="I19" s="41">
        <f>SUM(I9:I18)</f>
        <v>95305.04</v>
      </c>
      <c r="J19" s="41">
        <f>SUM(J9:J18)</f>
        <v>474262.85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202839.31</v>
      </c>
      <c r="G22" s="18">
        <v>-196140.66</v>
      </c>
      <c r="H22" s="18">
        <f>-116133.71-158483.57</f>
        <v>-274617.28000000003</v>
      </c>
      <c r="I22" s="18">
        <v>-46311.28</v>
      </c>
      <c r="J22" s="67">
        <f>SUM(I449)</f>
        <v>153988.22</v>
      </c>
      <c r="K22" s="24" t="s">
        <v>288</v>
      </c>
      <c r="L22" s="24" t="s">
        <v>288</v>
      </c>
      <c r="M22" s="8"/>
      <c r="N22" s="266"/>
    </row>
    <row r="23" spans="1:14" s="3" customFormat="1" ht="12.2" customHeight="1" x14ac:dyDescent="0.15">
      <c r="A23" s="1" t="s">
        <v>607</v>
      </c>
      <c r="B23" s="2" t="s">
        <v>289</v>
      </c>
      <c r="C23" s="6">
        <v>13</v>
      </c>
      <c r="D23" s="2" t="s">
        <v>429</v>
      </c>
      <c r="E23" s="6">
        <v>410</v>
      </c>
      <c r="F23" s="18">
        <f>81743.05-46670.82</f>
        <v>35072.230000000003</v>
      </c>
      <c r="G23" s="18">
        <v>668.93</v>
      </c>
      <c r="H23" s="18">
        <f>3000+160241.69</f>
        <v>163241.69</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113300.16-7711.53</f>
        <v>105588.63</v>
      </c>
      <c r="G24" s="18">
        <v>431.51</v>
      </c>
      <c r="H24" s="18">
        <f>60803.21+3556.76</f>
        <v>64359.97</v>
      </c>
      <c r="I24" s="18">
        <f>2146.75+37242.5</f>
        <v>39389.25</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(36126.97+2713.51+3120.41)</f>
        <v>41960.89</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47575.82</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385461.06000000006</v>
      </c>
      <c r="G32" s="41">
        <f>SUM(G22:G31)</f>
        <v>-147464.4</v>
      </c>
      <c r="H32" s="41">
        <f>SUM(H22:H31)</f>
        <v>-47015.620000000024</v>
      </c>
      <c r="I32" s="41">
        <f>SUM(I22:I31)</f>
        <v>-6922.0299999999988</v>
      </c>
      <c r="J32" s="41">
        <f>SUM(J22:J31)</f>
        <v>153988.22</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23063.5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f>24343.25+25441.39</f>
        <v>49784.639999999999</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f>1590048.22-1487821.15</f>
        <v>102227.07000000007</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f>33462.99+86558.67+45518.17</f>
        <v>165539.83000000002</v>
      </c>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f>269000+23000+100000</f>
        <v>392000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f>55697.96+170554.98</f>
        <v>226252.94</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189000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202296.42+57657.34-0.01</f>
        <v>259953.75</v>
      </c>
      <c r="I48" s="18"/>
      <c r="J48" s="13">
        <f>SUM(I460)</f>
        <v>320274.63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411270.43+1002817.11-189000-100000</f>
        <v>1125087.54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1982125.12</v>
      </c>
      <c r="G51" s="41">
        <f>SUM(G35:G50)</f>
        <v>188603.33000000002</v>
      </c>
      <c r="H51" s="41">
        <f>SUM(H35:H50)</f>
        <v>259953.75</v>
      </c>
      <c r="I51" s="41">
        <f>SUM(I35:I50)</f>
        <v>102227.07000000007</v>
      </c>
      <c r="J51" s="41">
        <f>SUM(J35:J50)</f>
        <v>320274.63</v>
      </c>
      <c r="K51" s="45" t="s">
        <v>288</v>
      </c>
      <c r="L51" s="45" t="s">
        <v>288</v>
      </c>
      <c r="N51" s="264"/>
    </row>
    <row r="52" spans="1:14" s="3" customFormat="1" ht="12.2" customHeight="1" thickTop="1" x14ac:dyDescent="0.15">
      <c r="A52" s="38" t="s">
        <v>455</v>
      </c>
      <c r="B52" s="39" t="s">
        <v>289</v>
      </c>
      <c r="C52" s="6">
        <v>37</v>
      </c>
      <c r="D52" s="39" t="s">
        <v>653</v>
      </c>
      <c r="E52" s="39"/>
      <c r="F52" s="41">
        <f>F51+F32</f>
        <v>2367586.1800000002</v>
      </c>
      <c r="G52" s="41">
        <f>G51+G32</f>
        <v>41138.930000000022</v>
      </c>
      <c r="H52" s="41">
        <f>H51+H32</f>
        <v>212938.12999999998</v>
      </c>
      <c r="I52" s="41">
        <f>I51+I32</f>
        <v>95305.040000000066</v>
      </c>
      <c r="J52" s="41">
        <f>J51+J32</f>
        <v>474262.85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8323922+10588426-682809-1395864+497</f>
        <v>16834172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16834172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18070.7+6870.24</f>
        <v>24940.940000000002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24940.940000000002</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10844.1</v>
      </c>
      <c r="G96" s="18">
        <v>89.39</v>
      </c>
      <c r="H96" s="18"/>
      <c r="I96" s="18">
        <v>4178.18</v>
      </c>
      <c r="J96" s="18">
        <v>5038.43</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-12091.73+90105.85+173747.57+19917.22+39234.35+6512.41+6637.04</f>
        <v>324062.70999999996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9482.79+30907.6</f>
        <v>40390.39</v>
      </c>
      <c r="G98" s="24" t="s">
        <v>288</v>
      </c>
      <c r="H98" s="18">
        <f>334751.17-1296.78</f>
        <v>333454.38999999996</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650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7485.97</v>
      </c>
      <c r="G102" s="18"/>
      <c r="H102" s="18">
        <v>1296.78</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8375.76+15000+24131.49</f>
        <v>47507.25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106877.70999999999</v>
      </c>
      <c r="G111" s="41">
        <f>SUM(G96:G110)</f>
        <v>324152.09999999998</v>
      </c>
      <c r="H111" s="41">
        <f>SUM(H96:H110)</f>
        <v>334751.17</v>
      </c>
      <c r="I111" s="41">
        <f>SUM(I96:I110)</f>
        <v>4178.18</v>
      </c>
      <c r="J111" s="41">
        <f>SUM(J96:J110)</f>
        <v>5038.43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16965990.650000002</v>
      </c>
      <c r="G112" s="41">
        <f>G60+G111</f>
        <v>324152.09999999998</v>
      </c>
      <c r="H112" s="41">
        <f>H60+H79+H94+H111</f>
        <v>334751.17</v>
      </c>
      <c r="I112" s="41">
        <f>I60+I111</f>
        <v>4178.18</v>
      </c>
      <c r="J112" s="41">
        <f>J60+J111</f>
        <v>5038.43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3313868.3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682809+1395864</f>
        <v>2078673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5392541.2999999998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191361.94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587201.59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5252.8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4245.92+8.88</f>
        <v>4254.8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783816.33000000007</v>
      </c>
      <c r="G136" s="41">
        <f>SUM(G123:G135)</f>
        <v>4254.8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6176357.6299999999</v>
      </c>
      <c r="G140" s="41">
        <f>G121+SUM(G136:G137)</f>
        <v>4254.8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v>14327.26</v>
      </c>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14327.26</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36328.87</f>
        <v>36328.870000000003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19216.98+19884.32+1574.72</f>
        <v>40676.020000000004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257707.32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22849.45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22849.45</v>
      </c>
      <c r="G163" s="41">
        <f>SUM(G150:G162)</f>
        <v>40676.020000000004</v>
      </c>
      <c r="H163" s="41">
        <f>SUM(H150:H162)</f>
        <v>294036.19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22849.45</v>
      </c>
      <c r="G170" s="41">
        <f>G147+G163+SUM(G164:G169)</f>
        <v>55003.280000000006</v>
      </c>
      <c r="H170" s="41">
        <f>H147+H163+SUM(H164:H169)</f>
        <v>294036.19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f>64036.19+75000+25000</f>
        <v>164036.19</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164036.19</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164036.19</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23165197.73</v>
      </c>
      <c r="G194" s="47">
        <f>G112+G140+G170+G193</f>
        <v>383410.18</v>
      </c>
      <c r="H194" s="47">
        <f>H112+H140+H170+H193</f>
        <v>628787.36</v>
      </c>
      <c r="I194" s="47">
        <f>I112+I140+I170+I193</f>
        <v>4178.18</v>
      </c>
      <c r="J194" s="47">
        <f>J112+J140+J193</f>
        <v>169074.62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1880552.28+936.82+19378.45</f>
        <v>1900867.55</v>
      </c>
      <c r="G216" s="18">
        <v>932697.53</v>
      </c>
      <c r="H216" s="18">
        <v>4660.8599999999997</v>
      </c>
      <c r="I216" s="18">
        <f>50468.03+559.3</f>
        <v>51027.33</v>
      </c>
      <c r="J216" s="18">
        <v>8475.34</v>
      </c>
      <c r="K216" s="18">
        <v>1829.5</v>
      </c>
      <c r="L216" s="19">
        <f>SUM(F216:K216)</f>
        <v>2899558.11</v>
      </c>
      <c r="M216" s="8"/>
      <c r="N216" s="266"/>
    </row>
    <row r="217" spans="1:14" s="3" customFormat="1" ht="12.2" customHeight="1" x14ac:dyDescent="0.15">
      <c r="A217" s="1" t="s">
        <v>439</v>
      </c>
      <c r="B217" s="2" t="s">
        <v>346</v>
      </c>
      <c r="C217" s="2" t="s">
        <v>291</v>
      </c>
      <c r="D217" s="2" t="s">
        <v>431</v>
      </c>
      <c r="E217" s="6">
        <v>1200</v>
      </c>
      <c r="F217" s="18">
        <f>597303.42+29212.75+3085.43+1904.23+20656.41+5620.73</f>
        <v>657782.97000000009</v>
      </c>
      <c r="G217" s="18">
        <v>322753.59000000003</v>
      </c>
      <c r="H217" s="18">
        <f>349192.78+3452.93</f>
        <v>352645.71</v>
      </c>
      <c r="I217" s="18">
        <f>12756.5+405.3</f>
        <v>13161.8</v>
      </c>
      <c r="J217" s="18">
        <v>2613.4299999999998</v>
      </c>
      <c r="K217" s="18">
        <v>855</v>
      </c>
      <c r="L217" s="19">
        <f>SUM(F217:K217)</f>
        <v>1349812.5</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f>58130+23450</f>
        <v>81580</v>
      </c>
      <c r="G219" s="18">
        <v>40028.82</v>
      </c>
      <c r="H219" s="18">
        <f>5656+4599.16</f>
        <v>10255.16</v>
      </c>
      <c r="I219" s="18">
        <v>4723</v>
      </c>
      <c r="J219" s="18">
        <v>444</v>
      </c>
      <c r="K219" s="18">
        <v>500</v>
      </c>
      <c r="L219" s="19">
        <f>SUM(F219:K219)</f>
        <v>137530.98000000001</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286146.88+11192.2+9864.56+10576.66</f>
        <v>317780.3</v>
      </c>
      <c r="G221" s="18">
        <v>155924.96</v>
      </c>
      <c r="H221" s="18">
        <f>407365+17455.71+632.86</f>
        <v>425453.57</v>
      </c>
      <c r="I221" s="18">
        <v>2876.72</v>
      </c>
      <c r="J221" s="18">
        <v>0</v>
      </c>
      <c r="K221" s="18">
        <v>0</v>
      </c>
      <c r="L221" s="19">
        <f t="shared" ref="L221:L227" si="2">SUM(F221:K221)</f>
        <v>902035.55</v>
      </c>
      <c r="M221" s="8"/>
      <c r="N221" s="266"/>
    </row>
    <row r="222" spans="1:14" s="3" customFormat="1" ht="12.2" customHeight="1" x14ac:dyDescent="0.15">
      <c r="A222" s="1" t="s">
        <v>443</v>
      </c>
      <c r="B222" s="2" t="s">
        <v>346</v>
      </c>
      <c r="C222" s="2" t="s">
        <v>295</v>
      </c>
      <c r="D222" s="2" t="s">
        <v>431</v>
      </c>
      <c r="E222" s="6">
        <v>2200</v>
      </c>
      <c r="F222" s="18">
        <f>104315.64+15750+665-112.93</f>
        <v>120617.71</v>
      </c>
      <c r="G222" s="18">
        <v>59183.09</v>
      </c>
      <c r="H222" s="18">
        <f>1452.17+56</f>
        <v>1508.17</v>
      </c>
      <c r="I222" s="18">
        <f>9299.6+409.32</f>
        <v>9708.92</v>
      </c>
      <c r="J222" s="18">
        <v>24768.2</v>
      </c>
      <c r="K222" s="18">
        <v>0</v>
      </c>
      <c r="L222" s="19">
        <f t="shared" si="2"/>
        <v>215786.09000000003</v>
      </c>
      <c r="M222" s="8"/>
      <c r="N222" s="266"/>
    </row>
    <row r="223" spans="1:14" s="3" customFormat="1" ht="12.2" customHeight="1" x14ac:dyDescent="0.15">
      <c r="A223" s="1" t="s">
        <v>444</v>
      </c>
      <c r="B223" s="2" t="s">
        <v>346</v>
      </c>
      <c r="C223" s="2" t="s">
        <v>296</v>
      </c>
      <c r="D223" s="2" t="s">
        <v>431</v>
      </c>
      <c r="E223" s="6">
        <v>2300</v>
      </c>
      <c r="F223" s="18">
        <f>1155+350</f>
        <v>1505</v>
      </c>
      <c r="G223" s="18">
        <v>738.46</v>
      </c>
      <c r="H223" s="18">
        <f>689.86+7603.85+862.75+4200+21316.95+307427.4</f>
        <v>342100.81000000006</v>
      </c>
      <c r="I223" s="18">
        <f>350.35</f>
        <v>350.35</v>
      </c>
      <c r="J223" s="18">
        <v>0</v>
      </c>
      <c r="K223" s="18">
        <f>1736.74</f>
        <v>1736.74</v>
      </c>
      <c r="L223" s="19">
        <f t="shared" si="2"/>
        <v>346431.36000000004</v>
      </c>
      <c r="M223" s="8"/>
      <c r="N223" s="266"/>
    </row>
    <row r="224" spans="1:14" s="3" customFormat="1" ht="12.2" customHeight="1" x14ac:dyDescent="0.15">
      <c r="A224" s="1" t="s">
        <v>445</v>
      </c>
      <c r="B224" s="2" t="s">
        <v>346</v>
      </c>
      <c r="C224" s="2" t="s">
        <v>297</v>
      </c>
      <c r="D224" s="2" t="s">
        <v>431</v>
      </c>
      <c r="E224" s="6">
        <v>2400</v>
      </c>
      <c r="F224" s="18">
        <v>262931.83</v>
      </c>
      <c r="G224" s="18">
        <v>129012.23</v>
      </c>
      <c r="H224" s="18">
        <f>218.76+39161.26+3360+35+12001.5</f>
        <v>54776.520000000004</v>
      </c>
      <c r="I224" s="18">
        <f>238+38299.64+46.1+2984.56+2022.4</f>
        <v>43590.7</v>
      </c>
      <c r="J224" s="18">
        <v>0</v>
      </c>
      <c r="K224" s="18">
        <f>46.67+15.75</f>
        <v>62.42</v>
      </c>
      <c r="L224" s="19">
        <f t="shared" si="2"/>
        <v>490373.7</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710.31</v>
      </c>
      <c r="L225" s="19">
        <f t="shared" si="2"/>
        <v>710.31</v>
      </c>
      <c r="M225" s="8"/>
      <c r="N225" s="266"/>
    </row>
    <row r="226" spans="1:14" s="3" customFormat="1" ht="12.2" customHeight="1" x14ac:dyDescent="0.15">
      <c r="A226" s="1" t="s">
        <v>447</v>
      </c>
      <c r="B226" s="2" t="s">
        <v>346</v>
      </c>
      <c r="C226" s="2" t="s">
        <v>299</v>
      </c>
      <c r="D226" s="2" t="s">
        <v>431</v>
      </c>
      <c r="E226" s="6">
        <v>2600</v>
      </c>
      <c r="F226" s="18">
        <v>179472.75</v>
      </c>
      <c r="G226" s="18">
        <v>88061.440000000002</v>
      </c>
      <c r="H226" s="18">
        <f>650+670+116842+20044.92+268.99</f>
        <v>138475.90999999997</v>
      </c>
      <c r="I226" s="18">
        <f>121871.79+267.41+4558.31</f>
        <v>126697.51</v>
      </c>
      <c r="J226" s="18">
        <v>1038.06</v>
      </c>
      <c r="K226" s="18">
        <f>18513.8+2085.3</f>
        <v>20599.099999999999</v>
      </c>
      <c r="L226" s="19">
        <f t="shared" si="2"/>
        <v>554344.77</v>
      </c>
      <c r="M226" s="8"/>
      <c r="N226" s="266"/>
    </row>
    <row r="227" spans="1:14" s="3" customFormat="1" ht="12.2" customHeight="1" x14ac:dyDescent="0.15">
      <c r="A227" s="1" t="s">
        <v>448</v>
      </c>
      <c r="B227" s="2" t="s">
        <v>346</v>
      </c>
      <c r="C227" s="2" t="s">
        <v>300</v>
      </c>
      <c r="D227" s="2" t="s">
        <v>431</v>
      </c>
      <c r="E227" s="6">
        <v>2700</v>
      </c>
      <c r="F227" s="18">
        <v>0</v>
      </c>
      <c r="G227" s="18">
        <v>0</v>
      </c>
      <c r="H227" s="18">
        <f>325439.82+23489.5</f>
        <v>348929.32</v>
      </c>
      <c r="I227" s="18">
        <f>17386.69+118.74+367.83</f>
        <v>17873.260000000002</v>
      </c>
      <c r="J227" s="18">
        <v>0</v>
      </c>
      <c r="K227" s="18">
        <v>0</v>
      </c>
      <c r="L227" s="19">
        <f t="shared" si="2"/>
        <v>366802.58</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3522538.11</v>
      </c>
      <c r="G230" s="41">
        <f>SUM(G216:G229)</f>
        <v>1728400.12</v>
      </c>
      <c r="H230" s="41">
        <f>SUM(H216:H229)</f>
        <v>1678806.0300000003</v>
      </c>
      <c r="I230" s="41">
        <f>SUM(I216:I229)</f>
        <v>270009.59000000003</v>
      </c>
      <c r="J230" s="41">
        <f>SUM(J216:J229)</f>
        <v>37339.03</v>
      </c>
      <c r="K230" s="41">
        <f t="shared" si="3"/>
        <v>26293.07</v>
      </c>
      <c r="L230" s="41">
        <f t="shared" si="3"/>
        <v>7263385.9499999993</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3554812.1+1739.81+35988.55</f>
        <v>3592540.46</v>
      </c>
      <c r="G234" s="18">
        <v>1670431.73</v>
      </c>
      <c r="H234" s="18">
        <v>4354.53</v>
      </c>
      <c r="I234" s="18">
        <f>125609.21+1038.7</f>
        <v>126647.91</v>
      </c>
      <c r="J234" s="18">
        <v>13014.8</v>
      </c>
      <c r="K234" s="18">
        <f>4205+5000</f>
        <v>9205</v>
      </c>
      <c r="L234" s="19">
        <f>SUM(F234:K234)</f>
        <v>5416194.4299999997</v>
      </c>
      <c r="M234" s="8"/>
      <c r="N234" s="266"/>
    </row>
    <row r="235" spans="1:14" s="3" customFormat="1" ht="12.2" customHeight="1" x14ac:dyDescent="0.15">
      <c r="A235" s="1" t="s">
        <v>439</v>
      </c>
      <c r="B235" s="2" t="s">
        <v>350</v>
      </c>
      <c r="C235" s="2" t="s">
        <v>291</v>
      </c>
      <c r="D235" s="2" t="s">
        <v>431</v>
      </c>
      <c r="E235" s="6">
        <v>1200</v>
      </c>
      <c r="F235" s="18">
        <f>1107774.93+54252.25+5730.09+3536.43+38361.91+10438.49</f>
        <v>1220094.0999999999</v>
      </c>
      <c r="G235" s="18">
        <v>567309.96</v>
      </c>
      <c r="H235" s="18">
        <f>1089176.65+6412.58</f>
        <v>1095589.23</v>
      </c>
      <c r="I235" s="18">
        <f>7500+38499.55+752.7</f>
        <v>46752.25</v>
      </c>
      <c r="J235" s="18">
        <v>1404.88</v>
      </c>
      <c r="K235" s="18">
        <v>3879</v>
      </c>
      <c r="L235" s="19">
        <f>SUM(F235:K235)</f>
        <v>2935029.42</v>
      </c>
      <c r="M235" s="8"/>
      <c r="N235" s="266"/>
    </row>
    <row r="236" spans="1:14" s="3" customFormat="1" ht="12.2" customHeight="1" x14ac:dyDescent="0.15">
      <c r="A236" s="1" t="s">
        <v>440</v>
      </c>
      <c r="B236" s="2" t="s">
        <v>350</v>
      </c>
      <c r="C236" s="2" t="s">
        <v>292</v>
      </c>
      <c r="D236" s="2" t="s">
        <v>431</v>
      </c>
      <c r="E236" s="6">
        <v>1300</v>
      </c>
      <c r="F236" s="18">
        <v>0</v>
      </c>
      <c r="G236" s="18">
        <v>0</v>
      </c>
      <c r="H236" s="18">
        <f>8933.4+22956.54</f>
        <v>31889.940000000002</v>
      </c>
      <c r="I236" s="18">
        <v>0</v>
      </c>
      <c r="J236" s="18">
        <v>0</v>
      </c>
      <c r="K236" s="18">
        <v>0</v>
      </c>
      <c r="L236" s="19">
        <f>SUM(F236:K236)</f>
        <v>31889.940000000002</v>
      </c>
      <c r="M236" s="8"/>
      <c r="N236" s="266"/>
    </row>
    <row r="237" spans="1:14" s="3" customFormat="1" ht="12.2" customHeight="1" x14ac:dyDescent="0.15">
      <c r="A237" s="1" t="s">
        <v>441</v>
      </c>
      <c r="B237" s="2" t="s">
        <v>350</v>
      </c>
      <c r="C237" s="2" t="s">
        <v>293</v>
      </c>
      <c r="D237" s="2" t="s">
        <v>431</v>
      </c>
      <c r="E237" s="6">
        <v>1400</v>
      </c>
      <c r="F237" s="18">
        <f>348001.41+43550</f>
        <v>391551.41</v>
      </c>
      <c r="G237" s="18">
        <v>182060.38</v>
      </c>
      <c r="H237" s="18">
        <f>44909.81+8541.29-1775.3</f>
        <v>51675.799999999996</v>
      </c>
      <c r="I237" s="18">
        <v>16276.8</v>
      </c>
      <c r="J237" s="18">
        <f>21161.31+9338.28</f>
        <v>30499.590000000004</v>
      </c>
      <c r="K237" s="18">
        <v>8701</v>
      </c>
      <c r="L237" s="19">
        <f>SUM(F237:K237)</f>
        <v>680764.9800000001</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756963.51+20785.51+18319.9+19642.38</f>
        <v>815711.3</v>
      </c>
      <c r="G239" s="18">
        <v>379283.05</v>
      </c>
      <c r="H239" s="18">
        <f>75364.45+32417.74+1175.31</f>
        <v>108957.5</v>
      </c>
      <c r="I239" s="18">
        <v>8450.4</v>
      </c>
      <c r="J239" s="18">
        <v>295.04000000000002</v>
      </c>
      <c r="K239" s="18">
        <v>1068</v>
      </c>
      <c r="L239" s="19">
        <f t="shared" ref="L239:L245" si="4">SUM(F239:K239)</f>
        <v>1313765.29</v>
      </c>
      <c r="M239" s="8"/>
      <c r="N239" s="266"/>
    </row>
    <row r="240" spans="1:14" s="3" customFormat="1" ht="12.2" customHeight="1" x14ac:dyDescent="0.15">
      <c r="A240" s="1" t="s">
        <v>443</v>
      </c>
      <c r="B240" s="2" t="s">
        <v>350</v>
      </c>
      <c r="C240" s="2" t="s">
        <v>295</v>
      </c>
      <c r="D240" s="2" t="s">
        <v>431</v>
      </c>
      <c r="E240" s="6">
        <v>2200</v>
      </c>
      <c r="F240" s="18">
        <f>166170.58+29250+1235-209.72</f>
        <v>196445.86</v>
      </c>
      <c r="G240" s="18">
        <v>91341.49</v>
      </c>
      <c r="H240" s="18">
        <f>3176.07+104</f>
        <v>3280.07</v>
      </c>
      <c r="I240" s="18">
        <f>26071.51+760.16</f>
        <v>26831.67</v>
      </c>
      <c r="J240" s="18">
        <f>7087.45+54501.82</f>
        <v>61589.27</v>
      </c>
      <c r="K240" s="18">
        <v>5</v>
      </c>
      <c r="L240" s="19">
        <f t="shared" si="4"/>
        <v>379493.36</v>
      </c>
      <c r="M240" s="8"/>
      <c r="N240" s="266"/>
    </row>
    <row r="241" spans="1:14" s="3" customFormat="1" ht="12.2" customHeight="1" x14ac:dyDescent="0.15">
      <c r="A241" s="1" t="s">
        <v>444</v>
      </c>
      <c r="B241" s="2" t="s">
        <v>350</v>
      </c>
      <c r="C241" s="2" t="s">
        <v>296</v>
      </c>
      <c r="D241" s="2" t="s">
        <v>431</v>
      </c>
      <c r="E241" s="6">
        <v>2300</v>
      </c>
      <c r="F241" s="18">
        <f>2145+650</f>
        <v>2795</v>
      </c>
      <c r="G241" s="18">
        <v>1299.5999999999999</v>
      </c>
      <c r="H241" s="18">
        <f>23257.95+1281.18+14121.44+1602.25+7800+39588.62+570936.6</f>
        <v>658588.04</v>
      </c>
      <c r="I241" s="18">
        <v>650.65</v>
      </c>
      <c r="J241" s="18">
        <v>0</v>
      </c>
      <c r="K241" s="18">
        <v>3225.38</v>
      </c>
      <c r="L241" s="19">
        <f t="shared" si="4"/>
        <v>666558.67000000004</v>
      </c>
      <c r="M241" s="8"/>
      <c r="N241" s="266"/>
    </row>
    <row r="242" spans="1:14" s="3" customFormat="1" ht="12.2" customHeight="1" x14ac:dyDescent="0.15">
      <c r="A242" s="1" t="s">
        <v>445</v>
      </c>
      <c r="B242" s="2" t="s">
        <v>350</v>
      </c>
      <c r="C242" s="2" t="s">
        <v>297</v>
      </c>
      <c r="D242" s="2" t="s">
        <v>431</v>
      </c>
      <c r="E242" s="6">
        <v>2400</v>
      </c>
      <c r="F242" s="18">
        <v>434944.62</v>
      </c>
      <c r="G242" s="18">
        <v>202236.93</v>
      </c>
      <c r="H242" s="18">
        <f>404.55+54893.98+6240+65+22288.5</f>
        <v>83892.03</v>
      </c>
      <c r="I242" s="18">
        <f>1236.44+71127.9+85.61+5542.76+3755.89</f>
        <v>81748.599999999991</v>
      </c>
      <c r="J242" s="18">
        <v>0</v>
      </c>
      <c r="K242" s="18">
        <f>16874.25+29.25</f>
        <v>16903.5</v>
      </c>
      <c r="L242" s="19">
        <f t="shared" si="4"/>
        <v>819725.68</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1319.14</v>
      </c>
      <c r="L243" s="19">
        <f t="shared" si="4"/>
        <v>1319.14</v>
      </c>
      <c r="M243" s="8"/>
      <c r="N243" s="266"/>
    </row>
    <row r="244" spans="1:14" s="3" customFormat="1" ht="12.2" customHeight="1" x14ac:dyDescent="0.15">
      <c r="A244" s="1" t="s">
        <v>447</v>
      </c>
      <c r="B244" s="2" t="s">
        <v>350</v>
      </c>
      <c r="C244" s="2" t="s">
        <v>299</v>
      </c>
      <c r="D244" s="2" t="s">
        <v>431</v>
      </c>
      <c r="E244" s="6">
        <v>2600</v>
      </c>
      <c r="F244" s="18">
        <v>296277.09999999998</v>
      </c>
      <c r="G244" s="18">
        <v>137760.60999999999</v>
      </c>
      <c r="H244" s="18">
        <f>100+1200+177793.93+37226.29+499.55</f>
        <v>216819.77</v>
      </c>
      <c r="I244" s="18">
        <f>216519.72+496.61+8465.43</f>
        <v>225481.75999999998</v>
      </c>
      <c r="J244" s="18">
        <v>1070.02</v>
      </c>
      <c r="K244" s="18">
        <f>13422.73+3872.7</f>
        <v>17295.43</v>
      </c>
      <c r="L244" s="19">
        <f t="shared" si="4"/>
        <v>894704.69000000006</v>
      </c>
      <c r="M244" s="8"/>
      <c r="N244" s="266"/>
    </row>
    <row r="245" spans="1:14" s="3" customFormat="1" ht="12.2" customHeight="1" x14ac:dyDescent="0.15">
      <c r="A245" s="1" t="s">
        <v>448</v>
      </c>
      <c r="B245" s="2" t="s">
        <v>350</v>
      </c>
      <c r="C245" s="2" t="s">
        <v>300</v>
      </c>
      <c r="D245" s="2" t="s">
        <v>431</v>
      </c>
      <c r="E245" s="6">
        <v>2700</v>
      </c>
      <c r="F245" s="18">
        <v>40689.07</v>
      </c>
      <c r="G245" s="18">
        <v>18919.259999999998</v>
      </c>
      <c r="H245" s="18">
        <f>468983.41+21.5+43623.35+1775.3</f>
        <v>514403.55999999994</v>
      </c>
      <c r="I245" s="18">
        <f>17386.72+220.52+683.1+947.28+2961.87</f>
        <v>22199.489999999998</v>
      </c>
      <c r="J245" s="18">
        <v>0</v>
      </c>
      <c r="K245" s="18">
        <v>0</v>
      </c>
      <c r="L245" s="19">
        <f t="shared" si="4"/>
        <v>596211.37999999989</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6991048.9199999999</v>
      </c>
      <c r="G248" s="41">
        <f t="shared" si="5"/>
        <v>3250643.01</v>
      </c>
      <c r="H248" s="41">
        <f t="shared" si="5"/>
        <v>2769450.47</v>
      </c>
      <c r="I248" s="41">
        <f t="shared" si="5"/>
        <v>555039.52999999991</v>
      </c>
      <c r="J248" s="41">
        <f t="shared" si="5"/>
        <v>107873.60000000001</v>
      </c>
      <c r="K248" s="41">
        <f t="shared" si="5"/>
        <v>61601.450000000004</v>
      </c>
      <c r="L248" s="41">
        <f t="shared" si="5"/>
        <v>13735656.979999997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f>184719.15</f>
        <v>184719.15</v>
      </c>
      <c r="K256" s="18">
        <v>0</v>
      </c>
      <c r="L256" s="19">
        <f t="shared" si="6"/>
        <v>184719.15</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184719.15</v>
      </c>
      <c r="K257" s="41">
        <f t="shared" si="7"/>
        <v>0</v>
      </c>
      <c r="L257" s="41">
        <f>SUM(F257:K257)</f>
        <v>184719.15</v>
      </c>
      <c r="M257" s="8"/>
      <c r="N257" s="266"/>
    </row>
    <row r="258" spans="1:14" s="3" customFormat="1" ht="12.2" customHeight="1" thickTop="1" x14ac:dyDescent="0.15">
      <c r="A258" s="38" t="s">
        <v>462</v>
      </c>
      <c r="B258" s="40">
        <v>10</v>
      </c>
      <c r="C258" s="40">
        <v>8</v>
      </c>
      <c r="D258" s="39" t="s">
        <v>431</v>
      </c>
      <c r="E258" s="40"/>
      <c r="F258" s="41">
        <f t="shared" ref="F258:L258" si="8">F212+F230+F248+F257</f>
        <v>10513587.029999999</v>
      </c>
      <c r="G258" s="41">
        <f t="shared" si="8"/>
        <v>4979043.13</v>
      </c>
      <c r="H258" s="41">
        <f t="shared" si="8"/>
        <v>4448256.5</v>
      </c>
      <c r="I258" s="41">
        <f t="shared" si="8"/>
        <v>825049.11999999988</v>
      </c>
      <c r="J258" s="41">
        <f t="shared" si="8"/>
        <v>329931.78000000003</v>
      </c>
      <c r="K258" s="41">
        <f t="shared" si="8"/>
        <v>87894.52</v>
      </c>
      <c r="L258" s="41">
        <f t="shared" si="8"/>
        <v>21183762.079999994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623405.59+14392.02</f>
        <v>637797.61</v>
      </c>
      <c r="L261" s="19">
        <f>SUM(F261:K261)</f>
        <v>637797.61</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176051.8+235.96</f>
        <v>176287.75999999998</v>
      </c>
      <c r="L262" s="19">
        <f>SUM(F262:K262)</f>
        <v>176287.75999999998</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64036.19+75000+25000</f>
        <v>164036.19</v>
      </c>
      <c r="L267" s="19">
        <f t="shared" si="9"/>
        <v>164036.19</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978121.56</v>
      </c>
      <c r="L271" s="41">
        <f t="shared" si="9"/>
        <v>978121.56</v>
      </c>
      <c r="M271" s="8"/>
      <c r="N271" s="266"/>
    </row>
    <row r="272" spans="1:14" s="34" customFormat="1" ht="12.2" customHeight="1" thickTop="1" x14ac:dyDescent="0.2">
      <c r="A272" s="43" t="s">
        <v>464</v>
      </c>
      <c r="B272" s="40">
        <v>10</v>
      </c>
      <c r="C272" s="40">
        <v>18</v>
      </c>
      <c r="D272" s="39" t="s">
        <v>431</v>
      </c>
      <c r="E272" s="40"/>
      <c r="F272" s="42">
        <f t="shared" ref="F272:L272" si="11">F258+F271</f>
        <v>10513587.029999999</v>
      </c>
      <c r="G272" s="42">
        <f t="shared" si="11"/>
        <v>4979043.13</v>
      </c>
      <c r="H272" s="42">
        <f t="shared" si="11"/>
        <v>4448256.5</v>
      </c>
      <c r="I272" s="42">
        <f t="shared" si="11"/>
        <v>825049.11999999988</v>
      </c>
      <c r="J272" s="42">
        <f t="shared" si="11"/>
        <v>329931.78000000003</v>
      </c>
      <c r="K272" s="42">
        <f t="shared" si="11"/>
        <v>1066016.08</v>
      </c>
      <c r="L272" s="42">
        <f t="shared" si="11"/>
        <v>22161883.639999993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f>1000</f>
        <v>1000</v>
      </c>
      <c r="I296" s="18">
        <f>862.5</f>
        <v>862.5</v>
      </c>
      <c r="J296" s="18">
        <f>4698.38+6993.56</f>
        <v>11691.94</v>
      </c>
      <c r="K296" s="18"/>
      <c r="L296" s="19">
        <f>SUM(F296:K296)</f>
        <v>13554.44</v>
      </c>
      <c r="M296" s="8"/>
      <c r="N296" s="266"/>
    </row>
    <row r="297" spans="1:14" s="3" customFormat="1" ht="12.2" customHeight="1" x14ac:dyDescent="0.15">
      <c r="A297" s="1" t="s">
        <v>439</v>
      </c>
      <c r="B297" s="2" t="s">
        <v>358</v>
      </c>
      <c r="C297" s="2" t="s">
        <v>291</v>
      </c>
      <c r="D297" s="2" t="s">
        <v>431</v>
      </c>
      <c r="E297" s="6">
        <v>1200</v>
      </c>
      <c r="F297" s="18">
        <f>2450+23184.3+81255.48</f>
        <v>106889.78</v>
      </c>
      <c r="G297" s="18"/>
      <c r="H297" s="18">
        <f>1276.74+9701.34</f>
        <v>10978.08</v>
      </c>
      <c r="I297" s="18">
        <f>9485.8</f>
        <v>9485.7999999999993</v>
      </c>
      <c r="J297" s="18"/>
      <c r="K297" s="18"/>
      <c r="L297" s="19">
        <f>SUM(F297:K297)</f>
        <v>127353.66</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f>60291-50000</f>
        <v>10291</v>
      </c>
      <c r="I299" s="18">
        <f>13088.96+6226.46</f>
        <v>19315.419999999998</v>
      </c>
      <c r="J299" s="18"/>
      <c r="K299" s="18"/>
      <c r="L299" s="19">
        <f>SUM(F299:K299)</f>
        <v>29606.42</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f>2185</f>
        <v>2185</v>
      </c>
      <c r="G301" s="18"/>
      <c r="H301" s="18">
        <f>800</f>
        <v>800</v>
      </c>
      <c r="I301" s="18"/>
      <c r="J301" s="18"/>
      <c r="K301" s="18"/>
      <c r="L301" s="19">
        <f t="shared" ref="L301:L307" si="14">SUM(F301:K301)</f>
        <v>2985</v>
      </c>
      <c r="M301" s="8"/>
      <c r="N301" s="266"/>
    </row>
    <row r="302" spans="1:14" s="3" customFormat="1" ht="12.2" customHeight="1" x14ac:dyDescent="0.15">
      <c r="A302" s="1" t="s">
        <v>443</v>
      </c>
      <c r="B302" s="2" t="s">
        <v>358</v>
      </c>
      <c r="C302" s="2" t="s">
        <v>295</v>
      </c>
      <c r="D302" s="2" t="s">
        <v>431</v>
      </c>
      <c r="E302" s="6">
        <v>2200</v>
      </c>
      <c r="F302" s="18">
        <f>500+750</f>
        <v>1250</v>
      </c>
      <c r="G302" s="18"/>
      <c r="H302" s="18">
        <f>375</f>
        <v>375</v>
      </c>
      <c r="I302" s="18"/>
      <c r="J302" s="18"/>
      <c r="K302" s="18"/>
      <c r="L302" s="19">
        <f t="shared" si="14"/>
        <v>1625</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110324.78</v>
      </c>
      <c r="G310" s="42">
        <f t="shared" si="15"/>
        <v>0</v>
      </c>
      <c r="H310" s="42">
        <f t="shared" si="15"/>
        <v>23444.080000000002</v>
      </c>
      <c r="I310" s="42">
        <f t="shared" si="15"/>
        <v>29663.719999999998</v>
      </c>
      <c r="J310" s="42">
        <f t="shared" si="15"/>
        <v>11691.94</v>
      </c>
      <c r="K310" s="42">
        <f t="shared" si="15"/>
        <v>0</v>
      </c>
      <c r="L310" s="41">
        <f t="shared" si="15"/>
        <v>175124.52000000002</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f>1000</f>
        <v>1000</v>
      </c>
      <c r="I315" s="18">
        <f>862.5</f>
        <v>862.5</v>
      </c>
      <c r="J315" s="18">
        <f>4698.38+6993.56</f>
        <v>11691.94</v>
      </c>
      <c r="K315" s="18"/>
      <c r="L315" s="19">
        <f>SUM(F315:K315)</f>
        <v>13554.44</v>
      </c>
      <c r="M315" s="8"/>
      <c r="N315" s="266"/>
    </row>
    <row r="316" spans="1:14" s="3" customFormat="1" ht="12.2" customHeight="1" x14ac:dyDescent="0.15">
      <c r="A316" s="1" t="s">
        <v>439</v>
      </c>
      <c r="B316" s="2" t="s">
        <v>359</v>
      </c>
      <c r="C316" s="2" t="s">
        <v>291</v>
      </c>
      <c r="D316" s="2" t="s">
        <v>431</v>
      </c>
      <c r="E316" s="6">
        <v>1200</v>
      </c>
      <c r="F316" s="18">
        <f>2450+23184.3+81255.48</f>
        <v>106889.78</v>
      </c>
      <c r="G316" s="18"/>
      <c r="H316" s="18">
        <f>1276.74+9701.34</f>
        <v>10978.08</v>
      </c>
      <c r="I316" s="18">
        <f>9485.8</f>
        <v>9485.7999999999993</v>
      </c>
      <c r="J316" s="18"/>
      <c r="K316" s="18"/>
      <c r="L316" s="19">
        <f>SUM(F316:K316)</f>
        <v>127353.66</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3103.48</v>
      </c>
      <c r="G318" s="18"/>
      <c r="H318" s="18">
        <f>14747.91+3101.29</f>
        <v>17849.2</v>
      </c>
      <c r="I318" s="18">
        <f>96476.22+2411.32+19657.82+1026</f>
        <v>119571.36000000002</v>
      </c>
      <c r="J318" s="18">
        <v>88750</v>
      </c>
      <c r="K318" s="18">
        <v>18213.37</v>
      </c>
      <c r="L318" s="19">
        <f>SUM(F318:K318)</f>
        <v>247487.41</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f>2185</f>
        <v>2185</v>
      </c>
      <c r="G320" s="18"/>
      <c r="H320" s="18">
        <f>800</f>
        <v>800</v>
      </c>
      <c r="I320" s="18"/>
      <c r="J320" s="18"/>
      <c r="K320" s="18"/>
      <c r="L320" s="19">
        <f t="shared" ref="L320:L326" si="16">SUM(F320:K320)</f>
        <v>2985</v>
      </c>
      <c r="M320" s="8"/>
      <c r="N320" s="266"/>
    </row>
    <row r="321" spans="1:14" s="3" customFormat="1" ht="12.2" customHeight="1" x14ac:dyDescent="0.15">
      <c r="A321" s="1" t="s">
        <v>443</v>
      </c>
      <c r="B321" s="2" t="s">
        <v>359</v>
      </c>
      <c r="C321" s="2" t="s">
        <v>295</v>
      </c>
      <c r="D321" s="2" t="s">
        <v>431</v>
      </c>
      <c r="E321" s="6">
        <v>2200</v>
      </c>
      <c r="F321" s="18">
        <f>500+750</f>
        <v>1250</v>
      </c>
      <c r="G321" s="18"/>
      <c r="H321" s="18">
        <f>375</f>
        <v>375</v>
      </c>
      <c r="I321" s="18"/>
      <c r="J321" s="18"/>
      <c r="K321" s="18"/>
      <c r="L321" s="19">
        <f t="shared" si="16"/>
        <v>1625</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113428.26</v>
      </c>
      <c r="G329" s="42">
        <f t="shared" si="17"/>
        <v>0</v>
      </c>
      <c r="H329" s="42">
        <f t="shared" si="17"/>
        <v>31002.28</v>
      </c>
      <c r="I329" s="42">
        <f t="shared" si="17"/>
        <v>129919.66000000002</v>
      </c>
      <c r="J329" s="42">
        <f t="shared" si="17"/>
        <v>100441.94</v>
      </c>
      <c r="K329" s="42">
        <f t="shared" si="17"/>
        <v>18213.37</v>
      </c>
      <c r="L329" s="41">
        <f t="shared" si="17"/>
        <v>393005.51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223753.03999999998</v>
      </c>
      <c r="G339" s="41">
        <f t="shared" si="20"/>
        <v>0</v>
      </c>
      <c r="H339" s="41">
        <f t="shared" si="20"/>
        <v>54446.36</v>
      </c>
      <c r="I339" s="41">
        <f t="shared" si="20"/>
        <v>159583.38</v>
      </c>
      <c r="J339" s="41">
        <f t="shared" si="20"/>
        <v>112133.88</v>
      </c>
      <c r="K339" s="41">
        <f t="shared" si="20"/>
        <v>18213.37</v>
      </c>
      <c r="L339" s="41">
        <f t="shared" si="20"/>
        <v>568130.03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3000</v>
      </c>
      <c r="L345" s="19">
        <f t="shared" ref="L345:L351" si="21">SUM(F345:K345)</f>
        <v>3000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3000</v>
      </c>
      <c r="L352" s="41">
        <f>SUM(L342:L351)</f>
        <v>3000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223753.03999999998</v>
      </c>
      <c r="G353" s="41">
        <f>G339</f>
        <v>0</v>
      </c>
      <c r="H353" s="41">
        <f>H339</f>
        <v>54446.36</v>
      </c>
      <c r="I353" s="41">
        <f>I339</f>
        <v>159583.38</v>
      </c>
      <c r="J353" s="41">
        <f>J339</f>
        <v>112133.88</v>
      </c>
      <c r="K353" s="47">
        <f>K339+K352</f>
        <v>21213.37</v>
      </c>
      <c r="L353" s="41">
        <f>L339+L352</f>
        <v>571130.03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v>55770.39</v>
      </c>
      <c r="G360" s="18">
        <v>65.680000000000007</v>
      </c>
      <c r="H360" s="18">
        <v>1772.94</v>
      </c>
      <c r="I360" s="18">
        <v>58436.42</v>
      </c>
      <c r="J360" s="18">
        <v>522.15</v>
      </c>
      <c r="K360" s="18">
        <v>132.30000000000001</v>
      </c>
      <c r="L360" s="19">
        <f>SUM(F360:K360)</f>
        <v>116699.87999999999</v>
      </c>
      <c r="M360" s="8"/>
      <c r="N360" s="266"/>
    </row>
    <row r="361" spans="1:22" s="3" customFormat="1" ht="12.2" customHeight="1" x14ac:dyDescent="0.15">
      <c r="A361" s="3" t="s">
        <v>543</v>
      </c>
      <c r="B361" s="2" t="s">
        <v>366</v>
      </c>
      <c r="C361" s="6">
        <v>3</v>
      </c>
      <c r="D361" s="2" t="s">
        <v>431</v>
      </c>
      <c r="E361" s="6"/>
      <c r="F361" s="18">
        <v>89838.18</v>
      </c>
      <c r="G361" s="18">
        <v>121.97</v>
      </c>
      <c r="H361" s="18">
        <v>2335.5</v>
      </c>
      <c r="I361" s="18">
        <v>128100.82</v>
      </c>
      <c r="J361" s="18">
        <v>549.96</v>
      </c>
      <c r="K361" s="18">
        <v>245.7</v>
      </c>
      <c r="L361" s="19">
        <f>SUM(F361:K361)</f>
        <v>221192.13</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145608.57</v>
      </c>
      <c r="G363" s="47">
        <f t="shared" si="22"/>
        <v>187.65</v>
      </c>
      <c r="H363" s="47">
        <f t="shared" si="22"/>
        <v>4108.4400000000005</v>
      </c>
      <c r="I363" s="47">
        <f t="shared" si="22"/>
        <v>186537.24</v>
      </c>
      <c r="J363" s="47">
        <f t="shared" si="22"/>
        <v>1072.1100000000001</v>
      </c>
      <c r="K363" s="47">
        <f t="shared" si="22"/>
        <v>378</v>
      </c>
      <c r="L363" s="47">
        <f t="shared" si="22"/>
        <v>337892.01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f>28182.39+16909.54</f>
        <v>45091.93</v>
      </c>
      <c r="H368" s="18">
        <f>61671.91+43986.23</f>
        <v>105658.14000000001</v>
      </c>
      <c r="I368" s="56">
        <f>SUM(F368:H368)</f>
        <v>150750.07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f>58436.42-45091.93</f>
        <v>13344.489999999998</v>
      </c>
      <c r="H369" s="63">
        <f>128100.82-105658.14</f>
        <v>22442.680000000008</v>
      </c>
      <c r="I369" s="56">
        <f>SUM(F369:H369)</f>
        <v>35787.170000000006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58436.42</v>
      </c>
      <c r="H370" s="47">
        <f>SUM(H368:H369)</f>
        <v>128100.82000000002</v>
      </c>
      <c r="I370" s="47">
        <f>SUM(I368:I369)</f>
        <v>186537.24000000002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f>193-15479.75</f>
        <v>-15286.75</v>
      </c>
      <c r="I376" s="18"/>
      <c r="J376" s="18"/>
      <c r="K376" s="18"/>
      <c r="L376" s="13">
        <f t="shared" ref="L376:L382" si="23">SUM(F376:K376)</f>
        <v>-15286.75</v>
      </c>
      <c r="M376" s="8"/>
      <c r="N376" s="266"/>
    </row>
    <row r="377" spans="1:14" s="3" customFormat="1" ht="12.2" customHeight="1" x14ac:dyDescent="0.15">
      <c r="A377" s="1" t="s">
        <v>546</v>
      </c>
      <c r="B377" s="2" t="s">
        <v>366</v>
      </c>
      <c r="C377" s="2" t="s">
        <v>300</v>
      </c>
      <c r="D377" s="2" t="s">
        <v>431</v>
      </c>
      <c r="E377" s="6">
        <v>4300</v>
      </c>
      <c r="F377" s="18"/>
      <c r="G377" s="18"/>
      <c r="H377" s="18"/>
      <c r="I377" s="18"/>
      <c r="J377" s="18">
        <v>-6327.93</v>
      </c>
      <c r="K377" s="18"/>
      <c r="L377" s="13">
        <f t="shared" si="23"/>
        <v>-6327.93</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f>7116.01+1469255.5+37242.5</f>
        <v>1513614.01</v>
      </c>
      <c r="I380" s="18"/>
      <c r="J380" s="18"/>
      <c r="K380" s="18"/>
      <c r="L380" s="13">
        <f t="shared" si="23"/>
        <v>1513614.01</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1498327.26</v>
      </c>
      <c r="I383" s="41">
        <f t="shared" si="24"/>
        <v>0</v>
      </c>
      <c r="J383" s="47">
        <f t="shared" si="24"/>
        <v>-6327.93</v>
      </c>
      <c r="K383" s="47">
        <f t="shared" si="24"/>
        <v>0</v>
      </c>
      <c r="L383" s="47">
        <f t="shared" si="24"/>
        <v>1491999.33</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75000</v>
      </c>
      <c r="H397" s="18">
        <v>1835.79</v>
      </c>
      <c r="I397" s="18"/>
      <c r="J397" s="24" t="s">
        <v>288</v>
      </c>
      <c r="K397" s="24" t="s">
        <v>288</v>
      </c>
      <c r="L397" s="56">
        <f t="shared" si="26"/>
        <v>76835.789999999994</v>
      </c>
      <c r="M397" s="8"/>
      <c r="N397" s="266"/>
    </row>
    <row r="398" spans="1:14" s="3" customFormat="1" ht="12.2" customHeight="1" x14ac:dyDescent="0.15">
      <c r="A398" s="79" t="s">
        <v>515</v>
      </c>
      <c r="B398" s="2" t="s">
        <v>381</v>
      </c>
      <c r="C398" s="6">
        <v>10</v>
      </c>
      <c r="D398" s="2" t="s">
        <v>432</v>
      </c>
      <c r="E398" s="6"/>
      <c r="F398" s="18"/>
      <c r="G398" s="18">
        <v>25000</v>
      </c>
      <c r="H398" s="18">
        <v>2386.11</v>
      </c>
      <c r="I398" s="18"/>
      <c r="J398" s="24" t="s">
        <v>288</v>
      </c>
      <c r="K398" s="24" t="s">
        <v>288</v>
      </c>
      <c r="L398" s="56">
        <f t="shared" si="26"/>
        <v>27386.11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64036.19</v>
      </c>
      <c r="H401" s="18">
        <v>816.53</v>
      </c>
      <c r="I401" s="18"/>
      <c r="J401" s="24" t="s">
        <v>288</v>
      </c>
      <c r="K401" s="24" t="s">
        <v>288</v>
      </c>
      <c r="L401" s="56">
        <f t="shared" si="26"/>
        <v>64852.72</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164036.19</v>
      </c>
      <c r="H402" s="47">
        <f>SUM(H396:H401)</f>
        <v>5038.4299999999994</v>
      </c>
      <c r="I402" s="47">
        <f>SUM(I396:I401)</f>
        <v>0</v>
      </c>
      <c r="J402" s="45" t="s">
        <v>288</v>
      </c>
      <c r="K402" s="45" t="s">
        <v>288</v>
      </c>
      <c r="L402" s="47">
        <f>SUM(L396:L401)</f>
        <v>169074.62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164036.19</v>
      </c>
      <c r="H409" s="47">
        <f>H394+H402+H408</f>
        <v>5038.4299999999994</v>
      </c>
      <c r="I409" s="47">
        <f>I394+I402+I408</f>
        <v>0</v>
      </c>
      <c r="J409" s="24" t="s">
        <v>288</v>
      </c>
      <c r="K409" s="24" t="s">
        <v>288</v>
      </c>
      <c r="L409" s="47">
        <f>L394+L402+L408</f>
        <v>169074.62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f>2689+3760.93</f>
        <v>6449.93</v>
      </c>
      <c r="I423" s="18">
        <f>7448+3142.44+622.5+1446.79+1854.94+2001.79+4248+14300.29</f>
        <v>35064.75</v>
      </c>
      <c r="J423" s="18">
        <f>90440+1000+6750+2793.29</f>
        <v>100983.29</v>
      </c>
      <c r="K423" s="18">
        <f>645+7834</f>
        <v>8479</v>
      </c>
      <c r="L423" s="56">
        <f t="shared" si="29"/>
        <v>150976.97</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6449.93</v>
      </c>
      <c r="I428" s="47">
        <f t="shared" si="30"/>
        <v>35064.75</v>
      </c>
      <c r="J428" s="47">
        <f t="shared" si="30"/>
        <v>100983.29</v>
      </c>
      <c r="K428" s="47">
        <f t="shared" si="30"/>
        <v>8479</v>
      </c>
      <c r="L428" s="47">
        <f t="shared" si="30"/>
        <v>150976.97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6449.93</v>
      </c>
      <c r="I435" s="47">
        <f t="shared" si="32"/>
        <v>35064.75</v>
      </c>
      <c r="J435" s="47">
        <f t="shared" si="32"/>
        <v>100983.29</v>
      </c>
      <c r="K435" s="47">
        <f t="shared" si="32"/>
        <v>8479</v>
      </c>
      <c r="L435" s="47">
        <f t="shared" si="32"/>
        <v>150976.97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f>104149.91+370112.94</f>
        <v>474262.85</v>
      </c>
      <c r="H443" s="18"/>
      <c r="I443" s="56">
        <f t="shared" si="33"/>
        <v>474262.85</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474262.85</v>
      </c>
      <c r="H447" s="13">
        <f>SUM(H440:H446)</f>
        <v>0</v>
      </c>
      <c r="I447" s="13">
        <f>SUM(I440:I446)</f>
        <v>474262.85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f>90440+63548.22</f>
        <v>153988.22</v>
      </c>
      <c r="H449" s="18"/>
      <c r="I449" s="56">
        <f>SUM(F449:H449)</f>
        <v>153988.22</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153988.22</v>
      </c>
      <c r="H453" s="72">
        <f>SUM(H449:H452)</f>
        <v>0</v>
      </c>
      <c r="I453" s="72">
        <f>SUM(I449:I452)</f>
        <v>153988.22</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320274.63</v>
      </c>
      <c r="H460" s="18"/>
      <c r="I460" s="56">
        <f t="shared" si="34"/>
        <v>320274.63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320274.63</v>
      </c>
      <c r="H461" s="83">
        <f>SUM(H455:H460)</f>
        <v>0</v>
      </c>
      <c r="I461" s="83">
        <f>SUM(I455:I460)</f>
        <v>320274.63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474262.85</v>
      </c>
      <c r="H462" s="42">
        <f>H453+H461</f>
        <v>0</v>
      </c>
      <c r="I462" s="42">
        <f>I453+I461</f>
        <v>474262.85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978811.01+0.02</f>
        <v>978811.03</v>
      </c>
      <c r="G466" s="18">
        <v>143085.16</v>
      </c>
      <c r="H466" s="18">
        <v>202296.42</v>
      </c>
      <c r="I466" s="18">
        <v>1590048.22</v>
      </c>
      <c r="J466" s="18">
        <v>302176.98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23164700.73+497</f>
        <v>23165197.73</v>
      </c>
      <c r="G469" s="18">
        <v>383410.18</v>
      </c>
      <c r="H469" s="18">
        <v>628787.36</v>
      </c>
      <c r="I469" s="18">
        <v>4178.18</v>
      </c>
      <c r="J469" s="18">
        <v>169074.62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23165197.73</v>
      </c>
      <c r="G471" s="53">
        <f>SUM(G469:G470)</f>
        <v>383410.18</v>
      </c>
      <c r="H471" s="53">
        <f>SUM(H469:H470)</f>
        <v>628787.36</v>
      </c>
      <c r="I471" s="53">
        <f>SUM(I469:I470)</f>
        <v>4178.18</v>
      </c>
      <c r="J471" s="53">
        <f>SUM(J469:J470)</f>
        <v>169074.62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22161883.640000001</v>
      </c>
      <c r="G473" s="18">
        <v>337892.01</v>
      </c>
      <c r="H473" s="18">
        <v>571130.03</v>
      </c>
      <c r="I473" s="18">
        <v>1491999.33</v>
      </c>
      <c r="J473" s="18">
        <v>150976.97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22161883.640000001</v>
      </c>
      <c r="G475" s="53">
        <f>SUM(G473:G474)</f>
        <v>337892.01</v>
      </c>
      <c r="H475" s="53">
        <f>SUM(H473:H474)</f>
        <v>571130.03</v>
      </c>
      <c r="I475" s="53">
        <f>SUM(I473:I474)</f>
        <v>1491999.33</v>
      </c>
      <c r="J475" s="53">
        <f>SUM(J473:J474)</f>
        <v>150976.97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1982125.120000001</v>
      </c>
      <c r="G477" s="53">
        <f>(G466+G471)- G475</f>
        <v>188603.32999999996</v>
      </c>
      <c r="H477" s="53">
        <f>(H466+H471)- H475</f>
        <v>259953.75</v>
      </c>
      <c r="I477" s="53">
        <f>(I466+I471)- I475</f>
        <v>102227.06999999983</v>
      </c>
      <c r="J477" s="53">
        <f>(J466+J471)- J475</f>
        <v>320274.63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10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1645</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t="s">
        <v>1644</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7703400</v>
      </c>
      <c r="G494" s="18">
        <v>1660000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4.54</v>
      </c>
      <c r="G495" s="18">
        <v>3.8</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3150000</v>
      </c>
      <c r="G496" s="18">
        <v>1660000</v>
      </c>
      <c r="H496" s="18"/>
      <c r="I496" s="18"/>
      <c r="J496" s="18"/>
      <c r="K496" s="53">
        <f>SUM(F496:J496)</f>
        <v>4810000</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465000</v>
      </c>
      <c r="G498" s="18">
        <v>158405.57999999999</v>
      </c>
      <c r="H498" s="18"/>
      <c r="I498" s="18"/>
      <c r="J498" s="18"/>
      <c r="K498" s="53">
        <f t="shared" si="35"/>
        <v>623405.57999999996</v>
      </c>
      <c r="L498" s="24" t="s">
        <v>288</v>
      </c>
      <c r="N498" s="265"/>
    </row>
    <row r="499" spans="1:14" s="52" customFormat="1" ht="12.2" customHeight="1" x14ac:dyDescent="0.2">
      <c r="A499" s="200" t="s">
        <v>622</v>
      </c>
      <c r="B499" s="201">
        <v>20</v>
      </c>
      <c r="C499" s="202">
        <v>9</v>
      </c>
      <c r="D499" s="203" t="s">
        <v>432</v>
      </c>
      <c r="E499" s="202"/>
      <c r="F499" s="204">
        <v>2685000</v>
      </c>
      <c r="G499" s="204">
        <f>1660000-158405.58</f>
        <v>1501594.42</v>
      </c>
      <c r="H499" s="204"/>
      <c r="I499" s="204"/>
      <c r="J499" s="204"/>
      <c r="K499" s="205">
        <f t="shared" si="35"/>
        <v>4186594.42</v>
      </c>
      <c r="L499" s="206" t="s">
        <v>288</v>
      </c>
      <c r="N499" s="265"/>
    </row>
    <row r="500" spans="1:14" s="52" customFormat="1" ht="12.2" customHeight="1" thickBot="1" x14ac:dyDescent="0.25">
      <c r="A500" s="22" t="s">
        <v>623</v>
      </c>
      <c r="B500" s="75">
        <v>20</v>
      </c>
      <c r="C500" s="115">
        <v>10</v>
      </c>
      <c r="D500" s="2" t="s">
        <v>432</v>
      </c>
      <c r="E500" s="115"/>
      <c r="F500" s="18">
        <v>295089.75</v>
      </c>
      <c r="G500" s="18">
        <v>304112.81</v>
      </c>
      <c r="H500" s="18"/>
      <c r="I500" s="18"/>
      <c r="J500" s="18"/>
      <c r="K500" s="53">
        <f t="shared" si="35"/>
        <v>599202.56000000006</v>
      </c>
      <c r="L500" s="24" t="s">
        <v>288</v>
      </c>
      <c r="N500" s="265"/>
    </row>
    <row r="501" spans="1:14" s="52" customFormat="1" ht="12.2" customHeight="1" thickTop="1" x14ac:dyDescent="0.2">
      <c r="A501" s="139" t="s">
        <v>624</v>
      </c>
      <c r="B501" s="44">
        <v>20</v>
      </c>
      <c r="C501" s="195">
        <v>11</v>
      </c>
      <c r="D501" s="39" t="s">
        <v>432</v>
      </c>
      <c r="E501" s="195"/>
      <c r="F501" s="42">
        <f>SUM(F499:F500)</f>
        <v>2980089.75</v>
      </c>
      <c r="G501" s="42">
        <f>SUM(G499:G500)</f>
        <v>1805707.23</v>
      </c>
      <c r="H501" s="42">
        <f>SUM(H499:H500)</f>
        <v>0</v>
      </c>
      <c r="I501" s="42">
        <f>SUM(I499:I500)</f>
        <v>0</v>
      </c>
      <c r="J501" s="42">
        <f>SUM(J499:J500)</f>
        <v>0</v>
      </c>
      <c r="K501" s="42">
        <f t="shared" si="35"/>
        <v>4785796.9800000004</v>
      </c>
      <c r="L501" s="45" t="s">
        <v>288</v>
      </c>
      <c r="N501" s="265"/>
    </row>
    <row r="502" spans="1:14" s="52" customFormat="1" ht="12.2" customHeight="1" x14ac:dyDescent="0.2">
      <c r="A502" s="200" t="s">
        <v>651</v>
      </c>
      <c r="B502" s="201">
        <v>20</v>
      </c>
      <c r="C502" s="202">
        <v>12</v>
      </c>
      <c r="D502" s="203" t="s">
        <v>432</v>
      </c>
      <c r="E502" s="202"/>
      <c r="F502" s="204">
        <v>485000</v>
      </c>
      <c r="G502" s="204">
        <v>142622.54</v>
      </c>
      <c r="H502" s="204"/>
      <c r="I502" s="204"/>
      <c r="J502" s="204"/>
      <c r="K502" s="205">
        <f t="shared" si="35"/>
        <v>627622.54</v>
      </c>
      <c r="L502" s="206" t="s">
        <v>288</v>
      </c>
      <c r="N502" s="265"/>
    </row>
    <row r="503" spans="1:14" s="52" customFormat="1" ht="12.2" customHeight="1" thickBot="1" x14ac:dyDescent="0.25">
      <c r="A503" s="22" t="s">
        <v>625</v>
      </c>
      <c r="B503" s="75">
        <v>20</v>
      </c>
      <c r="C503" s="115">
        <v>13</v>
      </c>
      <c r="D503" s="2" t="s">
        <v>432</v>
      </c>
      <c r="E503" s="115"/>
      <c r="F503" s="18">
        <f>54965.75+55000</f>
        <v>109965.75</v>
      </c>
      <c r="G503" s="18">
        <v>58011.6</v>
      </c>
      <c r="H503" s="18"/>
      <c r="I503" s="18"/>
      <c r="J503" s="18"/>
      <c r="K503" s="53">
        <f t="shared" si="35"/>
        <v>167977.35</v>
      </c>
      <c r="L503" s="24" t="s">
        <v>288</v>
      </c>
      <c r="N503" s="265"/>
    </row>
    <row r="504" spans="1:14" s="52" customFormat="1" ht="12.2" customHeight="1" thickTop="1" x14ac:dyDescent="0.2">
      <c r="A504" s="139" t="s">
        <v>626</v>
      </c>
      <c r="B504" s="44">
        <v>20</v>
      </c>
      <c r="C504" s="195">
        <v>14</v>
      </c>
      <c r="D504" s="39" t="s">
        <v>432</v>
      </c>
      <c r="E504" s="195"/>
      <c r="F504" s="42">
        <f>SUM(F502:F503)</f>
        <v>594965.75</v>
      </c>
      <c r="G504" s="42">
        <f>SUM(G502:G503)</f>
        <v>200634.14</v>
      </c>
      <c r="H504" s="42">
        <f>SUM(H502:H503)</f>
        <v>0</v>
      </c>
      <c r="I504" s="42">
        <f>SUM(I502:I503)</f>
        <v>0</v>
      </c>
      <c r="J504" s="42">
        <f>SUM(J502:J503)</f>
        <v>0</v>
      </c>
      <c r="K504" s="42">
        <f t="shared" si="35"/>
        <v>795599.89</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v>599891.68000000005</v>
      </c>
      <c r="G523" s="18">
        <f>F523*0.47</f>
        <v>281949.08960000001</v>
      </c>
      <c r="H523" s="18">
        <f>832545.2-2154.31-3452.93-71901.64</f>
        <v>755036.31999999983</v>
      </c>
      <c r="I523" s="18">
        <f>15003-118.74-367.83</f>
        <v>14516.43</v>
      </c>
      <c r="J523" s="18">
        <v>2613.4299999999998</v>
      </c>
      <c r="K523" s="18">
        <v>855</v>
      </c>
      <c r="L523" s="88">
        <f>SUM(F523:K523)</f>
        <v>1654861.9495999997</v>
      </c>
      <c r="N523" s="265"/>
    </row>
    <row r="524" spans="1:14" s="52" customFormat="1" ht="12.2" customHeight="1" thickBot="1" x14ac:dyDescent="0.25">
      <c r="A524" s="22" t="s">
        <v>635</v>
      </c>
      <c r="B524" s="105">
        <v>21</v>
      </c>
      <c r="C524" s="115">
        <v>3</v>
      </c>
      <c r="D524" s="2" t="s">
        <v>432</v>
      </c>
      <c r="E524" s="115"/>
      <c r="F524" s="18">
        <v>1008967.51</v>
      </c>
      <c r="G524" s="18">
        <f>F524*0.47</f>
        <v>474214.72969999997</v>
      </c>
      <c r="H524" s="18">
        <f>1327599.1-191789.3-6412.58-156536.63</f>
        <v>972860.59</v>
      </c>
      <c r="I524" s="18">
        <f>39947.07-220.52-683.1</f>
        <v>39043.450000000004</v>
      </c>
      <c r="J524" s="18">
        <v>1404.88</v>
      </c>
      <c r="K524" s="18">
        <v>3879</v>
      </c>
      <c r="L524" s="88">
        <f>SUM(F524:K524)</f>
        <v>2500370.1597000002</v>
      </c>
      <c r="N524" s="265"/>
    </row>
    <row r="525" spans="1:14" s="52" customFormat="1" ht="12.2" customHeight="1" thickTop="1" x14ac:dyDescent="0.2">
      <c r="A525" s="139" t="s">
        <v>63</v>
      </c>
      <c r="B525" s="107">
        <v>21</v>
      </c>
      <c r="C525" s="195">
        <v>4</v>
      </c>
      <c r="D525" s="196" t="s">
        <v>432</v>
      </c>
      <c r="E525" s="195"/>
      <c r="F525" s="108">
        <f>SUM(F522:F524)</f>
        <v>1608859.19</v>
      </c>
      <c r="G525" s="108">
        <f t="shared" ref="G525:L525" si="36">SUM(G522:G524)</f>
        <v>756163.81929999997</v>
      </c>
      <c r="H525" s="108">
        <f t="shared" si="36"/>
        <v>1727896.9099999997</v>
      </c>
      <c r="I525" s="108">
        <f t="shared" si="36"/>
        <v>53559.880000000005</v>
      </c>
      <c r="J525" s="108">
        <f t="shared" si="36"/>
        <v>4018.31</v>
      </c>
      <c r="K525" s="108">
        <f t="shared" si="36"/>
        <v>4734</v>
      </c>
      <c r="L525" s="89">
        <f t="shared" si="36"/>
        <v>4155232.1092999997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v>94601.46</v>
      </c>
      <c r="G528" s="18">
        <f t="shared" ref="G528:G529" si="37">F528*0.47</f>
        <v>44462.686200000004</v>
      </c>
      <c r="H528" s="18">
        <v>2154.31</v>
      </c>
      <c r="I528" s="18"/>
      <c r="J528" s="18"/>
      <c r="K528" s="18"/>
      <c r="L528" s="88">
        <f>SUM(F528:K528)</f>
        <v>141218.45620000002</v>
      </c>
      <c r="M528" s="8"/>
      <c r="N528" s="266"/>
    </row>
    <row r="529" spans="1:14" s="3" customFormat="1" ht="12.2" customHeight="1" thickBot="1" x14ac:dyDescent="0.2">
      <c r="A529" s="22" t="s">
        <v>635</v>
      </c>
      <c r="B529" s="118">
        <v>21</v>
      </c>
      <c r="C529" s="118">
        <v>7</v>
      </c>
      <c r="D529" s="2" t="s">
        <v>432</v>
      </c>
      <c r="E529" s="118"/>
      <c r="F529" s="18">
        <v>299953.16200000001</v>
      </c>
      <c r="G529" s="18">
        <f t="shared" si="37"/>
        <v>140977.98613999999</v>
      </c>
      <c r="H529" s="18">
        <v>191789.3</v>
      </c>
      <c r="I529" s="18"/>
      <c r="J529" s="18"/>
      <c r="K529" s="18"/>
      <c r="L529" s="88">
        <f>SUM(F529:K529)</f>
        <v>632720.44813999999</v>
      </c>
      <c r="M529" s="8"/>
      <c r="N529" s="266"/>
    </row>
    <row r="530" spans="1:14" s="3" customFormat="1" ht="12.2" customHeight="1" thickTop="1" x14ac:dyDescent="0.15">
      <c r="A530" s="139" t="s">
        <v>65</v>
      </c>
      <c r="B530" s="107">
        <v>21</v>
      </c>
      <c r="C530" s="107">
        <v>8</v>
      </c>
      <c r="D530" s="158" t="s">
        <v>432</v>
      </c>
      <c r="E530" s="107"/>
      <c r="F530" s="89">
        <f>SUM(F527:F529)</f>
        <v>394554.62200000003</v>
      </c>
      <c r="G530" s="89">
        <f t="shared" ref="G530:L530" si="38">SUM(G527:G529)</f>
        <v>185440.67233999999</v>
      </c>
      <c r="H530" s="89">
        <f t="shared" si="38"/>
        <v>193943.61</v>
      </c>
      <c r="I530" s="89">
        <f t="shared" si="38"/>
        <v>0</v>
      </c>
      <c r="J530" s="89">
        <f t="shared" si="38"/>
        <v>0</v>
      </c>
      <c r="K530" s="89">
        <f t="shared" si="38"/>
        <v>0</v>
      </c>
      <c r="L530" s="89">
        <f t="shared" si="38"/>
        <v>773938.90434000001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v>30912.400000000001</v>
      </c>
      <c r="G533" s="18">
        <f t="shared" ref="G533:G534" si="39">F533*0.47</f>
        <v>14528.828</v>
      </c>
      <c r="H533" s="18"/>
      <c r="I533" s="18"/>
      <c r="J533" s="18"/>
      <c r="K533" s="18"/>
      <c r="L533" s="88">
        <f>SUM(F533:K533)</f>
        <v>45441.228000000003</v>
      </c>
      <c r="M533" s="8"/>
      <c r="N533" s="266"/>
    </row>
    <row r="534" spans="1:14" s="3" customFormat="1" ht="12.2" customHeight="1" thickBot="1" x14ac:dyDescent="0.2">
      <c r="A534" s="22" t="s">
        <v>635</v>
      </c>
      <c r="B534" s="105">
        <v>21</v>
      </c>
      <c r="C534" s="105">
        <v>11</v>
      </c>
      <c r="D534" s="2" t="s">
        <v>432</v>
      </c>
      <c r="E534" s="105"/>
      <c r="F534" s="18">
        <v>97107</v>
      </c>
      <c r="G534" s="18">
        <f t="shared" si="39"/>
        <v>45640.29</v>
      </c>
      <c r="H534" s="18"/>
      <c r="I534" s="18"/>
      <c r="J534" s="18"/>
      <c r="K534" s="18"/>
      <c r="L534" s="88">
        <f>SUM(F534:K534)</f>
        <v>142747.29</v>
      </c>
      <c r="M534" s="8"/>
      <c r="N534" s="266"/>
    </row>
    <row r="535" spans="1:14" s="3" customFormat="1" ht="12.2" customHeight="1" thickTop="1" x14ac:dyDescent="0.15">
      <c r="A535" s="139" t="s">
        <v>67</v>
      </c>
      <c r="B535" s="107">
        <v>21</v>
      </c>
      <c r="C535" s="107">
        <v>12</v>
      </c>
      <c r="D535" s="158" t="s">
        <v>432</v>
      </c>
      <c r="E535" s="107"/>
      <c r="F535" s="89">
        <f>SUM(F532:F534)</f>
        <v>128019.4</v>
      </c>
      <c r="G535" s="89">
        <f t="shared" ref="G535:L535" si="40">SUM(G532:G534)</f>
        <v>60169.118000000002</v>
      </c>
      <c r="H535" s="89">
        <f t="shared" si="40"/>
        <v>0</v>
      </c>
      <c r="I535" s="89">
        <f t="shared" si="40"/>
        <v>0</v>
      </c>
      <c r="J535" s="89">
        <f t="shared" si="40"/>
        <v>0</v>
      </c>
      <c r="K535" s="89">
        <f t="shared" si="40"/>
        <v>0</v>
      </c>
      <c r="L535" s="89">
        <f t="shared" si="40"/>
        <v>188188.51800000001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v>3452.93</v>
      </c>
      <c r="I538" s="18"/>
      <c r="J538" s="18"/>
      <c r="K538" s="18"/>
      <c r="L538" s="88">
        <f>SUM(F538:K538)</f>
        <v>3452.93</v>
      </c>
      <c r="M538" s="8"/>
      <c r="N538" s="266"/>
    </row>
    <row r="539" spans="1:14" s="3" customFormat="1" ht="12.2" customHeight="1" thickBot="1" x14ac:dyDescent="0.2">
      <c r="A539" s="22" t="s">
        <v>635</v>
      </c>
      <c r="B539" s="105">
        <v>21</v>
      </c>
      <c r="C539" s="105">
        <v>15</v>
      </c>
      <c r="D539" s="2" t="s">
        <v>432</v>
      </c>
      <c r="E539" s="105"/>
      <c r="F539" s="18"/>
      <c r="G539" s="18"/>
      <c r="H539" s="18">
        <v>6412.58</v>
      </c>
      <c r="I539" s="18"/>
      <c r="J539" s="18"/>
      <c r="K539" s="18"/>
      <c r="L539" s="88">
        <f>SUM(F539:K539)</f>
        <v>6412.58</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9865.51</v>
      </c>
      <c r="I540" s="89">
        <f t="shared" si="41"/>
        <v>0</v>
      </c>
      <c r="J540" s="89">
        <f t="shared" si="41"/>
        <v>0</v>
      </c>
      <c r="K540" s="89">
        <f t="shared" si="41"/>
        <v>0</v>
      </c>
      <c r="L540" s="89">
        <f t="shared" si="41"/>
        <v>9865.51</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f>71901.64+486.57</f>
        <v>72388.210000000006</v>
      </c>
      <c r="I543" s="18"/>
      <c r="J543" s="18"/>
      <c r="K543" s="18"/>
      <c r="L543" s="88">
        <f>SUM(F543:K543)</f>
        <v>72388.210000000006</v>
      </c>
      <c r="M543" s="8"/>
      <c r="N543" s="266"/>
    </row>
    <row r="544" spans="1:14" s="3" customFormat="1" ht="12.2" customHeight="1" thickBot="1" x14ac:dyDescent="0.2">
      <c r="A544" s="22" t="s">
        <v>635</v>
      </c>
      <c r="B544" s="105">
        <v>21</v>
      </c>
      <c r="C544" s="105">
        <v>19</v>
      </c>
      <c r="D544" s="2" t="s">
        <v>432</v>
      </c>
      <c r="E544" s="105"/>
      <c r="F544" s="18"/>
      <c r="G544" s="18"/>
      <c r="H544" s="18">
        <f>156536.63+903.62</f>
        <v>157440.25</v>
      </c>
      <c r="I544" s="18"/>
      <c r="J544" s="18"/>
      <c r="K544" s="18"/>
      <c r="L544" s="88">
        <f>SUM(F544:K544)</f>
        <v>157440.25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229828.46000000002</v>
      </c>
      <c r="I545" s="193">
        <f t="shared" si="42"/>
        <v>0</v>
      </c>
      <c r="J545" s="193">
        <f t="shared" si="42"/>
        <v>0</v>
      </c>
      <c r="K545" s="193">
        <f t="shared" si="42"/>
        <v>0</v>
      </c>
      <c r="L545" s="193">
        <f t="shared" si="42"/>
        <v>229828.46000000002</v>
      </c>
      <c r="M545" s="8"/>
      <c r="N545" s="266"/>
    </row>
    <row r="546" spans="1:14" s="3" customFormat="1" ht="12.2" customHeight="1" thickTop="1" x14ac:dyDescent="0.15">
      <c r="A546" s="98" t="s">
        <v>72</v>
      </c>
      <c r="B546" s="107">
        <v>21</v>
      </c>
      <c r="C546" s="107">
        <v>21</v>
      </c>
      <c r="D546" s="158" t="s">
        <v>432</v>
      </c>
      <c r="E546" s="107"/>
      <c r="F546" s="89">
        <f>F525+F530+F535+F540+F545</f>
        <v>2131433.2119999998</v>
      </c>
      <c r="G546" s="89">
        <f t="shared" ref="G546:L546" si="43">G525+G530+G535+G540+G545</f>
        <v>1001773.6096399999</v>
      </c>
      <c r="H546" s="89">
        <f t="shared" si="43"/>
        <v>2161534.4899999998</v>
      </c>
      <c r="I546" s="89">
        <f t="shared" si="43"/>
        <v>53559.880000000005</v>
      </c>
      <c r="J546" s="89">
        <f t="shared" si="43"/>
        <v>4018.31</v>
      </c>
      <c r="K546" s="89">
        <f t="shared" si="43"/>
        <v>4734</v>
      </c>
      <c r="L546" s="89">
        <f t="shared" si="43"/>
        <v>5357053.5016399994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1654861.9495999997</v>
      </c>
      <c r="G551" s="87">
        <f>L528</f>
        <v>141218.45620000002</v>
      </c>
      <c r="H551" s="87">
        <f>L533</f>
        <v>45441.228000000003</v>
      </c>
      <c r="I551" s="87">
        <f>L538</f>
        <v>3452.93</v>
      </c>
      <c r="J551" s="87">
        <f>L543</f>
        <v>72388.210000000006</v>
      </c>
      <c r="K551" s="87">
        <f>SUM(F551:J551)</f>
        <v>1917362.7737999998</v>
      </c>
      <c r="L551" s="24" t="s">
        <v>288</v>
      </c>
      <c r="M551" s="8"/>
      <c r="N551" s="266"/>
    </row>
    <row r="552" spans="1:14" s="3" customFormat="1" ht="12.2" customHeight="1" thickBot="1" x14ac:dyDescent="0.2">
      <c r="A552" s="22" t="s">
        <v>635</v>
      </c>
      <c r="B552" s="75">
        <v>21</v>
      </c>
      <c r="C552" s="75">
        <v>24</v>
      </c>
      <c r="D552" s="2" t="s">
        <v>432</v>
      </c>
      <c r="E552" s="75"/>
      <c r="F552" s="87">
        <f>L524</f>
        <v>2500370.1597000002</v>
      </c>
      <c r="G552" s="87">
        <f>L529</f>
        <v>632720.44813999999</v>
      </c>
      <c r="H552" s="87">
        <f>L534</f>
        <v>142747.29</v>
      </c>
      <c r="I552" s="87">
        <f>L539</f>
        <v>6412.58</v>
      </c>
      <c r="J552" s="87">
        <f>L544</f>
        <v>157440.25</v>
      </c>
      <c r="K552" s="87">
        <f>SUM(F552:J552)</f>
        <v>3439690.7278400003</v>
      </c>
      <c r="L552" s="24" t="s">
        <v>288</v>
      </c>
      <c r="M552" s="8"/>
      <c r="N552" s="266"/>
    </row>
    <row r="553" spans="1:14" s="3" customFormat="1" ht="12.2" customHeight="1" thickTop="1" x14ac:dyDescent="0.15">
      <c r="A553" s="172" t="s">
        <v>340</v>
      </c>
      <c r="B553" s="44">
        <v>21</v>
      </c>
      <c r="C553" s="44">
        <v>25</v>
      </c>
      <c r="D553" s="39" t="s">
        <v>432</v>
      </c>
      <c r="E553" s="44"/>
      <c r="F553" s="89">
        <f t="shared" ref="F553:K553" si="44">SUM(F550:F552)</f>
        <v>4155232.1092999997</v>
      </c>
      <c r="G553" s="89">
        <f t="shared" si="44"/>
        <v>773938.90434000001</v>
      </c>
      <c r="H553" s="89">
        <f t="shared" si="44"/>
        <v>188188.51800000001</v>
      </c>
      <c r="I553" s="89">
        <f t="shared" si="44"/>
        <v>9865.51</v>
      </c>
      <c r="J553" s="89">
        <f t="shared" si="44"/>
        <v>229828.46000000002</v>
      </c>
      <c r="K553" s="89">
        <f t="shared" si="44"/>
        <v>5357053.5016400004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9"/>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v>78072.38</v>
      </c>
      <c r="H583" s="18">
        <v>188896.69</v>
      </c>
      <c r="I583" s="87">
        <f t="shared" si="49"/>
        <v>266969.07</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578976.12</v>
      </c>
      <c r="I584" s="87">
        <f t="shared" si="49"/>
        <v>578976.12</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22956.54</v>
      </c>
      <c r="I585" s="87">
        <f t="shared" si="49"/>
        <v>22956.54</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v>270924.87</v>
      </c>
      <c r="J592" s="18">
        <f>275556.9+18919.26</f>
        <v>294476.16000000003</v>
      </c>
      <c r="K592" s="104">
        <f t="shared" ref="K592:K598" si="50">SUM(H592:J592)</f>
        <v>565401.03</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f>72388.21</f>
        <v>72388.210000000006</v>
      </c>
      <c r="J593" s="18">
        <f>157440.25</f>
        <v>157440.25</v>
      </c>
      <c r="K593" s="104">
        <f t="shared" si="50"/>
        <v>229828.46000000002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98896.320000000007</v>
      </c>
      <c r="K594" s="104">
        <f t="shared" si="50"/>
        <v>98896.320000000007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23489.5</v>
      </c>
      <c r="J595" s="18">
        <v>43623.35</v>
      </c>
      <c r="K595" s="104">
        <f t="shared" si="50"/>
        <v>67112.850000000006</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v>1775.3</v>
      </c>
      <c r="K596" s="104">
        <f t="shared" si="50"/>
        <v>1775.3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366802.58</v>
      </c>
      <c r="J599" s="108">
        <f>SUM(J592:J598)</f>
        <v>596211.38</v>
      </c>
      <c r="K599" s="108">
        <f>SUM(K592:K598)</f>
        <v>963013.96000000008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v>48791.78</v>
      </c>
      <c r="J605" s="18">
        <v>208554.73</v>
      </c>
      <c r="K605" s="104">
        <f>SUM(H605:J605)</f>
        <v>257346.51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48791.78</v>
      </c>
      <c r="J606" s="108">
        <f>SUM(J603:J605)</f>
        <v>208554.73</v>
      </c>
      <c r="K606" s="108">
        <f>SUM(K603:K605)</f>
        <v>257346.51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2367586.1800000002</v>
      </c>
      <c r="H618" s="109">
        <f>SUM(F52)</f>
        <v>2367586.1800000002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41138.93</v>
      </c>
      <c r="H619" s="109">
        <f>SUM(G52)</f>
        <v>41138.930000000022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212938.13</v>
      </c>
      <c r="H620" s="109">
        <f>SUM(H52)</f>
        <v>212938.12999999998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95305.04</v>
      </c>
      <c r="H621" s="109">
        <f>SUM(I52)</f>
        <v>95305.040000000066</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474262.85</v>
      </c>
      <c r="H622" s="109">
        <f>SUM(J52)</f>
        <v>474262.85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1982125.12</v>
      </c>
      <c r="H623" s="109">
        <f>F477</f>
        <v>1982125.120000001</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188603.33000000002</v>
      </c>
      <c r="H624" s="109">
        <f>G477</f>
        <v>188603.32999999996</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259953.75</v>
      </c>
      <c r="H625" s="109">
        <f>H477</f>
        <v>259953.75</v>
      </c>
      <c r="I625" s="121" t="s">
        <v>103</v>
      </c>
      <c r="J625" s="109">
        <f t="shared" si="52"/>
        <v>0</v>
      </c>
      <c r="K625" s="109"/>
      <c r="L625" s="109"/>
      <c r="M625" s="8"/>
    </row>
    <row r="626" spans="1:13" s="3" customFormat="1" ht="12.2" customHeight="1" x14ac:dyDescent="0.15">
      <c r="A626" s="97"/>
      <c r="B626" s="105"/>
      <c r="C626" s="105"/>
      <c r="D626" s="105"/>
      <c r="E626" s="105"/>
      <c r="F626" s="120" t="s">
        <v>868</v>
      </c>
      <c r="G626" s="109">
        <f>I51</f>
        <v>102227.07000000007</v>
      </c>
      <c r="H626" s="109">
        <f>I477</f>
        <v>102227.06999999983</v>
      </c>
      <c r="I626" s="121" t="s">
        <v>104</v>
      </c>
      <c r="J626" s="109">
        <f t="shared" si="52"/>
        <v>2.3283064365386963E-10</v>
      </c>
      <c r="K626" s="109"/>
      <c r="L626" s="109"/>
      <c r="M626" s="8"/>
    </row>
    <row r="627" spans="1:13" s="3" customFormat="1" ht="12.2" customHeight="1" x14ac:dyDescent="0.15">
      <c r="A627" s="22"/>
      <c r="B627" s="105"/>
      <c r="C627" s="105"/>
      <c r="D627" s="105"/>
      <c r="E627" s="105"/>
      <c r="F627" s="120" t="s">
        <v>869</v>
      </c>
      <c r="G627" s="109">
        <f>J51</f>
        <v>320274.63</v>
      </c>
      <c r="H627" s="109">
        <f>J477</f>
        <v>320274.63</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23165197.73</v>
      </c>
      <c r="H628" s="104">
        <f>SUM(F469)</f>
        <v>23165197.73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383410.18</v>
      </c>
      <c r="H629" s="104">
        <f>SUM(G469)</f>
        <v>383410.18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628787.36</v>
      </c>
      <c r="H630" s="104">
        <f>SUM(H469)</f>
        <v>628787.36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4178.18</v>
      </c>
      <c r="H631" s="104">
        <f>SUM(I469)</f>
        <v>4178.18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169074.62</v>
      </c>
      <c r="H632" s="104">
        <f>SUM(J469)</f>
        <v>169074.62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22161883.639999993</v>
      </c>
      <c r="H633" s="104">
        <f>SUM(F473)</f>
        <v>22161883.640000001</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571130.03</v>
      </c>
      <c r="H634" s="104">
        <f>SUM(H473)</f>
        <v>571130.03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186537.24</v>
      </c>
      <c r="H635" s="104">
        <f>I370</f>
        <v>186537.24000000002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337892.01</v>
      </c>
      <c r="H636" s="104">
        <f>SUM(G473)</f>
        <v>337892.01</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1491999.33</v>
      </c>
      <c r="H637" s="104">
        <f>SUM(I473)</f>
        <v>1491999.33</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169074.62</v>
      </c>
      <c r="H638" s="164">
        <f>SUM(J469)</f>
        <v>169074.62</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150976.97</v>
      </c>
      <c r="H639" s="164">
        <f>SUM(J473)</f>
        <v>150976.97</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474262.85</v>
      </c>
      <c r="H641" s="104">
        <f>SUM(G462)</f>
        <v>474262.85</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474262.85</v>
      </c>
      <c r="H643" s="104">
        <f>SUM(I462)</f>
        <v>474262.85</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5038.43</v>
      </c>
      <c r="H645" s="104">
        <f>H409</f>
        <v>5038.4299999999994</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164036.19</v>
      </c>
      <c r="H646" s="104">
        <f>G409</f>
        <v>164036.19</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169074.62</v>
      </c>
      <c r="H647" s="104">
        <f>L409</f>
        <v>169074.62</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963013.96000000008</v>
      </c>
      <c r="H648" s="104">
        <f>L209+L227+L245</f>
        <v>963013.96</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257346.51</v>
      </c>
      <c r="H649" s="104">
        <f>(J258+J339)-(J256+J337)</f>
        <v>257346.51000000004</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366802.58</v>
      </c>
      <c r="H651" s="104">
        <f>I599</f>
        <v>366802.58</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596211.37999999989</v>
      </c>
      <c r="H652" s="104">
        <f>J599</f>
        <v>596211.38</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164036.19</v>
      </c>
      <c r="H656" s="104">
        <f>K267+K348</f>
        <v>164036.19</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0</v>
      </c>
      <c r="G661" s="19">
        <f>(L230+L310+L360)</f>
        <v>7555210.3499999987</v>
      </c>
      <c r="H661" s="19">
        <f>(L248+L329+L361)</f>
        <v>14349854.619999997</v>
      </c>
      <c r="I661" s="19">
        <f>SUM(F661:H661)</f>
        <v>21905064.969999995</v>
      </c>
      <c r="J661" s="13"/>
      <c r="K661" s="13"/>
      <c r="L661" s="13"/>
      <c r="M661" s="9"/>
    </row>
    <row r="662" spans="1:13" s="3" customFormat="1" ht="12.2" customHeight="1" x14ac:dyDescent="0.2">
      <c r="A662" s="1" t="s">
        <v>127</v>
      </c>
      <c r="F662" s="19">
        <f>(L359/IF(SUM(L359:L361)=0,1,SUM(L359:L361))*(SUM(G97:G110)))</f>
        <v>0</v>
      </c>
      <c r="G662" s="19">
        <f>(L360/IF(SUM(L359:L361)=0,1,SUM(L359:L361))*(SUM(G97:G110)))</f>
        <v>111923.5680342805</v>
      </c>
      <c r="H662" s="19">
        <f>(L361/IF(SUM(L359:L361)=0,1,SUM(L359:L361))*(SUM(G97:G110)))</f>
        <v>212139.14196571943</v>
      </c>
      <c r="I662" s="19">
        <f>SUM(F662:H662)</f>
        <v>324062.70999999996</v>
      </c>
      <c r="J662"/>
      <c r="K662" s="13"/>
      <c r="L662" s="13"/>
      <c r="M662" s="8"/>
    </row>
    <row r="663" spans="1:13" s="3" customFormat="1" ht="12.2" customHeight="1" x14ac:dyDescent="0.2">
      <c r="A663" s="1" t="s">
        <v>128</v>
      </c>
      <c r="F663" s="19">
        <f>(L209+L288)-(J209+J288)</f>
        <v>0</v>
      </c>
      <c r="G663" s="19">
        <f>(L227+L307)-(J227+J307)</f>
        <v>366802.58</v>
      </c>
      <c r="H663" s="19">
        <f>(L245+L326)-(J245+J326)</f>
        <v>596211.37999999989</v>
      </c>
      <c r="I663" s="19">
        <f>SUM(F663:H663)</f>
        <v>963013.96</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126864.16</v>
      </c>
      <c r="H664" s="199">
        <f>SUM(H576:H588)+SUM(J603:J605)+L614</f>
        <v>999384.08000000007</v>
      </c>
      <c r="I664" s="19">
        <f>SUM(F664:H664)</f>
        <v>1126248.24</v>
      </c>
      <c r="J664" s="13"/>
      <c r="K664" s="13"/>
      <c r="L664" s="13"/>
      <c r="M664" s="9"/>
    </row>
    <row r="665" spans="1:13" s="3" customFormat="1" ht="12.2" customHeight="1" x14ac:dyDescent="0.15">
      <c r="A665" s="1" t="s">
        <v>130</v>
      </c>
      <c r="F665" s="19">
        <f>F661-SUM(F662:F664)</f>
        <v>0</v>
      </c>
      <c r="G665" s="19">
        <f>G661-SUM(G662:G664)</f>
        <v>6949620.0419657184</v>
      </c>
      <c r="H665" s="19">
        <f>H661-SUM(H662:H664)</f>
        <v>12542120.018034277</v>
      </c>
      <c r="I665" s="19">
        <f>I661-SUM(I662:I664)</f>
        <v>19491740.059999995</v>
      </c>
      <c r="J665" s="13"/>
      <c r="K665" s="13"/>
      <c r="L665" s="13"/>
      <c r="M665" s="8"/>
    </row>
    <row r="666" spans="1:13" s="3" customFormat="1" ht="12.2" customHeight="1" x14ac:dyDescent="0.2">
      <c r="A666" s="1" t="s">
        <v>131</v>
      </c>
      <c r="F666" s="246"/>
      <c r="G666" s="247">
        <v>379.75</v>
      </c>
      <c r="H666" s="247">
        <v>851.05</v>
      </c>
      <c r="I666" s="19">
        <f>SUM(F666:H666)</f>
        <v>1230.8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f>ROUND(G665/G666,2)</f>
        <v>18300.509999999998</v>
      </c>
      <c r="H668" s="19">
        <f>ROUND(H665/H666,2)</f>
        <v>14737.23</v>
      </c>
      <c r="I668" s="19">
        <f>ROUND(I665/I666,2)</f>
        <v>15836.64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-7.39</v>
      </c>
      <c r="I671" s="19">
        <f>SUM(F671:H671)</f>
        <v>-7.39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f>ROUND((G665+G670)/(G666+G671),2)</f>
        <v>18300.509999999998</v>
      </c>
      <c r="H673" s="19">
        <f>ROUND((H665+H670)/(H666+H671),2)</f>
        <v>14866.32</v>
      </c>
      <c r="I673" s="19">
        <f>ROUND((I665+I670)/(I666+I671),2)</f>
        <v>15932.3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Hollis Brookline Cooperative School District</v>
      </c>
      <c r="C5" s="344"/>
      <c r="D5" s="344"/>
      <c r="E5" s="344"/>
      <c r="F5" s="344"/>
    </row>
    <row r="8" spans="1:9" ht="18" x14ac:dyDescent="0.25">
      <c r="A8" s="323" t="s">
        <v>1591</v>
      </c>
      <c r="F8" s="330" t="s">
        <v>1609</v>
      </c>
    </row>
    <row r="9" spans="1:9" ht="15" x14ac:dyDescent="0.2">
      <c r="A9" s="321" t="s">
        <v>1592</v>
      </c>
      <c r="B9" s="324">
        <f>'DOE25'!G97</f>
        <v>324062.70999999996</v>
      </c>
      <c r="F9" s="321" t="s">
        <v>1605</v>
      </c>
    </row>
    <row r="10" spans="1:9" ht="15" x14ac:dyDescent="0.2">
      <c r="A10" s="321" t="s">
        <v>1593</v>
      </c>
      <c r="B10" s="324">
        <f>'DOE25'!G112-'DOE25'!G97</f>
        <v>89.39000000001397</v>
      </c>
      <c r="F10" s="321" t="s">
        <v>1606</v>
      </c>
    </row>
    <row r="11" spans="1:9" ht="15" x14ac:dyDescent="0.2">
      <c r="A11" s="321" t="s">
        <v>1594</v>
      </c>
      <c r="B11" s="324">
        <f>'DOE25'!G140</f>
        <v>4254.8</v>
      </c>
      <c r="F11" s="321" t="s">
        <v>1607</v>
      </c>
    </row>
    <row r="12" spans="1:9" ht="15" x14ac:dyDescent="0.2">
      <c r="A12" s="321" t="s">
        <v>1595</v>
      </c>
      <c r="B12" s="324">
        <f>'DOE25'!G170</f>
        <v>55003.280000000006</v>
      </c>
      <c r="F12" s="321" t="s">
        <v>1608</v>
      </c>
    </row>
    <row r="13" spans="1:9" ht="15" x14ac:dyDescent="0.2">
      <c r="A13" s="321" t="s">
        <v>1596</v>
      </c>
      <c r="B13" s="324">
        <f>'DOE25'!G193-'DOE25'!G180</f>
        <v>0</v>
      </c>
      <c r="F13" s="321" t="s">
        <v>1618</v>
      </c>
    </row>
    <row r="14" spans="1:9" ht="18" x14ac:dyDescent="0.25">
      <c r="A14" s="323" t="s">
        <v>732</v>
      </c>
      <c r="B14" s="325">
        <f>SUM(B9:B13)</f>
        <v>383410.18</v>
      </c>
    </row>
    <row r="16" spans="1:9" ht="18" x14ac:dyDescent="0.25">
      <c r="A16" s="323" t="s">
        <v>786</v>
      </c>
      <c r="F16" s="330" t="s">
        <v>1610</v>
      </c>
    </row>
    <row r="17" spans="1:6" ht="15" x14ac:dyDescent="0.2">
      <c r="A17" s="321" t="s">
        <v>1597</v>
      </c>
      <c r="B17" s="324">
        <f>'DOE25'!L363-'DOE25'!L362</f>
        <v>337892.01</v>
      </c>
      <c r="F17" s="321" t="s">
        <v>1611</v>
      </c>
    </row>
    <row r="18" spans="1:6" ht="15" x14ac:dyDescent="0.2">
      <c r="A18" s="321" t="s">
        <v>1598</v>
      </c>
      <c r="B18" s="338"/>
      <c r="F18" s="330" t="s">
        <v>1637</v>
      </c>
    </row>
    <row r="19" spans="1:6" ht="18" x14ac:dyDescent="0.25">
      <c r="A19" s="323" t="s">
        <v>725</v>
      </c>
      <c r="B19" s="325">
        <f>SUM(B17:B18)</f>
        <v>337892.01</v>
      </c>
    </row>
    <row r="21" spans="1:6" ht="18.75" thickBot="1" x14ac:dyDescent="0.3">
      <c r="A21" s="323" t="s">
        <v>1599</v>
      </c>
    </row>
    <row r="22" spans="1:6" ht="18.75" thickTop="1" x14ac:dyDescent="0.25">
      <c r="A22" s="323" t="s">
        <v>1600</v>
      </c>
      <c r="B22" s="329">
        <f>B14-B19</f>
        <v>45518.169999999984</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143085.16</v>
      </c>
      <c r="F31" s="321" t="s">
        <v>1615</v>
      </c>
    </row>
    <row r="33" spans="1:6" ht="15" x14ac:dyDescent="0.2">
      <c r="A33" s="321" t="s">
        <v>1641</v>
      </c>
      <c r="B33" s="324">
        <f>'DOE25'!G477</f>
        <v>188603.32999999996</v>
      </c>
      <c r="F33" s="321" t="s">
        <v>1616</v>
      </c>
    </row>
    <row r="36" spans="1:6" ht="15" x14ac:dyDescent="0.2">
      <c r="A36" s="321" t="s">
        <v>1602</v>
      </c>
      <c r="B36" s="339">
        <v>14327.26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F25" sqref="F2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Hollis Brookline Cooperative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5493408.0099999998</v>
      </c>
      <c r="C9" s="229">
        <f>'DOE25'!G198+'DOE25'!G216+'DOE25'!G234+'DOE25'!G277+'DOE25'!G296+'DOE25'!G315</f>
        <v>2603129.2599999998</v>
      </c>
    </row>
    <row r="10" spans="1:3" x14ac:dyDescent="0.2">
      <c r="A10" t="s">
        <v>775</v>
      </c>
      <c r="B10" s="240">
        <v>5418699.8200000003</v>
      </c>
      <c r="C10" s="240">
        <v>2567727.8199999998</v>
      </c>
    </row>
    <row r="11" spans="1:3" x14ac:dyDescent="0.2">
      <c r="A11" t="s">
        <v>776</v>
      </c>
      <c r="B11" s="240">
        <v>0</v>
      </c>
      <c r="C11" s="240">
        <v>0</v>
      </c>
    </row>
    <row r="12" spans="1:3" x14ac:dyDescent="0.2">
      <c r="A12" t="s">
        <v>777</v>
      </c>
      <c r="B12" s="240">
        <v>74708.19</v>
      </c>
      <c r="C12" s="240">
        <v>35401.440000000002</v>
      </c>
    </row>
    <row r="13" spans="1:3" x14ac:dyDescent="0.2">
      <c r="A13" t="str">
        <f>IF(B9=B13,IF(C9=C13,"Check Total OK","Check Total Error"),"Check Total Error")</f>
        <v>Check Total OK</v>
      </c>
      <c r="B13" s="231">
        <f>SUM(B10:B12)</f>
        <v>5493408.0100000007</v>
      </c>
      <c r="C13" s="231">
        <f>SUM(C10:C12)</f>
        <v>2603129.2599999998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2091656.63</v>
      </c>
      <c r="C18" s="229">
        <f>'DOE25'!G199+'DOE25'!G217+'DOE25'!G235+'DOE25'!G278+'DOE25'!G297+'DOE25'!G316</f>
        <v>890063.55</v>
      </c>
    </row>
    <row r="19" spans="1:3" x14ac:dyDescent="0.2">
      <c r="A19" t="s">
        <v>775</v>
      </c>
      <c r="B19" s="240">
        <v>1117962.97</v>
      </c>
      <c r="C19" s="240">
        <v>475727.27</v>
      </c>
    </row>
    <row r="20" spans="1:3" x14ac:dyDescent="0.2">
      <c r="A20" t="s">
        <v>776</v>
      </c>
      <c r="B20" s="240">
        <v>766114.22</v>
      </c>
      <c r="C20" s="240">
        <v>326004.92</v>
      </c>
    </row>
    <row r="21" spans="1:3" x14ac:dyDescent="0.2">
      <c r="A21" t="s">
        <v>777</v>
      </c>
      <c r="B21" s="240">
        <v>207579.44</v>
      </c>
      <c r="C21" s="240">
        <v>88331.36</v>
      </c>
    </row>
    <row r="22" spans="1:3" x14ac:dyDescent="0.2">
      <c r="A22" t="str">
        <f>IF(B18=B22,IF(C18=C22,"Check Total OK","Check Total Error"),"Check Total Error")</f>
        <v>Check Total OK</v>
      </c>
      <c r="B22" s="231">
        <f>SUM(B19:B21)</f>
        <v>2091656.63</v>
      </c>
      <c r="C22" s="231">
        <f>SUM(C19:C21)</f>
        <v>890063.54999999993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476234.88999999996</v>
      </c>
      <c r="C36" s="235">
        <f>'DOE25'!G201+'DOE25'!G219+'DOE25'!G237+'DOE25'!G280+'DOE25'!G299+'DOE25'!G318</f>
        <v>222089.2</v>
      </c>
    </row>
    <row r="37" spans="1:3" x14ac:dyDescent="0.2">
      <c r="A37" t="s">
        <v>775</v>
      </c>
      <c r="B37" s="240">
        <v>250400</v>
      </c>
      <c r="C37" s="240">
        <v>116772.49</v>
      </c>
    </row>
    <row r="38" spans="1:3" x14ac:dyDescent="0.2">
      <c r="A38" t="s">
        <v>776</v>
      </c>
      <c r="B38" s="240">
        <v>630</v>
      </c>
      <c r="C38" s="240">
        <v>293.8</v>
      </c>
    </row>
    <row r="39" spans="1:3" x14ac:dyDescent="0.2">
      <c r="A39" t="s">
        <v>777</v>
      </c>
      <c r="B39" s="240">
        <v>225204.89</v>
      </c>
      <c r="C39" s="240">
        <v>105022.91</v>
      </c>
    </row>
    <row r="40" spans="1:3" x14ac:dyDescent="0.2">
      <c r="A40" t="str">
        <f>IF(B36=B40,IF(C36=C40,"Check Total OK","Check Total Error"),"Check Total Error")</f>
        <v>Check Total OK</v>
      </c>
      <c r="B40" s="231">
        <f>SUM(B37:B39)</f>
        <v>476234.89</v>
      </c>
      <c r="C40" s="231">
        <f>SUM(C37:C39)</f>
        <v>222089.2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Hollis Brookline Cooperative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13450780.359999999</v>
      </c>
      <c r="D5" s="20">
        <f>SUM('DOE25'!L198:L201)+SUM('DOE25'!L216:L219)+SUM('DOE25'!L234:L237)-F5-G5-H5</f>
        <v>13216477.49</v>
      </c>
      <c r="E5" s="243"/>
      <c r="F5" s="244">
        <f>91625.98+61255.35</f>
        <v>152881.32999999999</v>
      </c>
      <c r="G5" s="53">
        <f>SUM('DOE25'!J198:J201)+SUM('DOE25'!J216:J219)+SUM('DOE25'!J234:J237)</f>
        <v>56452.040000000008</v>
      </c>
      <c r="H5" s="53">
        <f>SUM('DOE25'!K198:K201)+SUM('DOE25'!K216:K219)+SUM('DOE25'!K234:K237)</f>
        <v>24969.5</v>
      </c>
      <c r="I5" s="256"/>
    </row>
    <row r="6" spans="1:9" x14ac:dyDescent="0.2">
      <c r="A6" s="32">
        <v>2100</v>
      </c>
      <c r="B6" t="s">
        <v>796</v>
      </c>
      <c r="C6" s="276">
        <f t="shared" si="0"/>
        <v>2215800.84</v>
      </c>
      <c r="D6" s="20">
        <f>'DOE25'!L203+'DOE25'!L221+'DOE25'!L239-F6-G6-H6</f>
        <v>1693292.7099999997</v>
      </c>
      <c r="E6" s="243"/>
      <c r="F6" s="244">
        <f>49873.45+334895.93+70308.51+66067.2</f>
        <v>521145.09</v>
      </c>
      <c r="G6" s="53">
        <f>'DOE25'!J203+'DOE25'!J221+'DOE25'!J239</f>
        <v>295.04000000000002</v>
      </c>
      <c r="H6" s="53">
        <f>'DOE25'!K203+'DOE25'!K221+'DOE25'!K239</f>
        <v>1068</v>
      </c>
      <c r="I6" s="256"/>
    </row>
    <row r="7" spans="1:9" x14ac:dyDescent="0.2">
      <c r="A7" s="32">
        <v>2200</v>
      </c>
      <c r="B7" t="s">
        <v>821</v>
      </c>
      <c r="C7" s="276">
        <f t="shared" si="0"/>
        <v>595279.44999999995</v>
      </c>
      <c r="D7" s="20">
        <f>'DOE25'!L204+'DOE25'!L222+'DOE25'!L240-F7-G7-H7</f>
        <v>508916.98</v>
      </c>
      <c r="E7" s="243"/>
      <c r="F7" s="244"/>
      <c r="G7" s="53">
        <f>'DOE25'!J204+'DOE25'!J222+'DOE25'!J240</f>
        <v>86357.47</v>
      </c>
      <c r="H7" s="53">
        <f>'DOE25'!K204+'DOE25'!K222+'DOE25'!K240</f>
        <v>5</v>
      </c>
      <c r="I7" s="256"/>
    </row>
    <row r="8" spans="1:9" x14ac:dyDescent="0.2">
      <c r="A8" s="32">
        <v>2300</v>
      </c>
      <c r="B8" t="s">
        <v>797</v>
      </c>
      <c r="C8" s="276">
        <f t="shared" si="0"/>
        <v>692823.72000000009</v>
      </c>
      <c r="D8" s="243"/>
      <c r="E8" s="20">
        <f>'DOE25'!L205+'DOE25'!L223+'DOE25'!L241-F8-G8-H8-D9-D11</f>
        <v>687861.60000000009</v>
      </c>
      <c r="F8" s="244"/>
      <c r="G8" s="53">
        <f>'DOE25'!J205+'DOE25'!J223+'DOE25'!J241</f>
        <v>0</v>
      </c>
      <c r="H8" s="53">
        <f>'DOE25'!K205+'DOE25'!K223+'DOE25'!K241</f>
        <v>4962.12</v>
      </c>
      <c r="I8" s="256"/>
    </row>
    <row r="9" spans="1:9" ht="14.25" x14ac:dyDescent="0.2">
      <c r="A9" s="32">
        <v>2310</v>
      </c>
      <c r="B9" s="185" t="s">
        <v>890</v>
      </c>
      <c r="C9" s="276">
        <f t="shared" si="0"/>
        <v>120587.97</v>
      </c>
      <c r="D9" s="244">
        <v>120587.97</v>
      </c>
      <c r="E9" s="243"/>
      <c r="F9" s="253"/>
      <c r="G9" s="253"/>
      <c r="H9" s="253"/>
      <c r="I9" s="256"/>
    </row>
    <row r="10" spans="1:9" ht="14.25" x14ac:dyDescent="0.2">
      <c r="A10" s="32">
        <v>2317</v>
      </c>
      <c r="B10" s="185" t="s">
        <v>891</v>
      </c>
      <c r="C10" s="276">
        <f t="shared" si="0"/>
        <v>12000</v>
      </c>
      <c r="D10" s="243"/>
      <c r="E10" s="244">
        <v>12000</v>
      </c>
      <c r="F10" s="253"/>
      <c r="G10" s="253"/>
      <c r="H10" s="253"/>
      <c r="I10" s="256"/>
    </row>
    <row r="11" spans="1:9" ht="14.25" x14ac:dyDescent="0.2">
      <c r="A11" s="32">
        <v>2321</v>
      </c>
      <c r="B11" s="185" t="s">
        <v>892</v>
      </c>
      <c r="C11" s="276">
        <f t="shared" si="0"/>
        <v>199578.34</v>
      </c>
      <c r="D11" s="244">
        <v>199578.34</v>
      </c>
      <c r="E11" s="243"/>
      <c r="F11" s="253"/>
      <c r="G11" s="253"/>
      <c r="H11" s="253"/>
      <c r="I11" s="256"/>
    </row>
    <row r="12" spans="1:9" x14ac:dyDescent="0.2">
      <c r="A12" s="32">
        <v>2400</v>
      </c>
      <c r="B12" t="s">
        <v>711</v>
      </c>
      <c r="C12" s="276">
        <f t="shared" si="0"/>
        <v>1310099.3800000001</v>
      </c>
      <c r="D12" s="20">
        <f>'DOE25'!L206+'DOE25'!L224+'DOE25'!L242-F12-G12-H12</f>
        <v>1293133.4600000002</v>
      </c>
      <c r="E12" s="243"/>
      <c r="F12" s="244"/>
      <c r="G12" s="53">
        <f>'DOE25'!J206+'DOE25'!J224+'DOE25'!J242</f>
        <v>0</v>
      </c>
      <c r="H12" s="53">
        <f>'DOE25'!K206+'DOE25'!K224+'DOE25'!K242</f>
        <v>16965.919999999998</v>
      </c>
      <c r="I12" s="256"/>
    </row>
    <row r="13" spans="1:9" x14ac:dyDescent="0.2">
      <c r="A13" s="32">
        <v>2500</v>
      </c>
      <c r="B13" t="s">
        <v>798</v>
      </c>
      <c r="C13" s="276">
        <f t="shared" si="0"/>
        <v>2029.45</v>
      </c>
      <c r="D13" s="243"/>
      <c r="E13" s="20">
        <f>'DOE25'!L207+'DOE25'!L225+'DOE25'!L243-F13-G13-H13</f>
        <v>0</v>
      </c>
      <c r="F13" s="244"/>
      <c r="G13" s="53">
        <f>'DOE25'!J207+'DOE25'!J225+'DOE25'!J243</f>
        <v>0</v>
      </c>
      <c r="H13" s="53">
        <f>'DOE25'!K207+'DOE25'!K225+'DOE25'!K243</f>
        <v>2029.45</v>
      </c>
      <c r="I13" s="256"/>
    </row>
    <row r="14" spans="1:9" x14ac:dyDescent="0.2">
      <c r="A14" s="32">
        <v>2600</v>
      </c>
      <c r="B14" t="s">
        <v>819</v>
      </c>
      <c r="C14" s="276">
        <f t="shared" si="0"/>
        <v>1449049.46</v>
      </c>
      <c r="D14" s="20">
        <f>'DOE25'!L208+'DOE25'!L226+'DOE25'!L244-F14-G14-H14</f>
        <v>1302755.6399999999</v>
      </c>
      <c r="E14" s="243"/>
      <c r="F14" s="244">
        <f>49020+57271.21</f>
        <v>106291.20999999999</v>
      </c>
      <c r="G14" s="53">
        <f>'DOE25'!J208+'DOE25'!J226+'DOE25'!J244</f>
        <v>2108.08</v>
      </c>
      <c r="H14" s="53">
        <f>'DOE25'!K208+'DOE25'!K226+'DOE25'!K244</f>
        <v>37894.53</v>
      </c>
      <c r="I14" s="256"/>
    </row>
    <row r="15" spans="1:9" x14ac:dyDescent="0.2">
      <c r="A15" s="32">
        <v>2700</v>
      </c>
      <c r="B15" t="s">
        <v>799</v>
      </c>
      <c r="C15" s="276">
        <f t="shared" si="0"/>
        <v>963013.96</v>
      </c>
      <c r="D15" s="20">
        <f>'DOE25'!L209+'DOE25'!L227+'DOE25'!L245-F15-G15-H15</f>
        <v>224638.27000000002</v>
      </c>
      <c r="E15" s="243"/>
      <c r="F15" s="244">
        <f>244993.78+244993.78+194111.53+54276.6</f>
        <v>738375.69</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184719.15</v>
      </c>
      <c r="D22" s="243"/>
      <c r="E22" s="243"/>
      <c r="F22" s="243"/>
      <c r="G22" s="53">
        <f>'DOE25'!L256+'DOE25'!L337</f>
        <v>184719.15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814085.37</v>
      </c>
      <c r="D25" s="243"/>
      <c r="E25" s="243"/>
      <c r="F25" s="255"/>
      <c r="G25" s="253"/>
      <c r="H25" s="253"/>
      <c r="I25" s="254">
        <f>'DOE25'!L261+'DOE25'!L262+'DOE25'!L342+'DOE25'!L343</f>
        <v>814085.37</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187141.94</v>
      </c>
      <c r="D29" s="284">
        <f>'DOE25'!L359+'DOE25'!L360+'DOE25'!L361-'DOE25'!I368-F29-G29-H29</f>
        <v>185691.83000000002</v>
      </c>
      <c r="E29" s="243"/>
      <c r="F29" s="244"/>
      <c r="G29" s="53">
        <f>'DOE25'!J359+'DOE25'!J360+'DOE25'!J361</f>
        <v>1072.1100000000001</v>
      </c>
      <c r="H29" s="53">
        <f>'DOE25'!K359+'DOE25'!K360+'DOE25'!K361</f>
        <v>378</v>
      </c>
      <c r="I29" s="256"/>
    </row>
    <row r="30" spans="1:9" x14ac:dyDescent="0.2">
      <c r="A30" s="32"/>
      <c r="C30" s="277"/>
      <c r="D30" s="20"/>
      <c r="E30" s="281"/>
      <c r="F30" s="271"/>
      <c r="G30" s="53"/>
      <c r="H30" s="53"/>
      <c r="I30" s="256"/>
    </row>
    <row r="31" spans="1:9" x14ac:dyDescent="0.2">
      <c r="A31" s="32" t="s">
        <v>818</v>
      </c>
      <c r="B31" t="s">
        <v>817</v>
      </c>
      <c r="C31" s="276">
        <f>SUM(D31:I31)</f>
        <v>568130.03</v>
      </c>
      <c r="D31" s="20">
        <f>'DOE25'!L291+'DOE25'!L310+'DOE25'!L329+'DOE25'!L334+'DOE25'!L335+'DOE25'!L336-F31-G31-H31</f>
        <v>437782.78</v>
      </c>
      <c r="E31" s="243"/>
      <c r="F31" s="244"/>
      <c r="G31" s="53">
        <f>'DOE25'!J291+'DOE25'!J310+'DOE25'!J329+'DOE25'!J334+'DOE25'!J335+'DOE25'!J336</f>
        <v>112133.88</v>
      </c>
      <c r="H31" s="53">
        <f>'DOE25'!K291+'DOE25'!K310+'DOE25'!K329+'DOE25'!K334+'DOE25'!K335+'DOE25'!K336</f>
        <v>18213.37</v>
      </c>
      <c r="I31" s="256"/>
    </row>
    <row r="32" spans="1:9" ht="12" thickBot="1" x14ac:dyDescent="0.25">
      <c r="C32" s="277"/>
      <c r="G32" s="251"/>
      <c r="H32" s="251"/>
      <c r="I32" s="258"/>
    </row>
    <row r="33" spans="1:9" ht="12" thickTop="1" x14ac:dyDescent="0.2">
      <c r="B33" t="s">
        <v>809</v>
      </c>
      <c r="D33" s="245">
        <f t="shared" ref="D33:I33" si="1">SUM(D5:D31)</f>
        <v>19182855.469999999</v>
      </c>
      <c r="E33" s="245">
        <f t="shared" si="1"/>
        <v>699861.60000000009</v>
      </c>
      <c r="F33" s="245">
        <f t="shared" si="1"/>
        <v>1518693.3199999998</v>
      </c>
      <c r="G33" s="245">
        <f t="shared" si="1"/>
        <v>443137.77</v>
      </c>
      <c r="H33" s="245">
        <f t="shared" si="1"/>
        <v>106485.88999999998</v>
      </c>
      <c r="I33" s="245">
        <f t="shared" si="1"/>
        <v>814085.37</v>
      </c>
    </row>
    <row r="35" spans="1:9" ht="12" thickBot="1" x14ac:dyDescent="0.25">
      <c r="B35" s="251" t="s">
        <v>831</v>
      </c>
      <c r="D35" s="252">
        <f>E33</f>
        <v>699861.60000000009</v>
      </c>
      <c r="E35" s="248"/>
    </row>
    <row r="36" spans="1:9" ht="12" thickTop="1" x14ac:dyDescent="0.2">
      <c r="B36" t="s">
        <v>810</v>
      </c>
      <c r="D36" s="20">
        <f>D33</f>
        <v>19182855.469999999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A28" sqref="A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Hollis Brookline Cooperative School District</v>
      </c>
      <c r="B2" s="126">
        <f>'DOE25'!B2</f>
        <v>260</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0</v>
      </c>
      <c r="G4" s="303">
        <f>'DOE25'!L212+'DOE25'!L291</f>
        <v>0</v>
      </c>
      <c r="H4" s="337">
        <f>F4-G4</f>
        <v>0</v>
      </c>
      <c r="I4" s="309" t="str">
        <f>IF(H4=0,"","Does not match DOE25 page 7 and 11 Totals!!")</f>
        <v/>
      </c>
      <c r="N4"/>
    </row>
    <row r="5" spans="1:18" x14ac:dyDescent="0.2">
      <c r="A5" s="21"/>
      <c r="B5" s="304" t="str">
        <f>IFERROR(VLOOKUP(A5,'School Tables'!$C$3:$D$365,2,FALSE),"")</f>
        <v/>
      </c>
      <c r="C5" s="297" t="str">
        <f>IFERROR(INDEX('School Tables'!$B$3:$B$365,MATCH('School Level Expenditures'!B5,'School Tables'!$D$3:$D$365,0)),"")</f>
        <v/>
      </c>
      <c r="D5" s="294"/>
      <c r="E5" s="294"/>
      <c r="F5" s="312">
        <f>D5+E5</f>
        <v>0</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7438510.4699999997</v>
      </c>
      <c r="G24" s="303">
        <f>'DOE25'!L230+'DOE25'!L310</f>
        <v>7438510.4699999988</v>
      </c>
      <c r="H24" s="337">
        <f>F24-G24</f>
        <v>0</v>
      </c>
      <c r="I24" s="309" t="str">
        <f>IF(H24=0,"","Does not match DOE25 page 8 and 12 Totals!!")</f>
        <v/>
      </c>
      <c r="N24"/>
    </row>
    <row r="25" spans="1:14" x14ac:dyDescent="0.2">
      <c r="A25" s="21" t="s">
        <v>1124</v>
      </c>
      <c r="B25" s="304">
        <f>IFERROR(VLOOKUP(A25,'School Tables'!$I$3:$J$80,2,FALSE),"")</f>
        <v>21805</v>
      </c>
      <c r="C25" s="297" t="str">
        <f t="array" ref="C25">IFERROR(INDEX('School Tables'!$H$3:$H$80,MATCH('School Level Expenditures'!B25,'School Tables'!$J$3:$J$80,0)),"")</f>
        <v>Hollis-Brookline Cooperative</v>
      </c>
      <c r="D25" s="294">
        <f>7263385.95+73379.96+7252.46</f>
        <v>7344018.3700000001</v>
      </c>
      <c r="E25" s="294">
        <f>175124.52-73379.96-7252.46</f>
        <v>94492.099999999977</v>
      </c>
      <c r="F25" s="307">
        <f>D25+E25</f>
        <v>7438510.4699999997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14128662.49</v>
      </c>
      <c r="G36" s="303">
        <f>'DOE25'!L248+'DOE25'!L329</f>
        <v>14128662.489999996</v>
      </c>
      <c r="H36" s="337">
        <f>F36-G36</f>
        <v>0</v>
      </c>
      <c r="I36" s="309" t="str">
        <f>IF(H36=0,"","Does not match DOE25 page 9 and 13 Totals!!")</f>
        <v/>
      </c>
      <c r="N36"/>
    </row>
    <row r="37" spans="1:14" x14ac:dyDescent="0.2">
      <c r="A37" s="21" t="s">
        <v>1125</v>
      </c>
      <c r="B37" s="304">
        <f>IFERROR(VLOOKUP(A37,'School Tables'!$O$3:$P$118,2,FALSE),"")</f>
        <v>21810</v>
      </c>
      <c r="C37" s="297" t="str">
        <f t="array" ref="C37">IFERROR(INDEX('School Tables'!$N$3:$N$118,MATCH('School Level Expenditures'!B37,'School Tables'!$P$3:$P$118,0)),"")</f>
        <v>Hollis-Brookline Cooperative</v>
      </c>
      <c r="D37" s="294">
        <f>13735656.98+246461.41</f>
        <v>13982118.390000001</v>
      </c>
      <c r="E37" s="294">
        <f>393005.51-246461.41</f>
        <v>146544.1</v>
      </c>
      <c r="F37" s="307">
        <f>D37+E37</f>
        <v>14128662.49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Hollis Brookline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2295500.19</v>
      </c>
      <c r="D8" s="95">
        <f>'DOE25'!G9</f>
        <v>12394.26</v>
      </c>
      <c r="E8" s="95">
        <f>'DOE25'!H9</f>
        <v>0</v>
      </c>
      <c r="F8" s="95">
        <f>'DOE25'!I9</f>
        <v>95305.04</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21754.309999999998</v>
      </c>
      <c r="D12" s="95">
        <f>'DOE25'!G13</f>
        <v>5681.17</v>
      </c>
      <c r="E12" s="95">
        <f>'DOE25'!H13</f>
        <v>107911.19</v>
      </c>
      <c r="F12" s="95">
        <f>'DOE25'!I13</f>
        <v>0</v>
      </c>
      <c r="G12" s="95">
        <f>'DOE25'!J13</f>
        <v>474262.85</v>
      </c>
      <c r="H12" s="124"/>
      <c r="I12" s="124"/>
    </row>
    <row r="13" spans="1:9" x14ac:dyDescent="0.2">
      <c r="A13" s="1" t="s">
        <v>144</v>
      </c>
      <c r="B13" s="6">
        <v>150</v>
      </c>
      <c r="C13" s="95">
        <f>'DOE25'!F14</f>
        <v>547.04</v>
      </c>
      <c r="D13" s="95">
        <f>'DOE25'!G14</f>
        <v>0</v>
      </c>
      <c r="E13" s="95">
        <f>'DOE25'!H14</f>
        <v>105026.94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23063.5</v>
      </c>
      <c r="E15" s="95">
        <f>'DOE25'!H16</f>
        <v>0</v>
      </c>
      <c r="F15" s="95">
        <f>'DOE25'!I16</f>
        <v>0</v>
      </c>
      <c r="G15" s="24" t="s">
        <v>288</v>
      </c>
      <c r="H15" s="124"/>
      <c r="I15" s="124"/>
    </row>
    <row r="16" spans="1:9" x14ac:dyDescent="0.2">
      <c r="A16" s="1" t="s">
        <v>147</v>
      </c>
      <c r="B16" s="6">
        <v>180</v>
      </c>
      <c r="C16" s="95">
        <f>'DOE25'!F17</f>
        <v>49784.639999999999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2367586.1800000002</v>
      </c>
      <c r="D18" s="41">
        <f>SUM(D8:D17)</f>
        <v>41138.93</v>
      </c>
      <c r="E18" s="41">
        <f>SUM(E8:E17)</f>
        <v>212938.13</v>
      </c>
      <c r="F18" s="41">
        <f>SUM(F8:F17)</f>
        <v>95305.04</v>
      </c>
      <c r="G18" s="41">
        <f>SUM(G8:G17)</f>
        <v>474262.85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202839.31</v>
      </c>
      <c r="D21" s="95">
        <f>'DOE25'!G22</f>
        <v>-196140.66</v>
      </c>
      <c r="E21" s="95">
        <f>'DOE25'!H22</f>
        <v>-274617.28000000003</v>
      </c>
      <c r="F21" s="95">
        <f>'DOE25'!I22</f>
        <v>-46311.28</v>
      </c>
      <c r="G21" s="95">
        <f>'DOE25'!J22</f>
        <v>153988.22</v>
      </c>
      <c r="H21" s="124"/>
      <c r="I21" s="124"/>
    </row>
    <row r="22" spans="1:9" x14ac:dyDescent="0.2">
      <c r="A22" s="1" t="s">
        <v>151</v>
      </c>
      <c r="B22" s="6">
        <v>410</v>
      </c>
      <c r="C22" s="95">
        <f>'DOE25'!F23</f>
        <v>35072.230000000003</v>
      </c>
      <c r="D22" s="95">
        <f>'DOE25'!G23</f>
        <v>668.93</v>
      </c>
      <c r="E22" s="95">
        <f>'DOE25'!H23</f>
        <v>163241.69</v>
      </c>
      <c r="F22" s="95">
        <f>'DOE25'!I23</f>
        <v>0</v>
      </c>
      <c r="G22" s="95">
        <f>'DOE25'!J23</f>
        <v>0</v>
      </c>
      <c r="H22" s="124"/>
      <c r="I22" s="124"/>
    </row>
    <row r="23" spans="1:9" x14ac:dyDescent="0.2">
      <c r="A23" s="1" t="s">
        <v>152</v>
      </c>
      <c r="B23" s="6">
        <v>420</v>
      </c>
      <c r="C23" s="95">
        <f>'DOE25'!F24</f>
        <v>105588.63</v>
      </c>
      <c r="D23" s="95">
        <f>'DOE25'!G24</f>
        <v>431.51</v>
      </c>
      <c r="E23" s="95">
        <f>'DOE25'!H24</f>
        <v>64359.97</v>
      </c>
      <c r="F23" s="95">
        <f>'DOE25'!I24</f>
        <v>39389.25</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41960.89</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47575.82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385461.06000000006</v>
      </c>
      <c r="D31" s="41">
        <f>SUM(D21:D30)</f>
        <v>-147464.4</v>
      </c>
      <c r="E31" s="41">
        <f>SUM(E21:E30)</f>
        <v>-47015.620000000024</v>
      </c>
      <c r="F31" s="41">
        <f>SUM(F21:F30)</f>
        <v>-6922.0299999999988</v>
      </c>
      <c r="G31" s="41">
        <f>SUM(G21:G30)</f>
        <v>153988.22</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23063.5</v>
      </c>
      <c r="E34" s="95">
        <f>'DOE25'!H35</f>
        <v>0</v>
      </c>
      <c r="F34" s="95">
        <f>'DOE25'!I35</f>
        <v>0</v>
      </c>
      <c r="G34" s="24" t="s">
        <v>288</v>
      </c>
      <c r="H34" s="124"/>
      <c r="I34" s="124"/>
    </row>
    <row r="35" spans="1:9" x14ac:dyDescent="0.2">
      <c r="A35" s="1" t="s">
        <v>850</v>
      </c>
      <c r="B35" s="6">
        <v>752</v>
      </c>
      <c r="C35" s="95">
        <f>'DOE25'!F36</f>
        <v>49784.639999999999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102227.07000000007</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165539.83000000002</v>
      </c>
      <c r="E42" s="95">
        <f>'DOE25'!H43</f>
        <v>0</v>
      </c>
      <c r="F42" s="95">
        <f>'DOE25'!I43</f>
        <v>0</v>
      </c>
      <c r="G42" s="95">
        <f>'DOE25'!J43</f>
        <v>0</v>
      </c>
      <c r="H42" s="124"/>
      <c r="I42" s="124"/>
    </row>
    <row r="43" spans="1:9" x14ac:dyDescent="0.2">
      <c r="A43" s="1" t="s">
        <v>863</v>
      </c>
      <c r="B43" s="6">
        <v>755</v>
      </c>
      <c r="C43" s="95">
        <f>'DOE25'!F44</f>
        <v>392000</v>
      </c>
      <c r="D43" s="95">
        <f>'DOE25'!G44</f>
        <v>0</v>
      </c>
      <c r="E43" s="95">
        <f>'DOE25'!H44</f>
        <v>0</v>
      </c>
      <c r="F43" s="95">
        <f>'DOE25'!I44</f>
        <v>0</v>
      </c>
      <c r="G43" s="24" t="s">
        <v>288</v>
      </c>
      <c r="H43" s="124"/>
      <c r="I43" s="124"/>
    </row>
    <row r="44" spans="1:9" x14ac:dyDescent="0.2">
      <c r="A44" s="1" t="s">
        <v>864</v>
      </c>
      <c r="B44" s="6">
        <v>753</v>
      </c>
      <c r="C44" s="95">
        <f>'DOE25'!F45</f>
        <v>226252.94</v>
      </c>
      <c r="D44" s="95">
        <f>'DOE25'!G45</f>
        <v>0</v>
      </c>
      <c r="E44" s="95">
        <f>'DOE25'!H45</f>
        <v>0</v>
      </c>
      <c r="F44" s="95">
        <f>'DOE25'!I45</f>
        <v>0</v>
      </c>
      <c r="G44" s="95">
        <f>'DOE25'!J45</f>
        <v>0</v>
      </c>
      <c r="H44" s="124"/>
      <c r="I44" s="124"/>
    </row>
    <row r="45" spans="1:9" x14ac:dyDescent="0.2">
      <c r="A45" s="1" t="s">
        <v>880</v>
      </c>
      <c r="B45" s="6"/>
      <c r="C45" s="95">
        <f>'DOE25'!F46</f>
        <v>189000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259953.75</v>
      </c>
      <c r="F47" s="95">
        <f>'DOE25'!I48</f>
        <v>0</v>
      </c>
      <c r="G47" s="95">
        <f>'DOE25'!J48</f>
        <v>320274.63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1125087.54</v>
      </c>
      <c r="D49" s="24" t="s">
        <v>288</v>
      </c>
      <c r="E49" s="24" t="s">
        <v>288</v>
      </c>
      <c r="F49" s="24" t="s">
        <v>288</v>
      </c>
      <c r="G49" s="24" t="s">
        <v>288</v>
      </c>
      <c r="H49" s="124"/>
      <c r="I49" s="124"/>
    </row>
    <row r="50" spans="1:9" ht="12.75" thickTop="1" thickBot="1" x14ac:dyDescent="0.25">
      <c r="A50" s="38" t="s">
        <v>884</v>
      </c>
      <c r="B50" s="48"/>
      <c r="C50" s="41">
        <f>SUM(C34:C49)</f>
        <v>1982125.12</v>
      </c>
      <c r="D50" s="41">
        <f>SUM(D34:D49)</f>
        <v>188603.33000000002</v>
      </c>
      <c r="E50" s="41">
        <f>SUM(E34:E49)</f>
        <v>259953.75</v>
      </c>
      <c r="F50" s="41">
        <f>SUM(F34:F49)</f>
        <v>102227.07000000007</v>
      </c>
      <c r="G50" s="41">
        <f>SUM(G34:G49)</f>
        <v>320274.63</v>
      </c>
      <c r="H50" s="124"/>
      <c r="I50" s="124"/>
    </row>
    <row r="51" spans="1:9" ht="12" thickTop="1" x14ac:dyDescent="0.2">
      <c r="A51" s="38" t="s">
        <v>885</v>
      </c>
      <c r="B51" s="2"/>
      <c r="C51" s="41">
        <f>C50+C31</f>
        <v>2367586.1800000002</v>
      </c>
      <c r="D51" s="41">
        <f>D50+D31</f>
        <v>41138.930000000022</v>
      </c>
      <c r="E51" s="41">
        <f>E50+E31</f>
        <v>212938.12999999998</v>
      </c>
      <c r="F51" s="41">
        <f>F50+F31</f>
        <v>95305.040000000066</v>
      </c>
      <c r="G51" s="41">
        <f>G50+G31</f>
        <v>474262.85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16834172</v>
      </c>
      <c r="D56" s="95">
        <f>'DOE25'!G60</f>
        <v>0</v>
      </c>
      <c r="E56" s="95">
        <f>'DOE25'!H60</f>
        <v>0</v>
      </c>
      <c r="F56" s="95">
        <f>'DOE25'!I60</f>
        <v>0</v>
      </c>
      <c r="G56" s="95">
        <f>'DOE25'!J60</f>
        <v>0</v>
      </c>
      <c r="H56"/>
      <c r="I56"/>
    </row>
    <row r="57" spans="1:9" x14ac:dyDescent="0.2">
      <c r="A57" s="1" t="s">
        <v>164</v>
      </c>
      <c r="B57" s="6" t="s">
        <v>165</v>
      </c>
      <c r="C57" s="95">
        <f>'DOE25'!F79</f>
        <v>24940.940000000002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10844.1</v>
      </c>
      <c r="D59" s="95">
        <f>'DOE25'!G96</f>
        <v>89.39</v>
      </c>
      <c r="E59" s="95">
        <f>'DOE25'!H96</f>
        <v>0</v>
      </c>
      <c r="F59" s="95">
        <f>'DOE25'!I96</f>
        <v>4178.18</v>
      </c>
      <c r="G59" s="95">
        <f>'DOE25'!J96</f>
        <v>5038.43</v>
      </c>
      <c r="H59"/>
      <c r="I59"/>
    </row>
    <row r="60" spans="1:9" x14ac:dyDescent="0.2">
      <c r="A60" s="1" t="s">
        <v>170</v>
      </c>
      <c r="B60" s="118" t="s">
        <v>171</v>
      </c>
      <c r="C60" s="24" t="s">
        <v>288</v>
      </c>
      <c r="D60" s="95">
        <f>'DOE25'!G97</f>
        <v>324062.70999999996</v>
      </c>
      <c r="E60" s="24" t="s">
        <v>288</v>
      </c>
      <c r="F60" s="24" t="s">
        <v>288</v>
      </c>
      <c r="G60" s="24" t="s">
        <v>288</v>
      </c>
      <c r="H60"/>
      <c r="I60"/>
    </row>
    <row r="61" spans="1:9" ht="12" thickBot="1" x14ac:dyDescent="0.25">
      <c r="A61" s="1" t="s">
        <v>172</v>
      </c>
      <c r="B61" s="118" t="s">
        <v>173</v>
      </c>
      <c r="C61" s="95">
        <f>SUM('DOE25'!F98:F110)</f>
        <v>96033.61</v>
      </c>
      <c r="D61" s="95">
        <f>SUM('DOE25'!G98:G110)</f>
        <v>0</v>
      </c>
      <c r="E61" s="95">
        <f>SUM('DOE25'!H98:H110)</f>
        <v>334751.17</v>
      </c>
      <c r="F61" s="95">
        <f>SUM('DOE25'!I98:I110)</f>
        <v>0</v>
      </c>
      <c r="G61" s="95">
        <f>SUM('DOE25'!J98:J110)</f>
        <v>0</v>
      </c>
      <c r="H61"/>
      <c r="I61"/>
    </row>
    <row r="62" spans="1:9" ht="12.75" thickTop="1" thickBot="1" x14ac:dyDescent="0.25">
      <c r="A62" s="29" t="s">
        <v>174</v>
      </c>
      <c r="B62" s="6"/>
      <c r="C62" s="130">
        <f>SUM(C57:C61)</f>
        <v>131818.65</v>
      </c>
      <c r="D62" s="130">
        <f>SUM(D57:D61)</f>
        <v>324152.09999999998</v>
      </c>
      <c r="E62" s="130">
        <f>SUM(E57:E61)</f>
        <v>334751.17</v>
      </c>
      <c r="F62" s="130">
        <f>SUM(F57:F61)</f>
        <v>4178.18</v>
      </c>
      <c r="G62" s="130">
        <f>SUM(G57:G61)</f>
        <v>5038.43</v>
      </c>
      <c r="H62"/>
      <c r="I62"/>
    </row>
    <row r="63" spans="1:9" ht="12" thickTop="1" x14ac:dyDescent="0.2">
      <c r="A63" s="29" t="s">
        <v>175</v>
      </c>
      <c r="B63" s="6"/>
      <c r="C63" s="22">
        <f>C56+C62</f>
        <v>16965990.649999999</v>
      </c>
      <c r="D63" s="22">
        <f>D56+D62</f>
        <v>324152.09999999998</v>
      </c>
      <c r="E63" s="22">
        <f>E56+E62</f>
        <v>334751.17</v>
      </c>
      <c r="F63" s="22">
        <f>F56+F62</f>
        <v>4178.18</v>
      </c>
      <c r="G63" s="22">
        <f>G56+G62</f>
        <v>5038.43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3313868.3</v>
      </c>
      <c r="D66" s="24" t="s">
        <v>288</v>
      </c>
      <c r="E66" s="24" t="s">
        <v>288</v>
      </c>
      <c r="F66" s="24" t="s">
        <v>288</v>
      </c>
      <c r="G66" s="24" t="s">
        <v>288</v>
      </c>
      <c r="H66"/>
      <c r="I66"/>
    </row>
    <row r="67" spans="1:9" x14ac:dyDescent="0.2">
      <c r="A67" s="1" t="s">
        <v>770</v>
      </c>
      <c r="B67" s="6">
        <v>3112</v>
      </c>
      <c r="C67" s="95">
        <f>'DOE25'!F118</f>
        <v>2078673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5392541.2999999998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191361.94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587201.59</v>
      </c>
      <c r="D75" s="24" t="s">
        <v>288</v>
      </c>
      <c r="E75" s="24" t="s">
        <v>288</v>
      </c>
      <c r="F75" s="24" t="s">
        <v>288</v>
      </c>
      <c r="G75" s="24" t="s">
        <v>288</v>
      </c>
      <c r="H75"/>
      <c r="I75"/>
    </row>
    <row r="76" spans="1:9" x14ac:dyDescent="0.2">
      <c r="A76" s="1" t="s">
        <v>257</v>
      </c>
      <c r="B76" s="6" t="s">
        <v>179</v>
      </c>
      <c r="C76" s="95">
        <f>SUM('DOE25'!F127:F130)</f>
        <v>5252.8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4254.8</v>
      </c>
      <c r="E77" s="95">
        <f>SUM('DOE25'!H131:H135)</f>
        <v>0</v>
      </c>
      <c r="F77" s="95">
        <f>SUM('DOE25'!I131:I135)</f>
        <v>0</v>
      </c>
      <c r="G77" s="95">
        <f>SUM('DOE25'!J131:J135)</f>
        <v>0</v>
      </c>
      <c r="H77"/>
      <c r="I77"/>
    </row>
    <row r="78" spans="1:9" ht="12.75" thickTop="1" thickBot="1" x14ac:dyDescent="0.25">
      <c r="A78" s="29" t="s">
        <v>259</v>
      </c>
      <c r="B78" s="6"/>
      <c r="C78" s="130">
        <f>SUM(C72:C77)</f>
        <v>783816.33000000007</v>
      </c>
      <c r="D78" s="130">
        <f>SUM(D72:D77)</f>
        <v>4254.8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6176357.6299999999</v>
      </c>
      <c r="D81" s="130">
        <f>SUM(D79:D80)+D78+D70</f>
        <v>4254.8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14327.26</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22849.45</v>
      </c>
      <c r="D88" s="341">
        <f>SUM('DOE25'!G153:G162)</f>
        <v>40676.020000000004</v>
      </c>
      <c r="E88" s="341">
        <f>SUM('DOE25'!H153:H162)</f>
        <v>294036.19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22849.45</v>
      </c>
      <c r="D91" s="131">
        <f>SUM(D85:D90)</f>
        <v>55003.280000000006</v>
      </c>
      <c r="E91" s="131">
        <f>SUM(E85:E90)</f>
        <v>294036.19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164036.19</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164036.19</v>
      </c>
    </row>
    <row r="104" spans="1:7" ht="12.75" thickTop="1" thickBot="1" x14ac:dyDescent="0.25">
      <c r="A104" s="33" t="s">
        <v>761</v>
      </c>
      <c r="C104" s="86">
        <f>C63+C81+C91+C103</f>
        <v>23165197.729999997</v>
      </c>
      <c r="D104" s="86">
        <f>D63+D81+D91+D103</f>
        <v>383410.18</v>
      </c>
      <c r="E104" s="86">
        <f>E63+E81+E91+E103</f>
        <v>628787.36</v>
      </c>
      <c r="F104" s="86">
        <f>F63+F81+F91+F103</f>
        <v>4178.18</v>
      </c>
      <c r="G104" s="86">
        <f>G63+G81+G103</f>
        <v>169074.62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8315752.5399999991</v>
      </c>
      <c r="D109" s="24" t="s">
        <v>288</v>
      </c>
      <c r="E109" s="95">
        <f>('DOE25'!L277)+('DOE25'!L296)+('DOE25'!L315)</f>
        <v>27108.880000000001</v>
      </c>
      <c r="F109" s="24" t="s">
        <v>288</v>
      </c>
      <c r="G109" s="24" t="s">
        <v>288</v>
      </c>
    </row>
    <row r="110" spans="1:7" x14ac:dyDescent="0.2">
      <c r="A110" t="s">
        <v>198</v>
      </c>
      <c r="B110" s="32" t="s">
        <v>199</v>
      </c>
      <c r="C110" s="95">
        <f>('DOE25'!L199)+('DOE25'!L217)+('DOE25'!L235)</f>
        <v>4284841.92</v>
      </c>
      <c r="D110" s="24" t="s">
        <v>288</v>
      </c>
      <c r="E110" s="95">
        <f>('DOE25'!L278)+('DOE25'!L297)+('DOE25'!L316)</f>
        <v>254707.32</v>
      </c>
      <c r="F110" s="24" t="s">
        <v>288</v>
      </c>
      <c r="G110" s="24" t="s">
        <v>288</v>
      </c>
    </row>
    <row r="111" spans="1:7" x14ac:dyDescent="0.2">
      <c r="A111" t="s">
        <v>200</v>
      </c>
      <c r="B111" s="32" t="s">
        <v>165</v>
      </c>
      <c r="C111" s="95">
        <f>('DOE25'!L200)+('DOE25'!L218)+('DOE25'!L236)</f>
        <v>31889.940000000002</v>
      </c>
      <c r="D111" s="24" t="s">
        <v>288</v>
      </c>
      <c r="E111" s="95">
        <f>('DOE25'!L279)+('DOE25'!L298)+('DOE25'!L317)</f>
        <v>0</v>
      </c>
      <c r="F111" s="24" t="s">
        <v>288</v>
      </c>
      <c r="G111" s="24" t="s">
        <v>288</v>
      </c>
    </row>
    <row r="112" spans="1:7" x14ac:dyDescent="0.2">
      <c r="A112" t="s">
        <v>201</v>
      </c>
      <c r="B112" s="32" t="s">
        <v>167</v>
      </c>
      <c r="C112" s="95">
        <f>('DOE25'!L201)+('DOE25'!L219)+('DOE25'!L237)</f>
        <v>818295.96000000008</v>
      </c>
      <c r="D112" s="24" t="s">
        <v>288</v>
      </c>
      <c r="E112" s="95">
        <f>+('DOE25'!L280)+('DOE25'!L299)+('DOE25'!L318)</f>
        <v>277093.83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13450780.359999999</v>
      </c>
      <c r="D115" s="86">
        <f>SUM(D109:D114)</f>
        <v>0</v>
      </c>
      <c r="E115" s="86">
        <f>SUM(E109:E114)</f>
        <v>558910.03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2215800.84</v>
      </c>
      <c r="D118" s="24" t="s">
        <v>288</v>
      </c>
      <c r="E118" s="95">
        <f>+('DOE25'!L282)+('DOE25'!L301)+('DOE25'!L320)</f>
        <v>5970</v>
      </c>
      <c r="F118" s="24" t="s">
        <v>288</v>
      </c>
      <c r="G118" s="24" t="s">
        <v>288</v>
      </c>
    </row>
    <row r="119" spans="1:7" x14ac:dyDescent="0.2">
      <c r="A119" t="s">
        <v>208</v>
      </c>
      <c r="B119" s="32" t="s">
        <v>209</v>
      </c>
      <c r="C119" s="95">
        <f>('DOE25'!L204)+('DOE25'!L222)+('DOE25'!L240)</f>
        <v>595279.44999999995</v>
      </c>
      <c r="D119" s="24" t="s">
        <v>288</v>
      </c>
      <c r="E119" s="95">
        <f>+('DOE25'!L283)+('DOE25'!L302)+('DOE25'!L321)</f>
        <v>3250</v>
      </c>
      <c r="F119" s="24" t="s">
        <v>288</v>
      </c>
      <c r="G119" s="24" t="s">
        <v>288</v>
      </c>
    </row>
    <row r="120" spans="1:7" x14ac:dyDescent="0.2">
      <c r="A120" t="s">
        <v>210</v>
      </c>
      <c r="B120" s="32" t="s">
        <v>211</v>
      </c>
      <c r="C120" s="95">
        <f>('DOE25'!L205)+('DOE25'!L223)+('DOE25'!L241)</f>
        <v>1012990.03</v>
      </c>
      <c r="D120" s="24" t="s">
        <v>288</v>
      </c>
      <c r="E120" s="95">
        <f>+('DOE25'!L284)+('DOE25'!L303)+('DOE25'!L322)</f>
        <v>0</v>
      </c>
      <c r="F120" s="24" t="s">
        <v>288</v>
      </c>
      <c r="G120" s="24" t="s">
        <v>288</v>
      </c>
    </row>
    <row r="121" spans="1:7" x14ac:dyDescent="0.2">
      <c r="A121" t="s">
        <v>212</v>
      </c>
      <c r="B121" s="32" t="s">
        <v>213</v>
      </c>
      <c r="C121" s="95">
        <f>('DOE25'!L206)+('DOE25'!L224)+('DOE25'!L242)</f>
        <v>1310099.3800000001</v>
      </c>
      <c r="D121" s="24" t="s">
        <v>288</v>
      </c>
      <c r="E121" s="95">
        <f>+('DOE25'!L285)+('DOE25'!L304)+('DOE25'!L323)</f>
        <v>0</v>
      </c>
      <c r="F121" s="24" t="s">
        <v>288</v>
      </c>
      <c r="G121" s="24" t="s">
        <v>288</v>
      </c>
    </row>
    <row r="122" spans="1:7" x14ac:dyDescent="0.2">
      <c r="A122" t="s">
        <v>214</v>
      </c>
      <c r="B122" s="32" t="s">
        <v>215</v>
      </c>
      <c r="C122" s="95">
        <f>('DOE25'!L207)+('DOE25'!L225)+('DOE25'!L243)</f>
        <v>2029.45</v>
      </c>
      <c r="D122" s="24" t="s">
        <v>288</v>
      </c>
      <c r="E122" s="95">
        <f>+('DOE25'!L286)+('DOE25'!L305)+('DOE25'!L324)</f>
        <v>0</v>
      </c>
      <c r="F122" s="24" t="s">
        <v>288</v>
      </c>
      <c r="G122" s="24" t="s">
        <v>288</v>
      </c>
    </row>
    <row r="123" spans="1:7" x14ac:dyDescent="0.2">
      <c r="A123" t="s">
        <v>216</v>
      </c>
      <c r="B123" s="32" t="s">
        <v>217</v>
      </c>
      <c r="C123" s="95">
        <f>('DOE25'!L208)+('DOE25'!L226)+('DOE25'!L244)</f>
        <v>1449049.46</v>
      </c>
      <c r="D123" s="24" t="s">
        <v>288</v>
      </c>
      <c r="E123" s="95">
        <f>+('DOE25'!L287)+('DOE25'!L306)+('DOE25'!L325)</f>
        <v>0</v>
      </c>
      <c r="F123" s="24" t="s">
        <v>288</v>
      </c>
      <c r="G123" s="24" t="s">
        <v>288</v>
      </c>
    </row>
    <row r="124" spans="1:7" x14ac:dyDescent="0.2">
      <c r="A124" t="s">
        <v>218</v>
      </c>
      <c r="B124" s="32" t="s">
        <v>219</v>
      </c>
      <c r="C124" s="95">
        <f>('DOE25'!L209)+('DOE25'!L227)+('DOE25'!L245+'DOE25'!L255)</f>
        <v>963013.96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337892.01</v>
      </c>
      <c r="E127" s="24" t="s">
        <v>288</v>
      </c>
      <c r="F127" s="24" t="s">
        <v>288</v>
      </c>
      <c r="G127" s="24" t="s">
        <v>288</v>
      </c>
    </row>
    <row r="128" spans="1:7" ht="12.75" thickTop="1" thickBot="1" x14ac:dyDescent="0.25">
      <c r="A128" s="33" t="s">
        <v>226</v>
      </c>
      <c r="C128" s="86">
        <f>SUM(C118:C127)</f>
        <v>7548262.5700000003</v>
      </c>
      <c r="D128" s="86">
        <f>SUM(D118:D127)</f>
        <v>337892.01</v>
      </c>
      <c r="E128" s="86">
        <f>SUM(E118:E127)</f>
        <v>9220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184719.15</v>
      </c>
      <c r="D130" s="24" t="s">
        <v>288</v>
      </c>
      <c r="E130" s="129">
        <f>'DOE25'!L337</f>
        <v>0</v>
      </c>
      <c r="F130" s="129">
        <f>SUM('DOE25'!L375:'DOE25'!L381)</f>
        <v>1491999.33</v>
      </c>
      <c r="G130" s="24" t="s">
        <v>288</v>
      </c>
    </row>
    <row r="131" spans="1:7" x14ac:dyDescent="0.2">
      <c r="A131" t="s">
        <v>229</v>
      </c>
      <c r="B131" s="32">
        <v>5110</v>
      </c>
      <c r="C131" s="95">
        <f>'DOE25'!L261</f>
        <v>637797.61</v>
      </c>
      <c r="D131" s="24" t="s">
        <v>288</v>
      </c>
      <c r="E131" s="129">
        <f>'DOE25'!L342</f>
        <v>0</v>
      </c>
      <c r="F131" s="24" t="s">
        <v>288</v>
      </c>
      <c r="G131" s="24" t="s">
        <v>288</v>
      </c>
    </row>
    <row r="132" spans="1:7" x14ac:dyDescent="0.2">
      <c r="A132" t="s">
        <v>230</v>
      </c>
      <c r="B132" s="32">
        <v>5120</v>
      </c>
      <c r="C132" s="95">
        <f>'DOE25'!L262</f>
        <v>176287.75999999998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3000</v>
      </c>
      <c r="F134" s="95">
        <f>'DOE25'!K382</f>
        <v>0</v>
      </c>
      <c r="G134" s="95">
        <f>'DOE25'!K435</f>
        <v>8479</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169074.62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-5038.429999999993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1162840.7100000002</v>
      </c>
      <c r="D144" s="141">
        <f>SUM(D130:D143)</f>
        <v>0</v>
      </c>
      <c r="E144" s="141">
        <f>SUM(E130:E143)</f>
        <v>3000</v>
      </c>
      <c r="F144" s="141">
        <f>SUM(F130:F143)</f>
        <v>1491999.33</v>
      </c>
      <c r="G144" s="141">
        <f>SUM(G130:G143)</f>
        <v>8479</v>
      </c>
    </row>
    <row r="145" spans="1:9" ht="12.75" thickTop="1" thickBot="1" x14ac:dyDescent="0.25">
      <c r="A145" s="33" t="s">
        <v>244</v>
      </c>
      <c r="C145" s="86">
        <f>(C115+C128+C144)</f>
        <v>22161883.640000001</v>
      </c>
      <c r="D145" s="86">
        <f>(D115+D128+D144)</f>
        <v>337892.01</v>
      </c>
      <c r="E145" s="86">
        <f>(E115+E128+E144)</f>
        <v>571130.03</v>
      </c>
      <c r="F145" s="86">
        <f>(F115+F128+F144)</f>
        <v>1491999.33</v>
      </c>
      <c r="G145" s="86">
        <f>(G115+G128+G144)</f>
        <v>8479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10</v>
      </c>
      <c r="D151" s="153">
        <f>'DOE25'!H491</f>
        <v>0</v>
      </c>
      <c r="E151" s="153">
        <f>'DOE25'!I491</f>
        <v>0</v>
      </c>
      <c r="F151" s="153">
        <f>'DOE25'!J491</f>
        <v>0</v>
      </c>
      <c r="G151" s="24" t="s">
        <v>288</v>
      </c>
    </row>
    <row r="152" spans="1:9" x14ac:dyDescent="0.2">
      <c r="A152" s="136" t="s">
        <v>28</v>
      </c>
      <c r="B152" s="152" t="str">
        <f>'DOE25'!F492</f>
        <v>08/04</v>
      </c>
      <c r="C152" s="152" t="str">
        <f>'DOE25'!G492</f>
        <v>7/2020</v>
      </c>
      <c r="D152" s="152">
        <f>'DOE25'!H492</f>
        <v>0</v>
      </c>
      <c r="E152" s="152">
        <f>'DOE25'!I492</f>
        <v>0</v>
      </c>
      <c r="F152" s="152">
        <f>'DOE25'!J492</f>
        <v>0</v>
      </c>
      <c r="G152" s="24" t="s">
        <v>288</v>
      </c>
    </row>
    <row r="153" spans="1:9" x14ac:dyDescent="0.2">
      <c r="A153" s="136" t="s">
        <v>29</v>
      </c>
      <c r="B153" s="152" t="str">
        <f>'DOE25'!F493</f>
        <v>08/24</v>
      </c>
      <c r="C153" s="152" t="str">
        <f>'DOE25'!G493</f>
        <v>8/2028</v>
      </c>
      <c r="D153" s="152">
        <f>'DOE25'!H493</f>
        <v>0</v>
      </c>
      <c r="E153" s="152">
        <f>'DOE25'!I493</f>
        <v>0</v>
      </c>
      <c r="F153" s="152">
        <f>'DOE25'!J493</f>
        <v>0</v>
      </c>
      <c r="G153" s="24" t="s">
        <v>288</v>
      </c>
    </row>
    <row r="154" spans="1:9" x14ac:dyDescent="0.2">
      <c r="A154" s="136" t="s">
        <v>30</v>
      </c>
      <c r="B154" s="137">
        <f>'DOE25'!F494</f>
        <v>7703400</v>
      </c>
      <c r="C154" s="137">
        <f>'DOE25'!G494</f>
        <v>1660000</v>
      </c>
      <c r="D154" s="137">
        <f>'DOE25'!H494</f>
        <v>0</v>
      </c>
      <c r="E154" s="137">
        <f>'DOE25'!I494</f>
        <v>0</v>
      </c>
      <c r="F154" s="137">
        <f>'DOE25'!J494</f>
        <v>0</v>
      </c>
      <c r="G154" s="24" t="s">
        <v>288</v>
      </c>
    </row>
    <row r="155" spans="1:9" x14ac:dyDescent="0.2">
      <c r="A155" s="136" t="s">
        <v>31</v>
      </c>
      <c r="B155" s="137">
        <f>'DOE25'!F495</f>
        <v>4.54</v>
      </c>
      <c r="C155" s="137">
        <f>'DOE25'!G495</f>
        <v>3.8</v>
      </c>
      <c r="D155" s="137">
        <f>'DOE25'!H495</f>
        <v>0</v>
      </c>
      <c r="E155" s="137">
        <f>'DOE25'!I495</f>
        <v>0</v>
      </c>
      <c r="F155" s="137">
        <f>'DOE25'!J495</f>
        <v>0</v>
      </c>
      <c r="G155" s="24" t="s">
        <v>288</v>
      </c>
    </row>
    <row r="156" spans="1:9" x14ac:dyDescent="0.2">
      <c r="A156" s="22" t="s">
        <v>32</v>
      </c>
      <c r="B156" s="137">
        <f>'DOE25'!F496</f>
        <v>3150000</v>
      </c>
      <c r="C156" s="137">
        <f>'DOE25'!G496</f>
        <v>1660000</v>
      </c>
      <c r="D156" s="137">
        <f>'DOE25'!H496</f>
        <v>0</v>
      </c>
      <c r="E156" s="137">
        <f>'DOE25'!I496</f>
        <v>0</v>
      </c>
      <c r="F156" s="137">
        <f>'DOE25'!J496</f>
        <v>0</v>
      </c>
      <c r="G156" s="138">
        <f>SUM(B156:F156)</f>
        <v>4810000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465000</v>
      </c>
      <c r="C158" s="137">
        <f>'DOE25'!G498</f>
        <v>158405.57999999999</v>
      </c>
      <c r="D158" s="137">
        <f>'DOE25'!H498</f>
        <v>0</v>
      </c>
      <c r="E158" s="137">
        <f>'DOE25'!I498</f>
        <v>0</v>
      </c>
      <c r="F158" s="137">
        <f>'DOE25'!J498</f>
        <v>0</v>
      </c>
      <c r="G158" s="138">
        <f t="shared" si="0"/>
        <v>623405.57999999996</v>
      </c>
    </row>
    <row r="159" spans="1:9" x14ac:dyDescent="0.2">
      <c r="A159" s="22" t="s">
        <v>35</v>
      </c>
      <c r="B159" s="137">
        <f>'DOE25'!F499</f>
        <v>2685000</v>
      </c>
      <c r="C159" s="137">
        <f>'DOE25'!G499</f>
        <v>1501594.42</v>
      </c>
      <c r="D159" s="137">
        <f>'DOE25'!H499</f>
        <v>0</v>
      </c>
      <c r="E159" s="137">
        <f>'DOE25'!I499</f>
        <v>0</v>
      </c>
      <c r="F159" s="137">
        <f>'DOE25'!J499</f>
        <v>0</v>
      </c>
      <c r="G159" s="138">
        <f t="shared" si="0"/>
        <v>4186594.42</v>
      </c>
    </row>
    <row r="160" spans="1:9" x14ac:dyDescent="0.2">
      <c r="A160" s="22" t="s">
        <v>36</v>
      </c>
      <c r="B160" s="137">
        <f>'DOE25'!F500</f>
        <v>295089.75</v>
      </c>
      <c r="C160" s="137">
        <f>'DOE25'!G500</f>
        <v>304112.81</v>
      </c>
      <c r="D160" s="137">
        <f>'DOE25'!H500</f>
        <v>0</v>
      </c>
      <c r="E160" s="137">
        <f>'DOE25'!I500</f>
        <v>0</v>
      </c>
      <c r="F160" s="137">
        <f>'DOE25'!J500</f>
        <v>0</v>
      </c>
      <c r="G160" s="138">
        <f t="shared" si="0"/>
        <v>599202.56000000006</v>
      </c>
    </row>
    <row r="161" spans="1:7" x14ac:dyDescent="0.2">
      <c r="A161" s="22" t="s">
        <v>37</v>
      </c>
      <c r="B161" s="137">
        <f>'DOE25'!F501</f>
        <v>2980089.75</v>
      </c>
      <c r="C161" s="137">
        <f>'DOE25'!G501</f>
        <v>1805707.23</v>
      </c>
      <c r="D161" s="137">
        <f>'DOE25'!H501</f>
        <v>0</v>
      </c>
      <c r="E161" s="137">
        <f>'DOE25'!I501</f>
        <v>0</v>
      </c>
      <c r="F161" s="137">
        <f>'DOE25'!J501</f>
        <v>0</v>
      </c>
      <c r="G161" s="138">
        <f t="shared" si="0"/>
        <v>4785796.9800000004</v>
      </c>
    </row>
    <row r="162" spans="1:7" x14ac:dyDescent="0.2">
      <c r="A162" s="22" t="s">
        <v>38</v>
      </c>
      <c r="B162" s="137">
        <f>'DOE25'!F502</f>
        <v>485000</v>
      </c>
      <c r="C162" s="137">
        <f>'DOE25'!G502</f>
        <v>142622.54</v>
      </c>
      <c r="D162" s="137">
        <f>'DOE25'!H502</f>
        <v>0</v>
      </c>
      <c r="E162" s="137">
        <f>'DOE25'!I502</f>
        <v>0</v>
      </c>
      <c r="F162" s="137">
        <f>'DOE25'!J502</f>
        <v>0</v>
      </c>
      <c r="G162" s="138">
        <f t="shared" si="0"/>
        <v>627622.54</v>
      </c>
    </row>
    <row r="163" spans="1:7" x14ac:dyDescent="0.2">
      <c r="A163" s="22" t="s">
        <v>39</v>
      </c>
      <c r="B163" s="137">
        <f>'DOE25'!F503</f>
        <v>109965.75</v>
      </c>
      <c r="C163" s="137">
        <f>'DOE25'!G503</f>
        <v>58011.6</v>
      </c>
      <c r="D163" s="137">
        <f>'DOE25'!H503</f>
        <v>0</v>
      </c>
      <c r="E163" s="137">
        <f>'DOE25'!I503</f>
        <v>0</v>
      </c>
      <c r="F163" s="137">
        <f>'DOE25'!J503</f>
        <v>0</v>
      </c>
      <c r="G163" s="138">
        <f t="shared" si="0"/>
        <v>167977.35</v>
      </c>
    </row>
    <row r="164" spans="1:7" x14ac:dyDescent="0.2">
      <c r="A164" s="22" t="s">
        <v>246</v>
      </c>
      <c r="B164" s="137">
        <f>'DOE25'!F504</f>
        <v>594965.75</v>
      </c>
      <c r="C164" s="137">
        <f>'DOE25'!G504</f>
        <v>200634.14</v>
      </c>
      <c r="D164" s="137">
        <f>'DOE25'!H504</f>
        <v>0</v>
      </c>
      <c r="E164" s="137">
        <f>'DOE25'!I504</f>
        <v>0</v>
      </c>
      <c r="F164" s="137">
        <f>'DOE25'!J504</f>
        <v>0</v>
      </c>
      <c r="G164" s="138">
        <f t="shared" si="0"/>
        <v>795599.89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Hollis Brookline Cooperative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18301</v>
      </c>
    </row>
    <row r="6" spans="1:4" x14ac:dyDescent="0.2">
      <c r="B6" t="s">
        <v>62</v>
      </c>
      <c r="C6" s="179">
        <f>IF('DOE25'!H666+'DOE25'!H671=0,0,ROUND('DOE25'!H673,0))</f>
        <v>14866</v>
      </c>
    </row>
    <row r="7" spans="1:4" x14ac:dyDescent="0.2">
      <c r="B7" t="s">
        <v>701</v>
      </c>
      <c r="C7" s="179">
        <f>IF('DOE25'!I666+'DOE25'!I671=0,0,ROUND('DOE25'!I673,0))</f>
        <v>15932</v>
      </c>
    </row>
    <row r="9" spans="1:4" x14ac:dyDescent="0.2">
      <c r="A9" s="187" t="s">
        <v>94</v>
      </c>
      <c r="B9" s="188" t="s">
        <v>1588</v>
      </c>
      <c r="C9" s="181" t="s">
        <v>720</v>
      </c>
      <c r="D9" s="181" t="s">
        <v>721</v>
      </c>
    </row>
    <row r="10" spans="1:4" x14ac:dyDescent="0.2">
      <c r="A10">
        <v>1100</v>
      </c>
      <c r="B10" t="s">
        <v>702</v>
      </c>
      <c r="C10" s="179">
        <f>ROUND('DOE25'!L198+'DOE25'!L216+'DOE25'!L234+'DOE25'!L277+'DOE25'!L296+'DOE25'!L315,0)</f>
        <v>8342861</v>
      </c>
      <c r="D10" s="182">
        <f>ROUND((C10/$C$28)*100,1)</f>
        <v>38.299999999999997</v>
      </c>
    </row>
    <row r="11" spans="1:4" x14ac:dyDescent="0.2">
      <c r="A11">
        <v>1200</v>
      </c>
      <c r="B11" t="s">
        <v>703</v>
      </c>
      <c r="C11" s="179">
        <f>ROUND('DOE25'!L199+'DOE25'!L217+'DOE25'!L235+'DOE25'!L278+'DOE25'!L297+'DOE25'!L316,0)</f>
        <v>4539549</v>
      </c>
      <c r="D11" s="182">
        <f>ROUND((C11/$C$28)*100,1)</f>
        <v>20.9</v>
      </c>
    </row>
    <row r="12" spans="1:4" x14ac:dyDescent="0.2">
      <c r="A12">
        <v>1300</v>
      </c>
      <c r="B12" t="s">
        <v>704</v>
      </c>
      <c r="C12" s="179">
        <f>ROUND('DOE25'!L200+'DOE25'!L218+'DOE25'!L236+'DOE25'!L279+'DOE25'!L298+'DOE25'!L317,0)</f>
        <v>31890</v>
      </c>
      <c r="D12" s="182">
        <f>ROUND((C12/$C$28)*100,1)</f>
        <v>0.1</v>
      </c>
    </row>
    <row r="13" spans="1:4" x14ac:dyDescent="0.2">
      <c r="A13">
        <v>1400</v>
      </c>
      <c r="B13" t="s">
        <v>705</v>
      </c>
      <c r="C13" s="179">
        <f>ROUND('DOE25'!L201+'DOE25'!L219+'DOE25'!L237+'DOE25'!L280+'DOE25'!L299+'DOE25'!L318,0)</f>
        <v>1095390</v>
      </c>
      <c r="D13" s="182">
        <f>ROUND((C13/$C$28)*100,1)</f>
        <v>5</v>
      </c>
    </row>
    <row r="14" spans="1:4" x14ac:dyDescent="0.2">
      <c r="D14" s="182"/>
    </row>
    <row r="15" spans="1:4" x14ac:dyDescent="0.2">
      <c r="A15">
        <v>2100</v>
      </c>
      <c r="B15" t="s">
        <v>706</v>
      </c>
      <c r="C15" s="179">
        <f>ROUND('DOE25'!L203+'DOE25'!L221+'DOE25'!L239+'DOE25'!L282+'DOE25'!L301+'DOE25'!L320,0)</f>
        <v>2221771</v>
      </c>
      <c r="D15" s="182">
        <f t="shared" ref="D15:D27" si="0">ROUND((C15/$C$28)*100,1)</f>
        <v>10.199999999999999</v>
      </c>
    </row>
    <row r="16" spans="1:4" x14ac:dyDescent="0.2">
      <c r="A16">
        <v>2200</v>
      </c>
      <c r="B16" t="s">
        <v>707</v>
      </c>
      <c r="C16" s="179">
        <f>ROUND('DOE25'!L204+'DOE25'!L222+'DOE25'!L240+'DOE25'!L283+'DOE25'!L302+'DOE25'!L321,0)</f>
        <v>598529</v>
      </c>
      <c r="D16" s="182">
        <f t="shared" si="0"/>
        <v>2.8</v>
      </c>
    </row>
    <row r="17" spans="1:4" x14ac:dyDescent="0.2">
      <c r="A17" s="183" t="s">
        <v>723</v>
      </c>
      <c r="B17" t="s">
        <v>738</v>
      </c>
      <c r="C17" s="179">
        <f>ROUND('DOE25'!L205+'DOE25'!L210+'DOE25'!L223+'DOE25'!L228+'DOE25'!L241+'DOE25'!L246+'DOE25'!L284+'DOE25'!L289+'DOE25'!L303+'DOE25'!L308+'DOE25'!L322+'DOE25'!L327,0)</f>
        <v>1012990</v>
      </c>
      <c r="D17" s="182">
        <f t="shared" si="0"/>
        <v>4.7</v>
      </c>
    </row>
    <row r="18" spans="1:4" x14ac:dyDescent="0.2">
      <c r="A18">
        <v>2400</v>
      </c>
      <c r="B18" t="s">
        <v>711</v>
      </c>
      <c r="C18" s="179">
        <f>ROUND('DOE25'!L206+'DOE25'!L224+'DOE25'!L242+'DOE25'!L285+'DOE25'!L304+'DOE25'!L323,0)</f>
        <v>1310099</v>
      </c>
      <c r="D18" s="182">
        <f t="shared" si="0"/>
        <v>6</v>
      </c>
    </row>
    <row r="19" spans="1:4" x14ac:dyDescent="0.2">
      <c r="A19">
        <v>2500</v>
      </c>
      <c r="B19" t="s">
        <v>708</v>
      </c>
      <c r="C19" s="179">
        <f>ROUND('DOE25'!L207+'DOE25'!L225+'DOE25'!L243+'DOE25'!L286+'DOE25'!L305+'DOE25'!L324,0)</f>
        <v>2029</v>
      </c>
      <c r="D19" s="182">
        <f t="shared" si="0"/>
        <v>0</v>
      </c>
    </row>
    <row r="20" spans="1:4" x14ac:dyDescent="0.2">
      <c r="A20">
        <v>2600</v>
      </c>
      <c r="B20" t="s">
        <v>709</v>
      </c>
      <c r="C20" s="179">
        <f>ROUND('DOE25'!L208+'DOE25'!L226+'DOE25'!L244+'DOE25'!L287+'DOE25'!L306+'DOE25'!L325,0)</f>
        <v>1449049</v>
      </c>
      <c r="D20" s="182">
        <f t="shared" si="0"/>
        <v>6.7</v>
      </c>
    </row>
    <row r="21" spans="1:4" x14ac:dyDescent="0.2">
      <c r="A21">
        <v>2700</v>
      </c>
      <c r="B21" t="s">
        <v>710</v>
      </c>
      <c r="C21" s="179">
        <f>ROUND('DOE25'!L209+'DOE25'!L227+'DOE25'!L245+'DOE25'!L288+'DOE25'!L307+'DOE25'!L326,0)</f>
        <v>963014</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176288</v>
      </c>
      <c r="D25" s="182">
        <f t="shared" si="0"/>
        <v>0.8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13829.290000000037</v>
      </c>
      <c r="D27" s="182">
        <f t="shared" si="0"/>
        <v>0.1</v>
      </c>
    </row>
    <row r="28" spans="1:4" x14ac:dyDescent="0.2">
      <c r="B28" s="187" t="s">
        <v>719</v>
      </c>
      <c r="C28" s="180">
        <f>SUM(C10:C27)</f>
        <v>21757288.289999999</v>
      </c>
      <c r="D28" s="184">
        <f>ROUND(SUM(D10:D27),0)</f>
        <v>100</v>
      </c>
    </row>
    <row r="29" spans="1:4" x14ac:dyDescent="0.2">
      <c r="A29">
        <v>4000</v>
      </c>
      <c r="B29" t="s">
        <v>724</v>
      </c>
      <c r="C29" s="179">
        <f>ROUND('DOE25'!L256+'DOE25'!L337+'DOE25'!L375+'DOE25'!L376+'DOE25'!L377+'DOE25'!L378+'DOE25'!L379+'DOE25'!L380+'DOE25'!L381,0)</f>
        <v>1676718</v>
      </c>
    </row>
    <row r="30" spans="1:4" x14ac:dyDescent="0.2">
      <c r="B30" s="187" t="s">
        <v>725</v>
      </c>
      <c r="C30" s="180">
        <f>SUM(C28:C29)</f>
        <v>23434006.289999999</v>
      </c>
    </row>
    <row r="31" spans="1:4" x14ac:dyDescent="0.2">
      <c r="B31" s="33"/>
      <c r="C31" s="180"/>
    </row>
    <row r="32" spans="1:4" x14ac:dyDescent="0.2">
      <c r="A32">
        <v>5100</v>
      </c>
      <c r="B32" s="33" t="s">
        <v>726</v>
      </c>
      <c r="C32" s="180">
        <f>ROUND('DOE25'!L261+'DOE25'!L342,0)</f>
        <v>637798</v>
      </c>
    </row>
    <row r="34" spans="1:4" x14ac:dyDescent="0.2">
      <c r="A34" s="187" t="s">
        <v>94</v>
      </c>
      <c r="B34" s="188" t="s">
        <v>1589</v>
      </c>
      <c r="C34" s="181" t="s">
        <v>720</v>
      </c>
      <c r="D34" s="181" t="s">
        <v>721</v>
      </c>
    </row>
    <row r="35" spans="1:4" x14ac:dyDescent="0.2">
      <c r="A35">
        <v>1100</v>
      </c>
      <c r="B35" s="185" t="s">
        <v>727</v>
      </c>
      <c r="C35" s="179">
        <f>ROUND('DOE25'!F60+'DOE25'!G60+'DOE25'!H60+'DOE25'!I60+'DOE25'!J60,0)</f>
        <v>16834172</v>
      </c>
      <c r="D35" s="182">
        <f t="shared" ref="D35:D40" si="1">ROUND((C35/$C$41)*100,1)</f>
        <v>70.5</v>
      </c>
    </row>
    <row r="36" spans="1:4" x14ac:dyDescent="0.2">
      <c r="B36" s="185" t="s">
        <v>739</v>
      </c>
      <c r="C36" s="179">
        <f>SUM('DOE25'!F112:J112)-SUM('DOE25'!G97:G110)+('DOE25'!F175+'DOE25'!F176+'DOE25'!I175+'DOE25'!I176)-C35</f>
        <v>475875.82000000402</v>
      </c>
      <c r="D36" s="182">
        <f t="shared" si="1"/>
        <v>2</v>
      </c>
    </row>
    <row r="37" spans="1:4" x14ac:dyDescent="0.2">
      <c r="A37" s="183" t="s">
        <v>835</v>
      </c>
      <c r="B37" s="185" t="s">
        <v>728</v>
      </c>
      <c r="C37" s="179">
        <f>ROUND('DOE25'!F117+'DOE25'!F118,0)</f>
        <v>5392541</v>
      </c>
      <c r="D37" s="182">
        <f t="shared" si="1"/>
        <v>22.6</v>
      </c>
    </row>
    <row r="38" spans="1:4" x14ac:dyDescent="0.2">
      <c r="A38" s="183" t="s">
        <v>734</v>
      </c>
      <c r="B38" s="185" t="s">
        <v>729</v>
      </c>
      <c r="C38" s="179">
        <f>ROUND(SUM('DOE25'!F140:J140)-SUM('DOE25'!F117:F119),0)</f>
        <v>788071</v>
      </c>
      <c r="D38" s="182">
        <f t="shared" si="1"/>
        <v>3.3</v>
      </c>
    </row>
    <row r="39" spans="1:4" x14ac:dyDescent="0.2">
      <c r="A39">
        <v>4000</v>
      </c>
      <c r="B39" s="185" t="s">
        <v>730</v>
      </c>
      <c r="C39" s="179">
        <f>ROUND('DOE25'!F170+'DOE25'!G170+'DOE25'!H170+'DOE25'!I170,0)</f>
        <v>371889</v>
      </c>
      <c r="D39" s="182">
        <f t="shared" si="1"/>
        <v>1.6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23862548.820000004</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Hollis Brookline Cooperative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2020-10-15T17:17:18Z</cp:lastPrinted>
  <dcterms:created xsi:type="dcterms:W3CDTF">1997-12-04T19:04:30Z</dcterms:created>
  <dcterms:modified xsi:type="dcterms:W3CDTF">2020-12-11T15:10:39Z</dcterms:modified>
</cp:coreProperties>
</file>