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120" yWindow="-120" windowWidth="29040" windowHeight="1584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666" i="1" l="1"/>
  <c r="C12" i="12" l="1"/>
  <c r="D5" i="14"/>
  <c r="H379" i="1" l="1"/>
  <c r="F5" i="13" l="1"/>
  <c r="G499" i="1" l="1"/>
  <c r="B22" i="12"/>
  <c r="R4" i="15"/>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c r="B7" i="14"/>
  <c r="C7" i="14"/>
  <c r="B8" i="14"/>
  <c r="C8" i="14"/>
  <c r="B9" i="14"/>
  <c r="C9" i="14"/>
  <c r="B10" i="14"/>
  <c r="C10" i="14"/>
  <c r="B11" i="14"/>
  <c r="C11" i="14"/>
  <c r="B12" i="14"/>
  <c r="C12" i="14"/>
  <c r="B13" i="14"/>
  <c r="C13" i="14"/>
  <c r="B14" i="14"/>
  <c r="C14" i="14"/>
  <c r="B15" i="14"/>
  <c r="C15" i="14"/>
  <c r="B16" i="14"/>
  <c r="C16" i="14"/>
  <c r="B17" i="14"/>
  <c r="C17" i="14"/>
  <c r="B18" i="14"/>
  <c r="C18" i="14"/>
  <c r="B19" i="14"/>
  <c r="C19" i="14"/>
  <c r="B20" i="14"/>
  <c r="C20" i="14"/>
  <c r="B5" i="14"/>
  <c r="C5" i="14"/>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c r="E88" i="2"/>
  <c r="E91" i="2" s="1"/>
  <c r="E104" i="2" s="1"/>
  <c r="D88" i="2"/>
  <c r="C88" i="2"/>
  <c r="I163" i="1"/>
  <c r="H163" i="1"/>
  <c r="H170" i="1" s="1"/>
  <c r="G163" i="1"/>
  <c r="F163" i="1"/>
  <c r="B31" i="16"/>
  <c r="B27" i="16"/>
  <c r="B9" i="16"/>
  <c r="B5" i="16"/>
  <c r="L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c r="B38" i="14"/>
  <c r="C38" i="14" a="1"/>
  <c r="C38" i="14"/>
  <c r="B39" i="14"/>
  <c r="C39" i="14" a="1"/>
  <c r="C39" i="14"/>
  <c r="B40" i="14"/>
  <c r="C40" i="14" a="1"/>
  <c r="C40" i="14"/>
  <c r="B41" i="14"/>
  <c r="C41" i="14" a="1"/>
  <c r="C41" i="14"/>
  <c r="B42" i="14"/>
  <c r="C42" i="14" a="1"/>
  <c r="C42" i="14"/>
  <c r="B37" i="14"/>
  <c r="C37" i="14" a="1"/>
  <c r="C37" i="14"/>
  <c r="F38" i="14"/>
  <c r="F39" i="14"/>
  <c r="F40" i="14"/>
  <c r="F41" i="14"/>
  <c r="F37" i="14"/>
  <c r="F36" i="14" s="1"/>
  <c r="F26" i="14"/>
  <c r="F27" i="14"/>
  <c r="F28" i="14"/>
  <c r="F29" i="14"/>
  <c r="F30" i="14"/>
  <c r="F31" i="14"/>
  <c r="F32" i="14"/>
  <c r="F6" i="14"/>
  <c r="F7" i="14"/>
  <c r="F8" i="14"/>
  <c r="F9" i="14"/>
  <c r="F10" i="14"/>
  <c r="F11" i="14"/>
  <c r="F12" i="14"/>
  <c r="F13" i="14"/>
  <c r="F14" i="14"/>
  <c r="F15" i="14"/>
  <c r="F16" i="14"/>
  <c r="F17" i="14"/>
  <c r="F18" i="14"/>
  <c r="F19" i="14"/>
  <c r="F20" i="14"/>
  <c r="F25" i="14"/>
  <c r="F24" i="14" s="1"/>
  <c r="B26" i="14"/>
  <c r="C26" i="14" a="1"/>
  <c r="C26" i="14"/>
  <c r="B27" i="14"/>
  <c r="C27" i="14" a="1"/>
  <c r="C27" i="14"/>
  <c r="B28" i="14"/>
  <c r="C28" i="14" a="1"/>
  <c r="C28" i="14"/>
  <c r="B29" i="14"/>
  <c r="C29" i="14" a="1"/>
  <c r="C29" i="14"/>
  <c r="B30" i="14"/>
  <c r="C30" i="14" a="1"/>
  <c r="C30" i="14"/>
  <c r="B31" i="14"/>
  <c r="C31" i="14" a="1"/>
  <c r="C31" i="14"/>
  <c r="B32" i="14"/>
  <c r="C32" i="14" a="1"/>
  <c r="C32" i="14"/>
  <c r="B25" i="14"/>
  <c r="C25" i="14" a="1"/>
  <c r="C25" i="14"/>
  <c r="F5" i="14"/>
  <c r="F4" i="14" s="1"/>
  <c r="B2" i="14"/>
  <c r="A2" i="14"/>
  <c r="F33" i="13"/>
  <c r="C45" i="2"/>
  <c r="G51" i="1"/>
  <c r="G624" i="1" s="1"/>
  <c r="F51" i="1"/>
  <c r="C37" i="10"/>
  <c r="F40" i="2"/>
  <c r="D39" i="2"/>
  <c r="G656" i="1"/>
  <c r="F48" i="2"/>
  <c r="E48" i="2"/>
  <c r="D48" i="2"/>
  <c r="C48" i="2"/>
  <c r="F47" i="2"/>
  <c r="E47" i="2"/>
  <c r="E50" i="2" s="1"/>
  <c r="D47" i="2"/>
  <c r="D50" i="2" s="1"/>
  <c r="C47" i="2"/>
  <c r="F44" i="2"/>
  <c r="E44" i="2"/>
  <c r="D44" i="2"/>
  <c r="C44" i="2"/>
  <c r="F43" i="2"/>
  <c r="E43" i="2"/>
  <c r="D43" i="2"/>
  <c r="C43" i="2"/>
  <c r="F42" i="2"/>
  <c r="E42" i="2"/>
  <c r="D42" i="2"/>
  <c r="C42" i="2"/>
  <c r="F38" i="2"/>
  <c r="E38" i="2"/>
  <c r="D38" i="2"/>
  <c r="C38" i="2"/>
  <c r="F36" i="2"/>
  <c r="E36" i="2"/>
  <c r="D36" i="2"/>
  <c r="C36" i="2"/>
  <c r="I456" i="1"/>
  <c r="J45" i="1"/>
  <c r="G44" i="2"/>
  <c r="I459" i="1"/>
  <c r="J39" i="1"/>
  <c r="G38" i="2"/>
  <c r="C68" i="2"/>
  <c r="B2" i="13"/>
  <c r="G8" i="13"/>
  <c r="H8" i="13"/>
  <c r="L205" i="1"/>
  <c r="L223" i="1"/>
  <c r="L241" i="1"/>
  <c r="D39" i="13"/>
  <c r="G13" i="13"/>
  <c r="H13" i="13"/>
  <c r="L207" i="1"/>
  <c r="L225" i="1"/>
  <c r="L243" i="1"/>
  <c r="G16" i="13"/>
  <c r="H16" i="13"/>
  <c r="L210" i="1"/>
  <c r="L228" i="1"/>
  <c r="L246" i="1"/>
  <c r="C125" i="2"/>
  <c r="G5" i="13"/>
  <c r="H5" i="13"/>
  <c r="L198" i="1"/>
  <c r="L199" i="1"/>
  <c r="L200" i="1"/>
  <c r="L201" i="1"/>
  <c r="L216" i="1"/>
  <c r="C10" i="10" s="1"/>
  <c r="L217" i="1"/>
  <c r="L218" i="1"/>
  <c r="L219" i="1"/>
  <c r="L234" i="1"/>
  <c r="L235" i="1"/>
  <c r="C110" i="2" s="1"/>
  <c r="L236" i="1"/>
  <c r="L237" i="1"/>
  <c r="G6" i="13"/>
  <c r="H6" i="13"/>
  <c r="L203" i="1"/>
  <c r="D6" i="13"/>
  <c r="C6" i="13"/>
  <c r="L221" i="1"/>
  <c r="L239" i="1"/>
  <c r="G7" i="13"/>
  <c r="H7" i="13"/>
  <c r="L204" i="1"/>
  <c r="L222" i="1"/>
  <c r="L240" i="1"/>
  <c r="G12" i="13"/>
  <c r="H12" i="13"/>
  <c r="L206" i="1"/>
  <c r="L224" i="1"/>
  <c r="L242" i="1"/>
  <c r="C121" i="2"/>
  <c r="G14" i="13"/>
  <c r="H14" i="13"/>
  <c r="L208" i="1"/>
  <c r="L226" i="1"/>
  <c r="L244" i="1"/>
  <c r="G15" i="13"/>
  <c r="H15" i="13"/>
  <c r="L209" i="1"/>
  <c r="D15" i="13"/>
  <c r="C15" i="13" s="1"/>
  <c r="L227" i="1"/>
  <c r="L245" i="1"/>
  <c r="G17" i="13"/>
  <c r="H17" i="13"/>
  <c r="L252" i="1"/>
  <c r="G18" i="13"/>
  <c r="H18" i="13"/>
  <c r="L253" i="1"/>
  <c r="D18" i="13"/>
  <c r="C18" i="13"/>
  <c r="G19" i="13"/>
  <c r="H19" i="13"/>
  <c r="L254" i="1"/>
  <c r="G29" i="13"/>
  <c r="H29" i="13"/>
  <c r="L359" i="1"/>
  <c r="L360" i="1"/>
  <c r="L361" i="1"/>
  <c r="I368" i="1"/>
  <c r="J291" i="1"/>
  <c r="J339" i="1" s="1"/>
  <c r="J310" i="1"/>
  <c r="J329" i="1"/>
  <c r="K291" i="1"/>
  <c r="K310" i="1"/>
  <c r="K329" i="1"/>
  <c r="H31" i="13" s="1"/>
  <c r="H33" i="13" s="1"/>
  <c r="L277" i="1"/>
  <c r="L278" i="1"/>
  <c r="L279" i="1"/>
  <c r="L280" i="1"/>
  <c r="E112" i="2" s="1"/>
  <c r="L282" i="1"/>
  <c r="L283" i="1"/>
  <c r="L284" i="1"/>
  <c r="L285" i="1"/>
  <c r="L286" i="1"/>
  <c r="L287" i="1"/>
  <c r="L288" i="1"/>
  <c r="F663" i="1" s="1"/>
  <c r="L289" i="1"/>
  <c r="L296" i="1"/>
  <c r="L297" i="1"/>
  <c r="L298" i="1"/>
  <c r="L299" i="1"/>
  <c r="L301" i="1"/>
  <c r="L302" i="1"/>
  <c r="L303" i="1"/>
  <c r="L304" i="1"/>
  <c r="L305" i="1"/>
  <c r="L306" i="1"/>
  <c r="L307" i="1"/>
  <c r="L308" i="1"/>
  <c r="L315" i="1"/>
  <c r="L316" i="1"/>
  <c r="L317" i="1"/>
  <c r="E111" i="2" s="1"/>
  <c r="L318" i="1"/>
  <c r="L320" i="1"/>
  <c r="L321" i="1"/>
  <c r="L322" i="1"/>
  <c r="L323" i="1"/>
  <c r="L324" i="1"/>
  <c r="L325" i="1"/>
  <c r="L326" i="1"/>
  <c r="E124" i="2" s="1"/>
  <c r="H663" i="1"/>
  <c r="L327" i="1"/>
  <c r="L334" i="1"/>
  <c r="L335" i="1"/>
  <c r="L336" i="1"/>
  <c r="E114" i="2"/>
  <c r="L261" i="1"/>
  <c r="L262" i="1"/>
  <c r="C132" i="2"/>
  <c r="L342" i="1"/>
  <c r="L343" i="1"/>
  <c r="L256" i="1"/>
  <c r="L337" i="1"/>
  <c r="E130" i="2"/>
  <c r="C11" i="13"/>
  <c r="C10" i="13"/>
  <c r="C9" i="13"/>
  <c r="L362" i="1"/>
  <c r="B4" i="12"/>
  <c r="B36" i="12"/>
  <c r="A40" i="12" s="1"/>
  <c r="C36" i="12"/>
  <c r="B40" i="12"/>
  <c r="C40" i="12"/>
  <c r="B27" i="12"/>
  <c r="C27" i="12"/>
  <c r="B31" i="12"/>
  <c r="C31" i="12"/>
  <c r="B9" i="12"/>
  <c r="B13" i="12"/>
  <c r="C9" i="12"/>
  <c r="C13" i="12"/>
  <c r="B18" i="12"/>
  <c r="C18" i="12"/>
  <c r="C22" i="12"/>
  <c r="B1" i="12"/>
  <c r="L388" i="1"/>
  <c r="L389" i="1"/>
  <c r="L390" i="1"/>
  <c r="L391" i="1"/>
  <c r="L392" i="1"/>
  <c r="L393" i="1"/>
  <c r="L394" i="1" s="1"/>
  <c r="L396" i="1"/>
  <c r="L397" i="1"/>
  <c r="L398" i="1"/>
  <c r="L399" i="1"/>
  <c r="L400" i="1"/>
  <c r="L401" i="1"/>
  <c r="L404" i="1"/>
  <c r="L405" i="1"/>
  <c r="L406" i="1"/>
  <c r="L407" i="1"/>
  <c r="L267" i="1"/>
  <c r="J60" i="1"/>
  <c r="G56" i="2"/>
  <c r="G59" i="2"/>
  <c r="G61" i="2"/>
  <c r="F2" i="11"/>
  <c r="L614" i="1"/>
  <c r="H664" i="1"/>
  <c r="L613" i="1"/>
  <c r="G664" i="1"/>
  <c r="L612" i="1"/>
  <c r="F664" i="1"/>
  <c r="C40" i="10"/>
  <c r="F60" i="1"/>
  <c r="G60" i="1"/>
  <c r="H60" i="1"/>
  <c r="I60" i="1"/>
  <c r="F79" i="1"/>
  <c r="C57" i="2"/>
  <c r="F94" i="1"/>
  <c r="F111" i="1"/>
  <c r="G111" i="1"/>
  <c r="G112" i="1" s="1"/>
  <c r="H79" i="1"/>
  <c r="H94" i="1"/>
  <c r="H111" i="1"/>
  <c r="I111" i="1"/>
  <c r="I112" i="1"/>
  <c r="J111" i="1"/>
  <c r="J112" i="1" s="1"/>
  <c r="J194" i="1" s="1"/>
  <c r="F121" i="1"/>
  <c r="F136" i="1"/>
  <c r="G121" i="1"/>
  <c r="G136" i="1"/>
  <c r="H121" i="1"/>
  <c r="H136" i="1"/>
  <c r="I121" i="1"/>
  <c r="I136" i="1"/>
  <c r="J121" i="1"/>
  <c r="J136" i="1"/>
  <c r="F147" i="1"/>
  <c r="F170" i="1"/>
  <c r="G147" i="1"/>
  <c r="H147" i="1"/>
  <c r="I147" i="1"/>
  <c r="C11" i="10"/>
  <c r="L251" i="1"/>
  <c r="C113" i="2"/>
  <c r="L333" i="1"/>
  <c r="E113" i="2"/>
  <c r="L255" i="1"/>
  <c r="L269" i="1"/>
  <c r="L270" i="1"/>
  <c r="L350" i="1"/>
  <c r="E142" i="2"/>
  <c r="L351" i="1"/>
  <c r="E143" i="2"/>
  <c r="I666" i="1"/>
  <c r="I671" i="1"/>
  <c r="G663" i="1"/>
  <c r="I670" i="1"/>
  <c r="C42" i="10"/>
  <c r="C32" i="10"/>
  <c r="L375" i="1"/>
  <c r="L376" i="1"/>
  <c r="L377" i="1"/>
  <c r="L378" i="1"/>
  <c r="L379" i="1"/>
  <c r="L380" i="1"/>
  <c r="L381" i="1"/>
  <c r="B2" i="10"/>
  <c r="L345" i="1"/>
  <c r="L346" i="1"/>
  <c r="E135" i="2"/>
  <c r="L347" i="1"/>
  <c r="L348" i="1"/>
  <c r="K352" i="1"/>
  <c r="L522" i="1"/>
  <c r="F550" i="1"/>
  <c r="L523" i="1"/>
  <c r="F551" i="1"/>
  <c r="L524" i="1"/>
  <c r="F552" i="1"/>
  <c r="L527" i="1"/>
  <c r="G550" i="1"/>
  <c r="L528" i="1"/>
  <c r="G551" i="1"/>
  <c r="L529" i="1"/>
  <c r="G552" i="1"/>
  <c r="L532" i="1"/>
  <c r="H550" i="1"/>
  <c r="L533" i="1"/>
  <c r="H551" i="1"/>
  <c r="L534" i="1"/>
  <c r="H552" i="1"/>
  <c r="L537" i="1"/>
  <c r="I550" i="1"/>
  <c r="L538" i="1"/>
  <c r="I551" i="1"/>
  <c r="L539" i="1"/>
  <c r="I552" i="1"/>
  <c r="L542" i="1"/>
  <c r="J550" i="1"/>
  <c r="L543" i="1"/>
  <c r="J551" i="1"/>
  <c r="L544" i="1"/>
  <c r="J552" i="1"/>
  <c r="E132" i="2"/>
  <c r="E131" i="2"/>
  <c r="K271" i="1"/>
  <c r="J271" i="1"/>
  <c r="I271" i="1"/>
  <c r="H271" i="1"/>
  <c r="G271" i="1"/>
  <c r="F271" i="1"/>
  <c r="C131" i="2"/>
  <c r="A1" i="2"/>
  <c r="A2" i="2"/>
  <c r="C8" i="2"/>
  <c r="D8" i="2"/>
  <c r="E8" i="2"/>
  <c r="F8" i="2"/>
  <c r="I440" i="1"/>
  <c r="J9" i="1" s="1"/>
  <c r="G8" i="2" s="1"/>
  <c r="C9" i="2"/>
  <c r="D9" i="2"/>
  <c r="E9" i="2"/>
  <c r="F9" i="2"/>
  <c r="I441" i="1"/>
  <c r="J10" i="1"/>
  <c r="G9" i="2"/>
  <c r="C10" i="2"/>
  <c r="C11" i="2"/>
  <c r="D11" i="2"/>
  <c r="E11" i="2"/>
  <c r="F11" i="2"/>
  <c r="I442" i="1"/>
  <c r="J12" i="1"/>
  <c r="G11" i="2"/>
  <c r="C12" i="2"/>
  <c r="D12" i="2"/>
  <c r="D18" i="2" s="1"/>
  <c r="E12" i="2"/>
  <c r="E18" i="2" s="1"/>
  <c r="F12" i="2"/>
  <c r="I443" i="1"/>
  <c r="J13" i="1"/>
  <c r="G12" i="2"/>
  <c r="C13" i="2"/>
  <c r="D13" i="2"/>
  <c r="E13" i="2"/>
  <c r="F13" i="2"/>
  <c r="I444" i="1"/>
  <c r="J14" i="1" s="1"/>
  <c r="F14" i="2"/>
  <c r="C15" i="2"/>
  <c r="D15" i="2"/>
  <c r="E15" i="2"/>
  <c r="F15" i="2"/>
  <c r="C16" i="2"/>
  <c r="D16" i="2"/>
  <c r="E16" i="2"/>
  <c r="F16" i="2"/>
  <c r="I445" i="1"/>
  <c r="J17" i="1"/>
  <c r="C17" i="2"/>
  <c r="D17" i="2"/>
  <c r="E17" i="2"/>
  <c r="F17" i="2"/>
  <c r="I446" i="1"/>
  <c r="J18" i="1"/>
  <c r="G17" i="2"/>
  <c r="C21" i="2"/>
  <c r="D21" i="2"/>
  <c r="E21" i="2"/>
  <c r="F21" i="2"/>
  <c r="I449" i="1"/>
  <c r="J22" i="1" s="1"/>
  <c r="C22" i="2"/>
  <c r="D22" i="2"/>
  <c r="E22" i="2"/>
  <c r="F22" i="2"/>
  <c r="I450" i="1"/>
  <c r="J23" i="1"/>
  <c r="G22" i="2"/>
  <c r="C23" i="2"/>
  <c r="D23" i="2"/>
  <c r="D31" i="2" s="1"/>
  <c r="E23" i="2"/>
  <c r="F23" i="2"/>
  <c r="I451" i="1"/>
  <c r="J24" i="1"/>
  <c r="G23" i="2"/>
  <c r="C24" i="2"/>
  <c r="D24" i="2"/>
  <c r="E24" i="2"/>
  <c r="F24" i="2"/>
  <c r="C25" i="2"/>
  <c r="F25" i="2"/>
  <c r="C26" i="2"/>
  <c r="F26" i="2"/>
  <c r="C27" i="2"/>
  <c r="D27" i="2"/>
  <c r="E27" i="2"/>
  <c r="F27" i="2"/>
  <c r="C28" i="2"/>
  <c r="D28" i="2"/>
  <c r="E28" i="2"/>
  <c r="F28" i="2"/>
  <c r="C29" i="2"/>
  <c r="D29" i="2"/>
  <c r="E29" i="2"/>
  <c r="F29" i="2"/>
  <c r="C30" i="2"/>
  <c r="D30" i="2"/>
  <c r="E30" i="2"/>
  <c r="F30" i="2"/>
  <c r="I452" i="1"/>
  <c r="J31" i="1"/>
  <c r="G30" i="2"/>
  <c r="C34" i="2"/>
  <c r="D34" i="2"/>
  <c r="E34" i="2"/>
  <c r="F34" i="2"/>
  <c r="C35" i="2"/>
  <c r="D35" i="2"/>
  <c r="E35" i="2"/>
  <c r="F35" i="2"/>
  <c r="I455" i="1"/>
  <c r="J49" i="1"/>
  <c r="G48" i="2"/>
  <c r="I457" i="1"/>
  <c r="J43" i="1"/>
  <c r="I458" i="1"/>
  <c r="J37" i="1"/>
  <c r="G36" i="2"/>
  <c r="I460" i="1"/>
  <c r="J48" i="1"/>
  <c r="G47" i="2" s="1"/>
  <c r="G50" i="2" s="1"/>
  <c r="C49" i="2"/>
  <c r="D56" i="2"/>
  <c r="E56" i="2"/>
  <c r="F56" i="2"/>
  <c r="C58" i="2"/>
  <c r="E58" i="2"/>
  <c r="C59" i="2"/>
  <c r="D59" i="2"/>
  <c r="E59" i="2"/>
  <c r="F59" i="2"/>
  <c r="D60" i="2"/>
  <c r="C61" i="2"/>
  <c r="D61" i="2"/>
  <c r="E61" i="2"/>
  <c r="F61" i="2"/>
  <c r="C66" i="2"/>
  <c r="C67" i="2"/>
  <c r="C69" i="2"/>
  <c r="D69" i="2"/>
  <c r="D70" i="2"/>
  <c r="E69" i="2"/>
  <c r="E70" i="2"/>
  <c r="F69" i="2"/>
  <c r="F70" i="2"/>
  <c r="G69" i="2"/>
  <c r="G70" i="2"/>
  <c r="C72" i="2"/>
  <c r="F72" i="2"/>
  <c r="C73" i="2"/>
  <c r="F73" i="2"/>
  <c r="C74" i="2"/>
  <c r="C75" i="2"/>
  <c r="C76" i="2"/>
  <c r="E76" i="2"/>
  <c r="F76" i="2"/>
  <c r="C77" i="2"/>
  <c r="D77" i="2"/>
  <c r="D78" i="2"/>
  <c r="E77" i="2"/>
  <c r="F77" i="2"/>
  <c r="G77" i="2"/>
  <c r="G78" i="2"/>
  <c r="C79" i="2"/>
  <c r="D79" i="2"/>
  <c r="E79" i="2"/>
  <c r="C80" i="2"/>
  <c r="E80" i="2"/>
  <c r="C85" i="2"/>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D115" i="2"/>
  <c r="F115" i="2"/>
  <c r="G115" i="2"/>
  <c r="C119" i="2"/>
  <c r="E119" i="2"/>
  <c r="E120" i="2"/>
  <c r="E123" i="2"/>
  <c r="E125" i="2"/>
  <c r="F128" i="2"/>
  <c r="G128" i="2"/>
  <c r="C130" i="2"/>
  <c r="D134" i="2"/>
  <c r="D144" i="2"/>
  <c r="E134" i="2"/>
  <c r="F134" i="2"/>
  <c r="K420" i="1"/>
  <c r="K428" i="1"/>
  <c r="K434" i="1"/>
  <c r="L264" i="1"/>
  <c r="C135" i="2"/>
  <c r="L265" i="1"/>
  <c r="C136" i="2"/>
  <c r="L266" i="1"/>
  <c r="C137" i="2"/>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c r="G501" i="1"/>
  <c r="C161" i="2"/>
  <c r="H501" i="1"/>
  <c r="D161" i="2"/>
  <c r="I501" i="1"/>
  <c r="E161" i="2"/>
  <c r="J501" i="1"/>
  <c r="F161" i="2"/>
  <c r="B162" i="2"/>
  <c r="C162" i="2"/>
  <c r="D162" i="2"/>
  <c r="E162" i="2"/>
  <c r="F162" i="2"/>
  <c r="B163" i="2"/>
  <c r="C163" i="2"/>
  <c r="D163" i="2"/>
  <c r="E163" i="2"/>
  <c r="F163" i="2"/>
  <c r="F504" i="1"/>
  <c r="B164" i="2"/>
  <c r="G504" i="1"/>
  <c r="C164" i="2"/>
  <c r="H504" i="1"/>
  <c r="D164" i="2"/>
  <c r="I504" i="1"/>
  <c r="E164" i="2"/>
  <c r="J504" i="1"/>
  <c r="F164" i="2"/>
  <c r="F19" i="1"/>
  <c r="G618" i="1" s="1"/>
  <c r="G19" i="1"/>
  <c r="G619" i="1" s="1"/>
  <c r="H19" i="1"/>
  <c r="G620" i="1" s="1"/>
  <c r="I19" i="1"/>
  <c r="G621" i="1" s="1"/>
  <c r="F32" i="1"/>
  <c r="F52" i="1" s="1"/>
  <c r="H618" i="1" s="1"/>
  <c r="G32" i="1"/>
  <c r="H32" i="1"/>
  <c r="I32" i="1"/>
  <c r="I52" i="1" s="1"/>
  <c r="H621" i="1" s="1"/>
  <c r="H51" i="1"/>
  <c r="I51" i="1"/>
  <c r="F178" i="1"/>
  <c r="I178" i="1"/>
  <c r="F184" i="1"/>
  <c r="G184" i="1"/>
  <c r="H184" i="1"/>
  <c r="I184" i="1"/>
  <c r="J184" i="1"/>
  <c r="J193" i="1"/>
  <c r="F189" i="1"/>
  <c r="G189" i="1"/>
  <c r="H189" i="1"/>
  <c r="I189" i="1"/>
  <c r="F212" i="1"/>
  <c r="G212" i="1"/>
  <c r="H212" i="1"/>
  <c r="I212" i="1"/>
  <c r="J212" i="1"/>
  <c r="K212" i="1"/>
  <c r="F230" i="1"/>
  <c r="G230" i="1"/>
  <c r="H230" i="1"/>
  <c r="I230" i="1"/>
  <c r="J230" i="1"/>
  <c r="K230" i="1"/>
  <c r="F248" i="1"/>
  <c r="G248" i="1"/>
  <c r="H248" i="1"/>
  <c r="H258" i="1" s="1"/>
  <c r="H272" i="1" s="1"/>
  <c r="I248" i="1"/>
  <c r="J248" i="1"/>
  <c r="J258" i="1"/>
  <c r="K248" i="1"/>
  <c r="F257" i="1"/>
  <c r="G257" i="1"/>
  <c r="H257" i="1"/>
  <c r="I257" i="1"/>
  <c r="J257" i="1"/>
  <c r="K257" i="1"/>
  <c r="F258" i="1"/>
  <c r="F291" i="1"/>
  <c r="G291" i="1"/>
  <c r="H291" i="1"/>
  <c r="I291" i="1"/>
  <c r="F310" i="1"/>
  <c r="G310" i="1"/>
  <c r="H310" i="1"/>
  <c r="I310" i="1"/>
  <c r="F329" i="1"/>
  <c r="G329" i="1"/>
  <c r="H329" i="1"/>
  <c r="H339" i="1" s="1"/>
  <c r="H353" i="1" s="1"/>
  <c r="I329" i="1"/>
  <c r="F338" i="1"/>
  <c r="G338" i="1"/>
  <c r="H338" i="1"/>
  <c r="I338" i="1"/>
  <c r="J338" i="1"/>
  <c r="K338" i="1"/>
  <c r="F363" i="1"/>
  <c r="G363" i="1"/>
  <c r="H363" i="1"/>
  <c r="I363" i="1"/>
  <c r="J363" i="1"/>
  <c r="K363" i="1"/>
  <c r="I369" i="1"/>
  <c r="I370" i="1"/>
  <c r="H635" i="1"/>
  <c r="F370" i="1"/>
  <c r="G370" i="1"/>
  <c r="H370" i="1"/>
  <c r="L382" i="1"/>
  <c r="F383" i="1"/>
  <c r="G383" i="1"/>
  <c r="H383" i="1"/>
  <c r="I383" i="1"/>
  <c r="J383" i="1"/>
  <c r="K383" i="1"/>
  <c r="F394" i="1"/>
  <c r="G394" i="1"/>
  <c r="H394" i="1"/>
  <c r="I394" i="1"/>
  <c r="I409" i="1" s="1"/>
  <c r="F402" i="1"/>
  <c r="G402" i="1"/>
  <c r="H402" i="1"/>
  <c r="I402" i="1"/>
  <c r="F408" i="1"/>
  <c r="G408" i="1"/>
  <c r="G409" i="1"/>
  <c r="H646" i="1"/>
  <c r="H408" i="1"/>
  <c r="I408" i="1"/>
  <c r="F409" i="1"/>
  <c r="H644" i="1"/>
  <c r="H409" i="1"/>
  <c r="H645"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c r="G447" i="1"/>
  <c r="H447" i="1"/>
  <c r="G642" i="1"/>
  <c r="F453" i="1"/>
  <c r="G453" i="1"/>
  <c r="H453" i="1"/>
  <c r="H462" i="1"/>
  <c r="H642" i="1"/>
  <c r="F461" i="1"/>
  <c r="G461" i="1"/>
  <c r="G462" i="1" s="1"/>
  <c r="H641" i="1" s="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c r="I599" i="1"/>
  <c r="H651" i="1"/>
  <c r="J599" i="1"/>
  <c r="H652" i="1"/>
  <c r="K603" i="1"/>
  <c r="K604" i="1"/>
  <c r="K605" i="1"/>
  <c r="H606" i="1"/>
  <c r="I606" i="1"/>
  <c r="J606" i="1"/>
  <c r="F615" i="1"/>
  <c r="G615" i="1"/>
  <c r="H615" i="1"/>
  <c r="I615" i="1"/>
  <c r="J615" i="1"/>
  <c r="K615" i="1"/>
  <c r="G623" i="1"/>
  <c r="G625" i="1"/>
  <c r="H628" i="1"/>
  <c r="H629" i="1"/>
  <c r="H630" i="1"/>
  <c r="H631" i="1"/>
  <c r="J631" i="1" s="1"/>
  <c r="H632" i="1"/>
  <c r="H633" i="1"/>
  <c r="H634" i="1"/>
  <c r="G635" i="1"/>
  <c r="H636" i="1"/>
  <c r="H637" i="1"/>
  <c r="H638" i="1"/>
  <c r="H639" i="1"/>
  <c r="G641" i="1"/>
  <c r="G644" i="1"/>
  <c r="G645" i="1"/>
  <c r="G651" i="1"/>
  <c r="G652" i="1"/>
  <c r="G653" i="1"/>
  <c r="H653" i="1"/>
  <c r="G654" i="1"/>
  <c r="H654" i="1"/>
  <c r="G655" i="1"/>
  <c r="H655" i="1"/>
  <c r="H656" i="1"/>
  <c r="J572" i="1"/>
  <c r="I170" i="1"/>
  <c r="J140" i="1"/>
  <c r="H140" i="1"/>
  <c r="G62" i="2"/>
  <c r="G63" i="2" s="1"/>
  <c r="G104" i="2" s="1"/>
  <c r="J656" i="1"/>
  <c r="G646" i="1"/>
  <c r="G662" i="1"/>
  <c r="J652" i="1"/>
  <c r="L257" i="1"/>
  <c r="H193" i="1"/>
  <c r="C20" i="10"/>
  <c r="E13" i="13"/>
  <c r="C13" i="13" s="1"/>
  <c r="C120" i="2"/>
  <c r="H112" i="1"/>
  <c r="L402" i="1"/>
  <c r="C139" i="2"/>
  <c r="C91" i="2"/>
  <c r="G553" i="1"/>
  <c r="J642" i="1"/>
  <c r="L561" i="1"/>
  <c r="E103" i="2"/>
  <c r="H553" i="1"/>
  <c r="L310" i="1"/>
  <c r="I546" i="1"/>
  <c r="F462" i="1"/>
  <c r="H640" i="1"/>
  <c r="J640" i="1"/>
  <c r="K606" i="1"/>
  <c r="G649" i="1"/>
  <c r="L271" i="1"/>
  <c r="F662" i="1"/>
  <c r="F572" i="1"/>
  <c r="L420" i="1"/>
  <c r="D91" i="2"/>
  <c r="D81" i="2"/>
  <c r="E78" i="2"/>
  <c r="G546" i="1"/>
  <c r="J644" i="1"/>
  <c r="J646" i="1"/>
  <c r="F112" i="1"/>
  <c r="F194" i="1" s="1"/>
  <c r="G628" i="1" s="1"/>
  <c r="L363" i="1"/>
  <c r="B17" i="16"/>
  <c r="B19" i="16"/>
  <c r="B28" i="16"/>
  <c r="E122" i="2"/>
  <c r="L615" i="1"/>
  <c r="K599" i="1"/>
  <c r="G648" i="1"/>
  <c r="K572" i="1"/>
  <c r="L571" i="1"/>
  <c r="H572" i="1"/>
  <c r="L566" i="1"/>
  <c r="L572" i="1"/>
  <c r="I572" i="1"/>
  <c r="K546" i="1"/>
  <c r="C114" i="2"/>
  <c r="E118" i="2"/>
  <c r="H648" i="1"/>
  <c r="J645" i="1"/>
  <c r="J635" i="1"/>
  <c r="G626" i="1"/>
  <c r="L530" i="1"/>
  <c r="H546" i="1"/>
  <c r="G164" i="2"/>
  <c r="G161" i="2"/>
  <c r="G157" i="2"/>
  <c r="G156" i="2"/>
  <c r="G81" i="2"/>
  <c r="C78" i="2"/>
  <c r="C81" i="2"/>
  <c r="F78" i="2"/>
  <c r="F81" i="2"/>
  <c r="C70" i="2"/>
  <c r="D62" i="2"/>
  <c r="D63" i="2"/>
  <c r="E57" i="2"/>
  <c r="E62" i="2"/>
  <c r="E63" i="2"/>
  <c r="C26" i="10"/>
  <c r="J546" i="1"/>
  <c r="J477" i="1"/>
  <c r="H627" i="1" s="1"/>
  <c r="F477" i="1"/>
  <c r="H623" i="1" s="1"/>
  <c r="L434" i="1"/>
  <c r="L428" i="1"/>
  <c r="I258" i="1"/>
  <c r="I272" i="1"/>
  <c r="K258" i="1"/>
  <c r="K272" i="1"/>
  <c r="G193" i="1"/>
  <c r="B13" i="16"/>
  <c r="F193" i="1"/>
  <c r="J553" i="1"/>
  <c r="I553" i="1"/>
  <c r="K550" i="1"/>
  <c r="F553" i="1"/>
  <c r="L352" i="1"/>
  <c r="F130" i="2"/>
  <c r="F144" i="2" s="1"/>
  <c r="F145" i="2" s="1"/>
  <c r="G170" i="1"/>
  <c r="B12" i="16"/>
  <c r="K552" i="1"/>
  <c r="I25" i="13"/>
  <c r="K551" i="1"/>
  <c r="J272" i="1"/>
  <c r="L535" i="1"/>
  <c r="K501" i="1"/>
  <c r="I461" i="1"/>
  <c r="I453" i="1"/>
  <c r="I447" i="1"/>
  <c r="G643" i="1" s="1"/>
  <c r="F272" i="1"/>
  <c r="C123" i="2"/>
  <c r="E109" i="2"/>
  <c r="C56" i="2"/>
  <c r="C25" i="10"/>
  <c r="C21" i="10"/>
  <c r="D19" i="13"/>
  <c r="C19" i="13"/>
  <c r="D14" i="13"/>
  <c r="C62" i="2"/>
  <c r="C63" i="2" s="1"/>
  <c r="C104" i="2" s="1"/>
  <c r="G22" i="13"/>
  <c r="C22" i="13"/>
  <c r="L540" i="1"/>
  <c r="K504" i="1"/>
  <c r="L383" i="1"/>
  <c r="G637" i="1" s="1"/>
  <c r="G258" i="1"/>
  <c r="G272" i="1"/>
  <c r="C142" i="2"/>
  <c r="C111" i="2"/>
  <c r="H662" i="1"/>
  <c r="C15" i="10"/>
  <c r="A13" i="12"/>
  <c r="D29" i="13"/>
  <c r="C29" i="13" s="1"/>
  <c r="D12" i="13"/>
  <c r="E8" i="13"/>
  <c r="C8" i="13"/>
  <c r="C12" i="13"/>
  <c r="C35" i="10"/>
  <c r="C29" i="10"/>
  <c r="E81" i="2"/>
  <c r="G650" i="1"/>
  <c r="J650" i="1"/>
  <c r="L545" i="1"/>
  <c r="L525" i="1"/>
  <c r="D127" i="2"/>
  <c r="D128" i="2"/>
  <c r="D145" i="2"/>
  <c r="C124" i="2"/>
  <c r="C122" i="2"/>
  <c r="C118" i="2"/>
  <c r="C19" i="10"/>
  <c r="C16" i="10"/>
  <c r="D17" i="13"/>
  <c r="C17" i="13"/>
  <c r="D7" i="13"/>
  <c r="C7" i="13"/>
  <c r="E16" i="13"/>
  <c r="C16" i="13"/>
  <c r="L338" i="1"/>
  <c r="F62" i="2"/>
  <c r="F63" i="2"/>
  <c r="C23" i="10"/>
  <c r="G163" i="2"/>
  <c r="G162" i="2"/>
  <c r="G160" i="2"/>
  <c r="G159" i="2"/>
  <c r="G158" i="2"/>
  <c r="G103" i="2"/>
  <c r="F103" i="2"/>
  <c r="C103" i="2"/>
  <c r="F91" i="2"/>
  <c r="F31" i="2"/>
  <c r="C31" i="2"/>
  <c r="E144" i="2"/>
  <c r="F50" i="2"/>
  <c r="F51" i="2" s="1"/>
  <c r="C24" i="10"/>
  <c r="I339" i="1"/>
  <c r="I353" i="1" s="1"/>
  <c r="J651" i="1"/>
  <c r="L408" i="1"/>
  <c r="C140" i="2"/>
  <c r="I193" i="1"/>
  <c r="J655" i="1"/>
  <c r="J654" i="1"/>
  <c r="J435" i="1"/>
  <c r="F435" i="1"/>
  <c r="K435" i="1"/>
  <c r="G134" i="2"/>
  <c r="G144" i="2"/>
  <c r="G145" i="2"/>
  <c r="G31" i="13"/>
  <c r="G33" i="13" s="1"/>
  <c r="G140" i="1"/>
  <c r="B11" i="16"/>
  <c r="F140" i="1"/>
  <c r="G42" i="2"/>
  <c r="G16" i="2"/>
  <c r="F546" i="1"/>
  <c r="H435" i="1"/>
  <c r="D103" i="2"/>
  <c r="I140" i="1"/>
  <c r="A22" i="12"/>
  <c r="J653" i="1"/>
  <c r="G572" i="1"/>
  <c r="I435" i="1"/>
  <c r="G435" i="1"/>
  <c r="I664" i="1"/>
  <c r="L435" i="1"/>
  <c r="G639" i="1"/>
  <c r="J639" i="1"/>
  <c r="I662" i="1"/>
  <c r="I194" i="1"/>
  <c r="G631" i="1"/>
  <c r="G636" i="1"/>
  <c r="J636" i="1"/>
  <c r="D104" i="2"/>
  <c r="C27" i="10"/>
  <c r="L546" i="1"/>
  <c r="F104" i="2"/>
  <c r="E33" i="13"/>
  <c r="D35" i="13" s="1"/>
  <c r="J648" i="1"/>
  <c r="C128" i="2"/>
  <c r="C25" i="13"/>
  <c r="I33" i="13"/>
  <c r="K553" i="1"/>
  <c r="C38" i="10"/>
  <c r="C50" i="2" l="1"/>
  <c r="C112" i="2"/>
  <c r="L248" i="1"/>
  <c r="C109" i="2"/>
  <c r="C115" i="2" s="1"/>
  <c r="L230" i="1"/>
  <c r="D5" i="13"/>
  <c r="C5" i="13" s="1"/>
  <c r="L212" i="1"/>
  <c r="C18" i="2"/>
  <c r="J641" i="1"/>
  <c r="J32" i="1"/>
  <c r="G21" i="2"/>
  <c r="G31" i="2" s="1"/>
  <c r="I462" i="1"/>
  <c r="H643" i="1" s="1"/>
  <c r="G51" i="2"/>
  <c r="I477" i="1"/>
  <c r="H626" i="1" s="1"/>
  <c r="J626" i="1" s="1"/>
  <c r="C39" i="10"/>
  <c r="H194" i="1"/>
  <c r="G630" i="1" s="1"/>
  <c r="J630" i="1" s="1"/>
  <c r="J637" i="1"/>
  <c r="H477" i="1"/>
  <c r="H625" i="1" s="1"/>
  <c r="G477" i="1"/>
  <c r="B33" i="16" s="1"/>
  <c r="H624" i="1"/>
  <c r="J624" i="1" s="1"/>
  <c r="J628" i="1"/>
  <c r="J625" i="1"/>
  <c r="J623" i="1"/>
  <c r="J643" i="1"/>
  <c r="J51" i="1"/>
  <c r="J19" i="1"/>
  <c r="G622" i="1" s="1"/>
  <c r="G13" i="2"/>
  <c r="G18" i="2" s="1"/>
  <c r="G52" i="1"/>
  <c r="H619" i="1" s="1"/>
  <c r="J619" i="1" s="1"/>
  <c r="D51" i="2"/>
  <c r="C138" i="2"/>
  <c r="L409" i="1"/>
  <c r="K339" i="1"/>
  <c r="K353" i="1" s="1"/>
  <c r="C17" i="10"/>
  <c r="E121" i="2"/>
  <c r="E128" i="2" s="1"/>
  <c r="I663" i="1"/>
  <c r="G339" i="1"/>
  <c r="G353" i="1" s="1"/>
  <c r="F339" i="1"/>
  <c r="F353" i="1" s="1"/>
  <c r="C12" i="10"/>
  <c r="L329" i="1"/>
  <c r="A31" i="12"/>
  <c r="C18" i="10"/>
  <c r="H649" i="1"/>
  <c r="J649" i="1" s="1"/>
  <c r="J353" i="1"/>
  <c r="E115" i="2"/>
  <c r="C13" i="10"/>
  <c r="L291" i="1"/>
  <c r="G647" i="1"/>
  <c r="G632" i="1"/>
  <c r="J632" i="1" s="1"/>
  <c r="C36" i="10"/>
  <c r="G194" i="1"/>
  <c r="G629" i="1" s="1"/>
  <c r="J629" i="1" s="1"/>
  <c r="B10" i="16"/>
  <c r="B14" i="16" s="1"/>
  <c r="B22" i="16" s="1"/>
  <c r="H52" i="1"/>
  <c r="H620" i="1" s="1"/>
  <c r="J620" i="1" s="1"/>
  <c r="C51" i="2"/>
  <c r="E31" i="2"/>
  <c r="E51" i="2" s="1"/>
  <c r="J621" i="1"/>
  <c r="F18" i="2"/>
  <c r="J618" i="1"/>
  <c r="C14" i="13"/>
  <c r="G24" i="14" l="1"/>
  <c r="H24" i="14" s="1"/>
  <c r="I24" i="14" s="1"/>
  <c r="G661" i="1"/>
  <c r="G665" i="1" s="1"/>
  <c r="L258" i="1"/>
  <c r="L272" i="1" s="1"/>
  <c r="G633" i="1" s="1"/>
  <c r="J633" i="1" s="1"/>
  <c r="C41" i="10"/>
  <c r="D39" i="10" s="1"/>
  <c r="G627" i="1"/>
  <c r="J627" i="1" s="1"/>
  <c r="J52" i="1"/>
  <c r="H622" i="1" s="1"/>
  <c r="J622" i="1" s="1"/>
  <c r="H647" i="1"/>
  <c r="J647" i="1" s="1"/>
  <c r="G638" i="1"/>
  <c r="J638" i="1" s="1"/>
  <c r="C141" i="2"/>
  <c r="C144" i="2" s="1"/>
  <c r="C145" i="2" s="1"/>
  <c r="C28" i="10"/>
  <c r="D13" i="10" s="1"/>
  <c r="E145" i="2"/>
  <c r="D25" i="10"/>
  <c r="D19" i="10"/>
  <c r="H661" i="1"/>
  <c r="H665" i="1" s="1"/>
  <c r="G36" i="14"/>
  <c r="H36" i="14" s="1"/>
  <c r="I36" i="14" s="1"/>
  <c r="C30" i="10"/>
  <c r="D23" i="10"/>
  <c r="D18" i="10"/>
  <c r="D31" i="13"/>
  <c r="F661" i="1"/>
  <c r="L339" i="1"/>
  <c r="L353" i="1" s="1"/>
  <c r="G634" i="1" s="1"/>
  <c r="G4" i="14"/>
  <c r="H4" i="14" s="1"/>
  <c r="I4" i="14" s="1"/>
  <c r="D26" i="10"/>
  <c r="D24" i="10"/>
  <c r="D11" i="10"/>
  <c r="D20" i="10"/>
  <c r="D16" i="10"/>
  <c r="D17" i="10" l="1"/>
  <c r="D15" i="10"/>
  <c r="D12" i="10"/>
  <c r="D27" i="10"/>
  <c r="G673" i="1"/>
  <c r="C5" i="10" s="1"/>
  <c r="G668" i="1"/>
  <c r="D36" i="10"/>
  <c r="D35" i="10"/>
  <c r="D40" i="10"/>
  <c r="D37" i="10"/>
  <c r="D38" i="10"/>
  <c r="D10" i="10"/>
  <c r="D28" i="10" s="1"/>
  <c r="D21" i="10"/>
  <c r="D22" i="10"/>
  <c r="H668" i="1"/>
  <c r="H673" i="1"/>
  <c r="C6" i="10" s="1"/>
  <c r="J634" i="1"/>
  <c r="H657" i="1"/>
  <c r="I661" i="1"/>
  <c r="I665" i="1" s="1"/>
  <c r="F665" i="1"/>
  <c r="C31" i="13"/>
  <c r="D33" i="13"/>
  <c r="D36" i="13" s="1"/>
  <c r="D41" i="10" l="1"/>
  <c r="F668" i="1"/>
  <c r="F673" i="1"/>
  <c r="C4" i="10" s="1"/>
  <c r="I673" i="1"/>
  <c r="C7" i="10" s="1"/>
  <c r="I668" i="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<sst xmlns="http://schemas.openxmlformats.org/spreadsheetml/2006/main" count="5551" uniqueCount="1647">
  <si>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</si>
  <si>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</si>
  <si>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</si>
  <si>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</si>
  <si>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</si>
  <si>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</si>
  <si>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</si>
  <si>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</si>
  <si>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</si>
  <si>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</si>
  <si>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</si>
  <si>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</si>
  <si>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</si>
  <si>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</si>
  <si>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</si>
  <si>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</si>
  <si>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</si>
  <si>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</si>
  <si>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</si>
  <si>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</si>
  <si>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</si>
  <si>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</si>
  <si>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</si>
  <si>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</si>
  <si>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</si>
  <si>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</si>
  <si>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</si>
  <si>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</si>
  <si>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</si>
  <si>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</si>
  <si>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</si>
  <si>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</si>
  <si>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</si>
  <si>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</si>
  <si>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</si>
  <si>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</si>
  <si>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</si>
  <si>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</si>
  <si>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</si>
  <si>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</si>
  <si>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</si>
  <si>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</si>
  <si>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</si>
  <si>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</si>
  <si>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</si>
  <si>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</si>
  <si>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</si>
  <si>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</si>
  <si>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</si>
  <si>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</si>
  <si>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</si>
  <si>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</si>
  <si>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</si>
  <si>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</si>
  <si>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</si>
  <si>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</si>
  <si>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</si>
  <si>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</si>
  <si>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</si>
  <si>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</si>
  <si>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</si>
  <si>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</si>
  <si>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</si>
  <si>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</si>
  <si>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</si>
  <si>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</si>
  <si>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</si>
  <si>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</si>
  <si>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</si>
  <si>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</si>
  <si>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</si>
  <si>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</si>
  <si>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</si>
  <si>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</si>
  <si>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</si>
  <si>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</si>
  <si>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</si>
  <si>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</si>
  <si>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</si>
  <si>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</si>
  <si>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</si>
  <si>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</si>
  <si>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</si>
  <si>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</si>
  <si>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</si>
  <si>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</si>
  <si>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</si>
  <si>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</si>
  <si>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</si>
  <si>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</si>
  <si>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</si>
  <si>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</si>
  <si>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</si>
  <si>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</si>
  <si>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</si>
  <si>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</si>
  <si>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</si>
  <si>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</si>
  <si>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</si>
  <si>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</si>
  <si>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</si>
  <si>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</si>
  <si>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</si>
  <si>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</si>
  <si>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</si>
  <si>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</si>
  <si>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</si>
  <si>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</si>
  <si>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</si>
  <si>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</si>
  <si>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</si>
  <si>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</si>
  <si>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</si>
  <si>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</si>
  <si>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</si>
  <si>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</si>
  <si>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</si>
  <si>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</si>
  <si>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</si>
  <si>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</si>
  <si>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</si>
  <si>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</si>
  <si>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</si>
  <si>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</si>
  <si>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</si>
  <si>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</si>
  <si>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</si>
  <si>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</si>
  <si>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</si>
  <si>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</si>
  <si>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</si>
  <si>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</si>
  <si>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</si>
  <si>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</si>
  <si>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</si>
  <si>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</si>
  <si>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</si>
  <si>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</si>
  <si>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</si>
  <si>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</si>
  <si>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</si>
  <si>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</si>
  <si>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</si>
  <si>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</si>
  <si>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</si>
  <si>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</si>
  <si>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</si>
  <si>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</si>
  <si>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</si>
  <si>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</si>
  <si>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</si>
  <si>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</si>
  <si>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</si>
  <si>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</si>
  <si>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</si>
  <si>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</si>
  <si>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</si>
  <si>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</si>
  <si>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</si>
  <si>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</si>
  <si>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</si>
  <si>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</si>
  <si>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</si>
  <si>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</si>
  <si>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</si>
  <si>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</si>
  <si>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</si>
  <si>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</si>
  <si>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</si>
  <si>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</si>
  <si>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</si>
  <si>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</si>
  <si>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</si>
  <si>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</si>
  <si>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</si>
  <si>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</si>
  <si>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</si>
  <si>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</si>
  <si>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</si>
  <si>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</si>
  <si>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</si>
  <si>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</si>
  <si>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</si>
  <si>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</si>
  <si>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</si>
  <si>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</si>
  <si>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</si>
  <si>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</si>
  <si>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</si>
  <si>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</si>
  <si>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</si>
  <si>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</si>
  <si>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</si>
  <si>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</si>
  <si>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</si>
  <si>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</si>
  <si>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</si>
  <si>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</si>
  <si>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</si>
  <si>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</si>
  <si>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</si>
  <si>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</si>
  <si>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</si>
  <si>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</si>
  <si>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</si>
  <si>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</si>
  <si>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</si>
  <si>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</si>
  <si>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</si>
  <si>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</si>
  <si>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</si>
  <si>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</si>
  <si>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</si>
  <si>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</si>
  <si>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</si>
  <si>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</si>
  <si>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</si>
  <si>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</si>
  <si>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</si>
  <si>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</si>
  <si>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</si>
  <si>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</si>
  <si>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</si>
  <si>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</si>
  <si>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</si>
  <si>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</si>
  <si>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</si>
  <si>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</si>
  <si>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</si>
  <si>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</si>
  <si>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</si>
  <si>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</si>
  <si>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</si>
  <si>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</si>
  <si>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</si>
  <si>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</si>
  <si>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</si>
  <si>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</si>
  <si>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</si>
  <si>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</si>
  <si>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</si>
  <si>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</si>
  <si>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</si>
  <si>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</si>
  <si>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</si>
  <si>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</si>
  <si>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</si>
  <si>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</si>
  <si>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</si>
  <si>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</si>
  <si>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</si>
  <si>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</si>
  <si>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</si>
  <si>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</si>
  <si>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</si>
  <si>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</si>
  <si>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</si>
  <si>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</si>
  <si>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</si>
  <si>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</si>
  <si>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</si>
  <si>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</si>
  <si>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</si>
  <si>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</si>
  <si>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</si>
  <si>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</si>
  <si>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</si>
  <si>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</si>
  <si>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</si>
  <si>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</si>
  <si>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</si>
  <si>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</si>
  <si>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</si>
  <si>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</si>
  <si>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</si>
  <si>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</si>
  <si>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</si>
  <si>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</si>
  <si>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</si>
  <si>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</si>
  <si>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</si>
  <si>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</si>
  <si>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</si>
  <si>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</si>
  <si>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</si>
  <si>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</si>
  <si>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</si>
  <si>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</si>
  <si>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</si>
  <si>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</si>
  <si>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</si>
  <si>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</si>
  <si>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</si>
  <si>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</si>
  <si>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</si>
  <si>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</si>
  <si>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</si>
  <si>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</si>
  <si>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</si>
  <si>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</si>
  <si>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</si>
  <si>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</si>
  <si>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</si>
  <si>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</si>
  <si>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</si>
  <si>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</si>
  <si>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</si>
  <si>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</si>
  <si>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</si>
  <si>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</si>
  <si>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</si>
  <si>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</si>
  <si>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</si>
  <si>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</si>
  <si>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</si>
  <si>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</si>
  <si>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</si>
  <si>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</si>
  <si>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</si>
  <si>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</si>
  <si>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</si>
  <si>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</si>
  <si>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</si>
  <si>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</si>
  <si>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</si>
  <si>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</si>
  <si>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</si>
  <si>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</si>
  <si>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</si>
  <si>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</si>
  <si>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</si>
  <si>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</si>
  <si>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</si>
  <si>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</si>
  <si>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</si>
  <si>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</si>
  <si>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</si>
  <si>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</si>
  <si>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</si>
  <si>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</si>
  <si>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</si>
  <si>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</si>
  <si>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</si>
  <si>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</si>
  <si>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</si>
  <si>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</si>
  <si>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</si>
  <si>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</si>
  <si>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</si>
  <si>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</si>
  <si>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</si>
  <si>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</si>
  <si>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</si>
  <si>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</si>
  <si>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</si>
  <si>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</si>
  <si>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</si>
  <si>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</si>
  <si>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</si>
  <si>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</si>
  <si>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</si>
  <si>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</si>
  <si>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</si>
  <si>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</si>
  <si>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</si>
  <si>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</si>
  <si>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</si>
  <si>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</si>
  <si>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</si>
  <si>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</si>
  <si>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</si>
  <si>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</si>
  <si>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</si>
  <si>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</si>
  <si>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</si>
  <si>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</si>
  <si>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</si>
  <si>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</si>
  <si>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</si>
  <si>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</si>
  <si>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</si>
  <si>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</si>
  <si>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</si>
  <si>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</si>
  <si>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</si>
  <si>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</si>
  <si>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</si>
  <si>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</si>
  <si>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</si>
  <si>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</si>
  <si>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</si>
  <si>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</si>
  <si>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</si>
  <si>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</si>
  <si>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</si>
  <si>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</si>
  <si>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</si>
  <si>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</si>
  <si>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</si>
  <si>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</si>
  <si>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</si>
  <si>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</si>
  <si>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</si>
  <si>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</si>
  <si>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</si>
  <si>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</si>
  <si>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</si>
  <si>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</si>
  <si>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</si>
  <si>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</si>
  <si>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</si>
  <si>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</si>
  <si>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</si>
  <si>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</si>
  <si>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</si>
  <si>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</si>
  <si>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</si>
  <si>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</si>
  <si>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</si>
  <si>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</si>
  <si>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</si>
  <si>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</si>
  <si>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</si>
  <si>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</si>
  <si>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</si>
  <si>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</si>
  <si>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</si>
  <si>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</si>
  <si>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</si>
  <si>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</si>
  <si>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</si>
  <si>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</si>
  <si>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</si>
  <si>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</si>
  <si>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</si>
  <si>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</si>
  <si>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</si>
  <si>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</si>
  <si>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</si>
  <si>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</si>
  <si>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</si>
  <si>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</si>
  <si>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</si>
  <si>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</si>
  <si>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</si>
  <si>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</si>
  <si>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</si>
  <si>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</si>
  <si>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</si>
  <si>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</si>
  <si>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</si>
  <si>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</si>
  <si>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</si>
  <si>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</si>
  <si>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</si>
  <si>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</si>
  <si>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</si>
  <si>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</si>
  <si>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</si>
  <si>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</si>
  <si>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</si>
  <si>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</si>
  <si>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</si>
  <si>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</si>
  <si>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</si>
  <si>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</si>
  <si>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</si>
  <si>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</si>
  <si>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</si>
  <si>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</si>
  <si>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</si>
  <si>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</si>
  <si>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</si>
  <si>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</si>
  <si>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</si>
  <si>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</si>
  <si>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</si>
  <si>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</si>
  <si>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</si>
  <si>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</si>
  <si>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</si>
  <si>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</si>
  <si>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</si>
  <si>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</si>
  <si>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</si>
  <si>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</si>
  <si>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</si>
  <si>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</si>
  <si>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</si>
  <si>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</si>
  <si>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</si>
  <si>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</si>
  <si>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</si>
  <si>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</si>
  <si>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</si>
  <si>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</si>
  <si>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</si>
  <si>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</si>
  <si>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</si>
  <si>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</si>
  <si>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</si>
  <si>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</si>
  <si>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</si>
  <si>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</si>
  <si>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</si>
  <si>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</si>
  <si>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</si>
  <si>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</si>
  <si>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</si>
  <si>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</si>
  <si>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</si>
  <si>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</si>
  <si>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</si>
  <si>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</si>
  <si>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</si>
  <si>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</si>
  <si>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</si>
  <si>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</si>
  <si>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</si>
  <si>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</si>
  <si>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</si>
  <si>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</si>
  <si>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</si>
  <si>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</si>
  <si>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</si>
  <si>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</si>
  <si>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</si>
  <si>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</si>
  <si>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</si>
  <si>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</si>
  <si>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</si>
  <si>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</si>
  <si>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</si>
  <si>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</si>
  <si>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</si>
  <si>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</si>
  <si>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</si>
  <si>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</si>
  <si>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</si>
  <si>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</si>
  <si>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</si>
  <si>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</si>
  <si>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</si>
  <si>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</si>
  <si>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</si>
  <si>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</si>
  <si>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</si>
  <si>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</si>
  <si>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</si>
  <si>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</si>
  <si>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</si>
  <si>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</si>
  <si>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</si>
  <si>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</si>
  <si>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</si>
  <si>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</si>
  <si>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</si>
  <si>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</si>
  <si>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</si>
  <si>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</si>
  <si>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</si>
  <si>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</si>
  <si>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</si>
  <si>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</si>
  <si>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</si>
  <si>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</si>
  <si>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</si>
  <si>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</si>
  <si>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</si>
  <si>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</si>
  <si>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</si>
  <si>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</si>
  <si>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</si>
  <si>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</si>
  <si>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</si>
  <si>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</si>
  <si>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</si>
  <si>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</si>
  <si>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</si>
  <si>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</si>
  <si>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</si>
  <si>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</si>
  <si>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</si>
  <si>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</si>
  <si>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</si>
  <si>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</si>
  <si>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</si>
  <si>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</si>
  <si>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</si>
  <si>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</si>
  <si>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</si>
  <si>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</si>
  <si>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</si>
  <si>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</si>
  <si>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</si>
  <si>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</si>
  <si>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</si>
  <si>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</si>
  <si>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</si>
  <si>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</si>
  <si>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</si>
  <si>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</si>
  <si>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</si>
  <si>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</si>
  <si>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</si>
  <si>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</si>
  <si>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</si>
  <si>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</si>
  <si>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</si>
  <si>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</si>
  <si>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</si>
  <si>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</si>
  <si>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</si>
  <si>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</si>
  <si>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</si>
  <si>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</si>
  <si>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</si>
  <si>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</si>
  <si>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</si>
  <si>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</si>
  <si>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</si>
  <si>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</si>
  <si>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</si>
  <si>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</si>
  <si>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</si>
  <si>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</si>
  <si>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</si>
  <si>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</si>
  <si>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</si>
  <si>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</si>
  <si>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</si>
  <si>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</si>
  <si>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</si>
  <si>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</si>
  <si>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</si>
  <si>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</si>
  <si>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</si>
  <si>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</si>
  <si>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</si>
  <si>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</si>
  <si>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</si>
  <si>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</si>
  <si>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</si>
  <si>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</si>
  <si>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</si>
  <si>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</si>
  <si>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</si>
  <si>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</si>
  <si>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</si>
  <si>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</si>
  <si>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</si>
  <si>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</si>
  <si>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</si>
  <si>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</si>
  <si>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</si>
  <si>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</si>
  <si>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</si>
  <si>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</si>
  <si>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</si>
  <si>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</si>
  <si>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</si>
  <si>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</si>
  <si>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</si>
  <si>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</si>
  <si>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</si>
  <si>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</si>
  <si>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</si>
  <si>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</si>
  <si>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</si>
  <si>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</si>
  <si>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</si>
  <si>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</si>
  <si>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</si>
  <si>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</si>
  <si>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</si>
  <si>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</si>
  <si>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</si>
  <si>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</si>
  <si>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</si>
  <si>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</si>
  <si>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</si>
  <si>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</si>
  <si>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</si>
  <si>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</si>
  <si>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</si>
  <si>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</si>
  <si>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</si>
  <si>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</si>
  <si>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</si>
  <si>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</si>
  <si>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</si>
  <si>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</si>
  <si>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</si>
  <si>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</si>
  <si>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</si>
  <si>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</si>
  <si>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</si>
  <si>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</si>
  <si>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</si>
  <si>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</si>
  <si>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</si>
  <si>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</si>
  <si>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</si>
  <si>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</si>
  <si>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</si>
  <si>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</si>
  <si>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</si>
  <si>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</si>
  <si>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</si>
  <si>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</si>
  <si>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</si>
  <si>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</si>
  <si>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</si>
  <si>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</si>
  <si>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</si>
  <si>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</si>
  <si>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</si>
  <si>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</si>
  <si>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</si>
  <si>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</si>
  <si>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</si>
  <si>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</si>
  <si>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</si>
  <si>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</si>
  <si>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</si>
  <si>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</si>
  <si>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</si>
  <si>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</si>
  <si>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</si>
  <si>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</si>
  <si>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</si>
  <si>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</si>
  <si>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</si>
  <si>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</si>
  <si>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</si>
  <si>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</si>
  <si>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</si>
  <si>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</si>
  <si>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</si>
  <si>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</si>
  <si>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</si>
  <si>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</si>
  <si>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</si>
  <si>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</si>
  <si>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</si>
  <si>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</si>
  <si>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</si>
  <si>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</si>
  <si>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</si>
  <si>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</si>
  <si>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</si>
  <si>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</si>
  <si>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</si>
  <si>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</si>
  <si>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</si>
  <si>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</si>
  <si>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</si>
  <si>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</si>
  <si>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</si>
  <si>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</si>
  <si>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</si>
  <si>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</si>
  <si>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</si>
  <si>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</si>
  <si>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</si>
  <si>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</si>
  <si>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</si>
  <si>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</si>
  <si>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</si>
  <si>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</si>
  <si>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</si>
  <si>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</si>
  <si>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</si>
  <si>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</si>
  <si>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</si>
  <si>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</si>
  <si>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</si>
  <si>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</si>
  <si>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</si>
  <si>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</si>
  <si>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</si>
  <si>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</si>
  <si>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</si>
  <si>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</si>
  <si>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</si>
  <si>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</si>
  <si>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</si>
  <si>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</si>
  <si>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</si>
  <si>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</si>
  <si>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</si>
  <si>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</si>
  <si>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</si>
  <si>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</si>
  <si>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</si>
  <si>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</si>
  <si>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</si>
  <si>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</si>
  <si>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</si>
  <si>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</si>
  <si>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</si>
  <si>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</si>
  <si>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</si>
  <si>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</si>
  <si>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</si>
  <si>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</si>
  <si>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</si>
  <si>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</si>
  <si>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</si>
  <si>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</si>
  <si>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</si>
  <si>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</si>
  <si>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</si>
  <si>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</si>
  <si>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</si>
  <si>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</si>
  <si>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</si>
  <si>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</si>
  <si>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</si>
  <si>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</si>
  <si>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</si>
  <si>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</si>
  <si>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</si>
  <si>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</si>
  <si>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</si>
  <si>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</si>
  <si>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</si>
  <si>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</si>
  <si>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</si>
  <si>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</si>
  <si>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</si>
  <si>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</si>
  <si>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</si>
  <si>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</si>
  <si>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</si>
  <si>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</si>
  <si>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</si>
  <si>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</si>
  <si>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</si>
  <si>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</si>
  <si>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</si>
  <si>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</si>
  <si>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</si>
  <si>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</si>
  <si>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</si>
  <si>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</si>
  <si>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</si>
  <si>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</si>
  <si>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</si>
  <si>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</si>
  <si>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</si>
  <si>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</si>
  <si>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</si>
  <si>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</si>
  <si>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</si>
  <si>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</si>
  <si>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</si>
  <si>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</si>
  <si>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</si>
  <si>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</si>
  <si>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</si>
  <si>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</si>
  <si>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</si>
  <si>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</si>
  <si>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</si>
  <si>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</si>
  <si>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</si>
  <si>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</si>
  <si>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</si>
  <si>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</si>
  <si>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</si>
  <si>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</si>
  <si>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</si>
  <si>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</si>
  <si>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</si>
  <si>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</si>
  <si>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</si>
  <si>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</si>
  <si>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</si>
  <si>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</si>
  <si>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</si>
  <si>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</si>
  <si>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</si>
  <si>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</si>
  <si>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</si>
  <si>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</si>
  <si>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</si>
  <si>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</si>
  <si>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</si>
  <si>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</si>
  <si>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</si>
  <si>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</si>
  <si>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</si>
  <si>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</si>
  <si>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</si>
  <si>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</si>
  <si>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</si>
  <si>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</si>
  <si>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</si>
  <si>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</si>
  <si>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</si>
  <si>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</si>
  <si>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</si>
  <si>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</si>
  <si>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</si>
  <si>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</si>
  <si>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</si>
  <si>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</si>
  <si>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</si>
  <si>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</si>
  <si>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</si>
  <si>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</si>
  <si>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</si>
  <si>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</si>
  <si>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</si>
  <si>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</si>
  <si>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</si>
  <si>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</si>
  <si>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</si>
  <si>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</si>
  <si>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</si>
  <si>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</si>
  <si>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</si>
  <si>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</si>
  <si>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</si>
  <si>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</si>
  <si>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</si>
  <si>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</si>
  <si>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</si>
  <si>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</si>
  <si>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</si>
  <si>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</si>
  <si>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</si>
  <si>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</si>
  <si>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</si>
  <si>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</si>
  <si>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</si>
  <si>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</si>
  <si>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</si>
  <si>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</si>
  <si>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</si>
  <si>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</si>
  <si>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</si>
  <si>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</si>
  <si>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</si>
  <si>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</si>
  <si>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</si>
  <si>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</si>
  <si>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</si>
  <si>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</si>
  <si>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</si>
  <si>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</si>
  <si>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</si>
  <si>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</si>
  <si>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</si>
  <si>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</si>
  <si>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</si>
  <si>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</si>
  <si>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</si>
  <si>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</si>
  <si>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</si>
  <si>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</si>
  <si>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</si>
  <si>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</si>
  <si>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</si>
  <si>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</si>
  <si>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</si>
  <si>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</si>
  <si>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</si>
  <si>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</si>
  <si>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</si>
  <si>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</si>
  <si>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</si>
  <si>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</si>
  <si>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</si>
  <si>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</si>
  <si>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</si>
  <si>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</si>
  <si>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</si>
  <si>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</si>
  <si>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</si>
  <si>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</si>
  <si>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</si>
  <si>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</si>
  <si>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</si>
  <si>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</si>
  <si>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</si>
  <si>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</si>
  <si>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</si>
  <si>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</si>
  <si>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</si>
  <si>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</si>
  <si>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</si>
  <si>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</si>
  <si>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</si>
  <si>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</si>
  <si>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</si>
  <si>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</si>
  <si>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</si>
  <si>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</si>
  <si>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</si>
  <si>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</si>
  <si>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</si>
  <si>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</si>
  <si>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</si>
  <si>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</si>
  <si>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</si>
  <si>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</si>
  <si>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</si>
  <si>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</si>
  <si>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</si>
  <si>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</si>
  <si>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</si>
  <si>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</si>
  <si>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</si>
  <si>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</si>
  <si>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</si>
  <si>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</si>
  <si>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</si>
  <si>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</si>
  <si>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</si>
  <si>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</si>
  <si>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</si>
  <si>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</si>
  <si>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</si>
  <si>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</si>
  <si>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</si>
  <si>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</si>
  <si>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</si>
  <si>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</si>
  <si>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</si>
  <si>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</si>
  <si>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</si>
  <si>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</si>
  <si>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</si>
  <si>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</si>
  <si>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</si>
  <si>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</si>
  <si>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</si>
  <si>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</si>
  <si>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</si>
  <si>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</si>
  <si>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</si>
  <si>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</si>
  <si>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</si>
  <si>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</si>
  <si>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</si>
  <si>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</si>
  <si>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</si>
  <si>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</si>
  <si>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</si>
  <si>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</si>
  <si>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</si>
  <si>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</si>
  <si>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</si>
  <si>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</si>
  <si>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</si>
  <si>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</si>
  <si>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</si>
  <si>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</si>
  <si>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</si>
  <si>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</si>
  <si>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</si>
  <si>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</si>
  <si>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</si>
  <si>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</si>
  <si>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</si>
  <si>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</si>
  <si>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</si>
  <si>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</si>
  <si>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</si>
  <si>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</si>
  <si>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</si>
  <si>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</si>
  <si>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</si>
  <si>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</si>
  <si>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</si>
  <si>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</si>
  <si>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</si>
  <si>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</si>
  <si>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</si>
  <si>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</si>
  <si>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</si>
  <si>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</si>
  <si>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</si>
  <si>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</si>
  <si>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</si>
  <si>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</si>
  <si>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</si>
  <si>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</si>
  <si>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</si>
  <si>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</si>
  <si>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</si>
  <si>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</si>
  <si>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</si>
  <si>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</si>
  <si>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</si>
  <si>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</si>
  <si>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</si>
  <si>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</si>
  <si>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</si>
  <si>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</si>
  <si>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</si>
  <si>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</si>
  <si>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</si>
  <si>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</si>
  <si>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</si>
  <si>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</si>
  <si>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</si>
  <si>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</si>
  <si>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</si>
  <si>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</si>
  <si>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</si>
  <si>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</si>
  <si>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</si>
  <si>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</si>
  <si>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</si>
  <si>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</si>
  <si>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</si>
  <si>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</si>
  <si>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</si>
  <si>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</si>
  <si>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</si>
  <si>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</si>
  <si>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</si>
  <si>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</si>
  <si>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</si>
  <si>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</si>
  <si>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</si>
  <si>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</si>
  <si>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</si>
  <si>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</si>
  <si>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</si>
  <si>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</si>
  <si>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</si>
  <si>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</si>
  <si>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</si>
  <si>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</si>
  <si>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</si>
  <si>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</si>
  <si>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</si>
  <si>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</si>
  <si>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</si>
  <si>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</si>
  <si>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</si>
  <si>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</si>
  <si>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</si>
  <si>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</si>
  <si>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</si>
  <si>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</si>
  <si>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</si>
  <si>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</si>
  <si>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</si>
  <si>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</si>
  <si>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</si>
  <si>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</si>
  <si>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</si>
  <si>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</si>
  <si>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</si>
  <si>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</si>
  <si>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</si>
  <si>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</si>
  <si>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</si>
  <si>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</si>
  <si>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</si>
  <si>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</si>
  <si>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</si>
  <si>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</si>
  <si>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</si>
  <si>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</si>
  <si>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</si>
  <si>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</si>
  <si>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</si>
  <si>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</si>
  <si>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</si>
  <si>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</si>
  <si>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</si>
  <si>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</si>
  <si>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</si>
  <si>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</si>
  <si>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</si>
  <si>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</si>
  <si>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</si>
  <si>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</si>
  <si>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</si>
  <si>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</si>
  <si>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</si>
  <si>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</si>
  <si>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</si>
  <si>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</si>
  <si>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</si>
  <si>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</si>
  <si>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</si>
  <si>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</si>
  <si>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</si>
  <si>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</si>
  <si>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</si>
  <si>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</si>
  <si>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</si>
  <si>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</si>
  <si>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</si>
  <si>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</si>
  <si>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</si>
  <si>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</si>
  <si>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</si>
  <si>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</si>
  <si>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</si>
  <si>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</si>
  <si>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</si>
  <si>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</si>
  <si>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</si>
  <si>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</si>
  <si>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</si>
  <si>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</si>
  <si>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</si>
  <si>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</si>
  <si>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</si>
  <si>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</si>
  <si>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</si>
  <si>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</si>
  <si>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</si>
  <si>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</si>
  <si>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</si>
  <si>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</si>
  <si>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</si>
  <si>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</si>
  <si>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</si>
  <si>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</si>
  <si>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</si>
  <si>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</si>
  <si>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</si>
  <si>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</si>
  <si>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</si>
  <si>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</si>
  <si>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</si>
  <si>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</si>
  <si>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</si>
  <si>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</si>
  <si>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</si>
  <si>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</si>
  <si>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</si>
  <si>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</si>
  <si>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</si>
  <si>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</si>
  <si>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</si>
  <si>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</si>
  <si>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</si>
  <si>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</si>
  <si>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</si>
  <si>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</si>
  <si>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</si>
  <si>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</si>
  <si>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</si>
  <si>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</si>
  <si>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</si>
  <si>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</si>
  <si>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</si>
  <si>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</si>
  <si>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</si>
  <si>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</si>
  <si>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</si>
  <si>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</si>
  <si>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</si>
  <si>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</si>
  <si>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</si>
  <si>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</si>
  <si>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</si>
  <si>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</si>
  <si>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</si>
  <si>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</si>
  <si>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</si>
  <si>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</si>
  <si>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</si>
  <si>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</si>
  <si>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</si>
  <si>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</si>
  <si>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</si>
  <si>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</si>
  <si>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</si>
  <si>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</si>
  <si>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</si>
  <si>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</si>
  <si>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</si>
  <si>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</si>
  <si>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</si>
  <si>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</si>
  <si>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</si>
  <si>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</si>
  <si>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</si>
  <si>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</si>
  <si>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</si>
  <si>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</si>
  <si>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</si>
  <si>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</si>
  <si>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</si>
  <si>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</si>
  <si>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</si>
  <si>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</si>
  <si>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</si>
  <si>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</si>
  <si>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</si>
  <si>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</si>
  <si>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</si>
  <si>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</si>
  <si>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</si>
  <si>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</si>
  <si>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</si>
  <si>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</si>
  <si>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</si>
  <si>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</si>
  <si>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</si>
  <si>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</si>
  <si>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</si>
  <si>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</si>
  <si>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</si>
  <si>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</si>
  <si>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</si>
  <si>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</si>
  <si>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</si>
  <si>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</si>
  <si>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</si>
  <si>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</si>
  <si>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</si>
  <si>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</si>
  <si>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</si>
  <si>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</si>
  <si>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</si>
  <si>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</si>
  <si>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</si>
  <si>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</si>
  <si>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</si>
  <si>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</si>
  <si>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</si>
  <si>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</si>
  <si>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</si>
  <si>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</si>
  <si>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</si>
  <si>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</si>
  <si>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</si>
  <si>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</si>
  <si>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</si>
  <si>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</si>
  <si>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</si>
  <si>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</si>
  <si>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</si>
  <si>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</si>
  <si>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</si>
  <si>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</si>
  <si>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</si>
  <si>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</si>
  <si>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</si>
  <si>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</si>
  <si>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</si>
  <si>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</si>
  <si>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</si>
  <si>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</si>
  <si>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</si>
  <si>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</si>
  <si>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</si>
  <si>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</si>
  <si>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</si>
  <si>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</si>
  <si>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</si>
  <si>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</si>
  <si>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</si>
  <si>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</si>
  <si>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</si>
  <si>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</si>
  <si>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</si>
  <si>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</si>
  <si>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</si>
  <si>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</si>
  <si>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</si>
  <si>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</si>
  <si>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</si>
  <si>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</si>
  <si>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</si>
  <si>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</si>
  <si>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</si>
  <si>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</si>
  <si>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</si>
  <si>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</si>
  <si>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</si>
  <si>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</si>
  <si>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</si>
  <si>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</si>
  <si>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</si>
  <si>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</si>
  <si>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</si>
  <si>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</si>
  <si>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</si>
  <si>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</si>
  <si>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</si>
  <si>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</si>
  <si>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</si>
  <si>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</si>
  <si>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</si>
  <si>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</si>
  <si>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</si>
  <si>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</si>
  <si>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</si>
  <si>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</si>
  <si>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</si>
  <si>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</si>
  <si>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</si>
  <si>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</si>
  <si>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</si>
  <si>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</si>
  <si>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</si>
  <si>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</si>
  <si>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</si>
  <si>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</si>
  <si>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</si>
  <si>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</si>
  <si>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</si>
  <si>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</si>
  <si>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</si>
  <si>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</si>
  <si>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</si>
  <si>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</si>
  <si>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</si>
  <si>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</si>
  <si>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</si>
  <si>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</si>
  <si>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</si>
  <si>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</si>
  <si>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</si>
  <si>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</si>
  <si>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</si>
  <si>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</si>
  <si>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</si>
  <si>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</si>
  <si>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</si>
  <si>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</si>
  <si>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</si>
  <si>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</si>
  <si>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</si>
  <si>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</si>
  <si>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</si>
  <si>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</si>
  <si>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</si>
  <si>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</si>
  <si>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</si>
  <si>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</si>
  <si>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</si>
  <si>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</si>
  <si>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</si>
  <si>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</si>
  <si>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</si>
  <si>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</si>
  <si>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</si>
  <si>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</si>
  <si>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</si>
  <si>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</si>
  <si>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</si>
  <si>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</si>
  <si>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</si>
  <si>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</si>
  <si>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</si>
  <si>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</si>
  <si>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</si>
  <si>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</si>
  <si>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</si>
  <si>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</si>
  <si>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</si>
  <si>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</si>
  <si>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</si>
  <si>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</si>
  <si>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</si>
  <si>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</si>
  <si>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</si>
  <si>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</si>
  <si>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</si>
  <si>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</si>
  <si>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</si>
  <si>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</si>
  <si>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</si>
  <si>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</si>
  <si>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</si>
  <si>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</si>
  <si>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</si>
  <si>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</si>
  <si>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</si>
  <si>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</si>
  <si>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</si>
  <si>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</si>
  <si>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</si>
  <si>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</si>
  <si>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</si>
  <si>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</si>
  <si>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</si>
  <si>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</si>
  <si>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</si>
  <si>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</si>
  <si>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</si>
  <si>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</si>
  <si>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</si>
  <si>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</si>
  <si>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</si>
  <si>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</si>
  <si>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</si>
  <si>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</si>
  <si>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</si>
  <si>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</si>
  <si>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</si>
  <si>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</si>
  <si>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</si>
  <si>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</si>
  <si>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</si>
  <si>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</si>
  <si>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</si>
  <si>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</si>
  <si>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</si>
  <si>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</si>
  <si>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</si>
  <si>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</si>
  <si>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</si>
  <si>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</si>
  <si>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</si>
  <si>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</si>
  <si>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</si>
  <si>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</si>
  <si>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</si>
  <si>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</si>
  <si>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</si>
  <si>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</si>
  <si>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</si>
  <si>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</si>
  <si>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</si>
  <si>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</si>
  <si>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</si>
  <si>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</si>
  <si>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</si>
  <si>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</si>
  <si>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</si>
  <si>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</si>
  <si>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</si>
  <si>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</si>
  <si>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</si>
  <si>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</si>
  <si>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</si>
  <si>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</si>
  <si>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</si>
  <si>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</si>
  <si>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</si>
  <si>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</si>
  <si>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</si>
  <si>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</si>
  <si>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</si>
  <si>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</si>
  <si>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</si>
  <si>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</si>
  <si>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</si>
  <si>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</si>
  <si>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</si>
  <si>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</si>
  <si>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</si>
  <si>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</si>
  <si>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</si>
  <si>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</si>
  <si>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</si>
  <si>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</si>
  <si>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</si>
  <si>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</si>
  <si>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</si>
  <si>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</si>
  <si>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</si>
  <si>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</si>
  <si>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</si>
  <si>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</si>
  <si>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</si>
  <si>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</si>
  <si>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</si>
  <si>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</si>
  <si>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</si>
  <si>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</si>
  <si>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</si>
  <si>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</si>
  <si>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</si>
  <si>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</si>
  <si>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</si>
  <si>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</si>
  <si>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</si>
  <si>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</si>
  <si>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</si>
  <si>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</si>
  <si>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</si>
  <si>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</si>
  <si>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</si>
  <si>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</si>
  <si>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</si>
  <si>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</si>
  <si>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</si>
  <si>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</si>
  <si>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</si>
  <si>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</si>
  <si>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</si>
  <si>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</si>
  <si>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</si>
  <si>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</si>
  <si>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</si>
  <si>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</si>
  <si>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</si>
  <si>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</si>
  <si>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</si>
  <si>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</si>
  <si>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</si>
  <si>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</si>
  <si>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</si>
  <si>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</si>
  <si>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</si>
  <si>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</si>
  <si>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</si>
  <si>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</si>
  <si>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</si>
  <si>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</si>
  <si>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</si>
  <si>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</si>
  <si>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</si>
  <si>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</si>
  <si>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</si>
  <si>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</si>
  <si>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</si>
  <si>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</si>
  <si>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</si>
  <si>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</si>
  <si>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</si>
  <si>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</si>
  <si>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</si>
  <si>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</si>
  <si>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</si>
  <si>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</si>
  <si>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</si>
  <si>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</si>
  <si>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</si>
  <si>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</si>
  <si>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</si>
  <si>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</si>
  <si>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</si>
  <si>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</si>
  <si>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</si>
  <si>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</si>
  <si>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2/19</t>
  </si>
  <si>
    <t>2/39</t>
  </si>
  <si>
    <t>8/09</t>
  </si>
  <si>
    <t>6/21</t>
  </si>
  <si>
    <t>Hudson School District - SAU #81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</si>
</sst>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10" zoomScaleNormal="110" workbookViewId="0">
      <pane xSplit="5" ySplit="3" topLeftCell="F642"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1646</v>
      </c>
      <c r="B2" s="21">
        <v>267</v>
      </c>
      <c r="C2" s="21">
        <v>267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3308256.88</v>
      </c>
      <c r="G9" s="18">
        <v>149245.47</v>
      </c>
      <c r="H9" s="18">
        <v>354656.96000000008</v>
      </c>
      <c r="I9" s="18">
        <v>3172601.53</v>
      </c>
      <c r="J9" s="67">
        <f>SUM(I440)</f>
        <v>858093.58</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584821.35</v>
      </c>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466493.76</v>
      </c>
      <c r="G13" s="18"/>
      <c r="H13" s="18">
        <v>699490.5</v>
      </c>
      <c r="I13" s="18">
        <v>895787.95</v>
      </c>
      <c r="J13" s="67">
        <f>SUM(I443)</f>
        <v>0</v>
      </c>
      <c r="K13" s="24" t="s">
        <v>288</v>
      </c>
      <c r="L13" s="24" t="s">
        <v>288</v>
      </c>
      <c r="M13" s="8"/>
      <c r="N13" s="266"/>
    </row>
    <row r="14" spans="1:14" s="3" customFormat="1" ht="12.2" customHeight="1" x14ac:dyDescent="0.15">
      <c r="A14" s="1" t="s">
        <v>565</v>
      </c>
      <c r="B14" s="2" t="s">
        <v>289</v>
      </c>
      <c r="C14" s="6">
        <v>6</v>
      </c>
      <c r="D14" s="2" t="s">
        <v>428</v>
      </c>
      <c r="E14" s="6">
        <v>150</v>
      </c>
      <c r="F14" s="18">
        <v>22217.38</v>
      </c>
      <c r="G14" s="18"/>
      <c r="H14" s="18"/>
      <c r="I14" s="18"/>
      <c r="J14" s="67">
        <f>SUM(I444)</f>
        <v>10452.35</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154308.38</v>
      </c>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4536097.75</v>
      </c>
      <c r="G19" s="41">
        <f>SUM(G9:G18)</f>
        <v>149245.47</v>
      </c>
      <c r="H19" s="41">
        <f>SUM(H9:H18)</f>
        <v>1054147.46</v>
      </c>
      <c r="I19" s="41">
        <f>SUM(I9:I18)</f>
        <v>4068389.4799999995</v>
      </c>
      <c r="J19" s="41">
        <f>SUM(J9:J18)</f>
        <v>868545.92999999993</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v>574369</v>
      </c>
      <c r="I22" s="18"/>
      <c r="J22" s="67">
        <f>SUM(I449)</f>
        <v>10452.35</v>
      </c>
      <c r="K22" s="24" t="s">
        <v>288</v>
      </c>
      <c r="L22" s="24" t="s">
        <v>288</v>
      </c>
      <c r="M22" s="8"/>
      <c r="N22" s="266"/>
    </row>
    <row r="23" spans="1:14" s="3" customFormat="1" ht="12.2" customHeight="1" x14ac:dyDescent="0.15">
      <c r="A23" s="1" t="s">
        <v>607</v>
      </c>
      <c r="B23" s="2" t="s">
        <v>289</v>
      </c>
      <c r="C23" s="6">
        <v>13</v>
      </c>
      <c r="D23" s="2" t="s">
        <v>429</v>
      </c>
      <c r="E23" s="6">
        <v>410</v>
      </c>
      <c r="F23" s="18"/>
      <c r="G23" s="18"/>
      <c r="H23" s="18">
        <v>18557.38</v>
      </c>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359534.26</v>
      </c>
      <c r="G24" s="18"/>
      <c r="H24" s="18">
        <v>92727.8</v>
      </c>
      <c r="I24" s="18">
        <v>2969399.7</v>
      </c>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38139.629999999997</v>
      </c>
      <c r="G28" s="18">
        <v>59621.99</v>
      </c>
      <c r="H28" s="18">
        <v>37083.51</v>
      </c>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1780496</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2178169.89</v>
      </c>
      <c r="G32" s="41">
        <f>SUM(G22:G31)</f>
        <v>59621.99</v>
      </c>
      <c r="H32" s="41">
        <f>SUM(H22:H31)</f>
        <v>722737.69000000006</v>
      </c>
      <c r="I32" s="41">
        <f>SUM(I22:I31)</f>
        <v>2969399.7</v>
      </c>
      <c r="J32" s="41">
        <f>SUM(J22:J31)</f>
        <v>10452.35</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154308</v>
      </c>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600000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89623.48</v>
      </c>
      <c r="H48" s="18">
        <v>207116.42000000045</v>
      </c>
      <c r="I48" s="18">
        <v>839160.31</v>
      </c>
      <c r="J48" s="13">
        <f>SUM(I460)</f>
        <v>858093.58</v>
      </c>
      <c r="K48" s="24" t="s">
        <v>288</v>
      </c>
      <c r="L48" s="24" t="s">
        <v>288</v>
      </c>
      <c r="M48" s="8"/>
      <c r="N48" s="266"/>
    </row>
    <row r="49" spans="1:14" s="3" customFormat="1" ht="12.2" customHeight="1" x14ac:dyDescent="0.15">
      <c r="A49" s="1" t="s">
        <v>859</v>
      </c>
      <c r="B49" s="2" t="s">
        <v>289</v>
      </c>
      <c r="C49" s="6">
        <v>34</v>
      </c>
      <c r="D49" s="2"/>
      <c r="E49" s="6">
        <v>753</v>
      </c>
      <c r="F49" s="18">
        <v>641980.25</v>
      </c>
      <c r="G49" s="18"/>
      <c r="H49" s="18">
        <v>124293.34999999999</v>
      </c>
      <c r="I49" s="18">
        <v>259829.47</v>
      </c>
      <c r="J49" s="13">
        <f>I455</f>
        <v>0</v>
      </c>
      <c r="K49" s="24"/>
      <c r="L49" s="24"/>
      <c r="M49" s="8"/>
      <c r="N49" s="266"/>
    </row>
    <row r="50" spans="1:14" s="3" customFormat="1" ht="12.2" customHeight="1" thickBot="1" x14ac:dyDescent="0.2">
      <c r="A50" s="29" t="s">
        <v>840</v>
      </c>
      <c r="B50" s="2" t="s">
        <v>289</v>
      </c>
      <c r="C50" s="71">
        <v>35</v>
      </c>
      <c r="D50" s="2" t="s">
        <v>653</v>
      </c>
      <c r="E50" s="6">
        <v>770</v>
      </c>
      <c r="F50" s="18">
        <v>961639.61</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2357927.86</v>
      </c>
      <c r="G51" s="41">
        <f>SUM(G35:G50)</f>
        <v>89623.48</v>
      </c>
      <c r="H51" s="41">
        <f>SUM(H35:H50)</f>
        <v>331409.77000000043</v>
      </c>
      <c r="I51" s="41">
        <f>SUM(I35:I50)</f>
        <v>1098989.78</v>
      </c>
      <c r="J51" s="41">
        <f>SUM(J35:J50)</f>
        <v>858093.58</v>
      </c>
      <c r="K51" s="45" t="s">
        <v>288</v>
      </c>
      <c r="L51" s="45" t="s">
        <v>288</v>
      </c>
      <c r="N51" s="264"/>
    </row>
    <row r="52" spans="1:14" s="3" customFormat="1" ht="12.2" customHeight="1" thickTop="1" x14ac:dyDescent="0.15">
      <c r="A52" s="38" t="s">
        <v>455</v>
      </c>
      <c r="B52" s="39" t="s">
        <v>289</v>
      </c>
      <c r="C52" s="6">
        <v>37</v>
      </c>
      <c r="D52" s="39" t="s">
        <v>653</v>
      </c>
      <c r="E52" s="39"/>
      <c r="F52" s="41">
        <f>F51+F32</f>
        <v>4536097.75</v>
      </c>
      <c r="G52" s="41">
        <f>G51+G32</f>
        <v>149245.47</v>
      </c>
      <c r="H52" s="41">
        <f>H51+H32</f>
        <v>1054147.4600000004</v>
      </c>
      <c r="I52" s="41">
        <f>I51+I32</f>
        <v>4068389.4800000004</v>
      </c>
      <c r="J52" s="41">
        <f>J51+J32</f>
        <v>868545.92999999993</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35914189</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35914189</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56815</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v>127061.28</v>
      </c>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183876.28</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39970.620000000003</v>
      </c>
      <c r="G96" s="18">
        <v>760.21</v>
      </c>
      <c r="H96" s="18">
        <v>2232.4300000000003</v>
      </c>
      <c r="I96" s="18">
        <v>44329.39</v>
      </c>
      <c r="J96" s="18">
        <v>19828.46</v>
      </c>
      <c r="K96" s="24" t="s">
        <v>288</v>
      </c>
      <c r="L96" s="24" t="s">
        <v>288</v>
      </c>
      <c r="M96" s="8"/>
      <c r="N96" s="266"/>
    </row>
    <row r="97" spans="1:14" s="3" customFormat="1" ht="12.2" customHeight="1" x14ac:dyDescent="0.15">
      <c r="A97" s="1" t="s">
        <v>503</v>
      </c>
      <c r="B97" s="2" t="s">
        <v>315</v>
      </c>
      <c r="C97" s="6">
        <v>12</v>
      </c>
      <c r="D97" s="2" t="s">
        <v>430</v>
      </c>
      <c r="E97" s="6">
        <v>1600</v>
      </c>
      <c r="F97" s="24" t="s">
        <v>288</v>
      </c>
      <c r="G97" s="18">
        <v>526192.31999999995</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18838</v>
      </c>
      <c r="G98" s="24" t="s">
        <v>288</v>
      </c>
      <c r="H98" s="18">
        <v>1692.52</v>
      </c>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v>5000</v>
      </c>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19614.5</v>
      </c>
      <c r="G101" s="18"/>
      <c r="H101" s="18">
        <v>9000</v>
      </c>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250000</v>
      </c>
      <c r="G102" s="18">
        <v>11454.44</v>
      </c>
      <c r="H102" s="18"/>
      <c r="I102" s="18"/>
      <c r="J102" s="18">
        <v>128065.67</v>
      </c>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v>90550.18</v>
      </c>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116571.22</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444994.33999999997</v>
      </c>
      <c r="G111" s="41">
        <f>SUM(G96:G110)</f>
        <v>543406.96999999986</v>
      </c>
      <c r="H111" s="41">
        <f>SUM(H96:H110)</f>
        <v>103475.12999999999</v>
      </c>
      <c r="I111" s="41">
        <f>SUM(I96:I110)</f>
        <v>44329.39</v>
      </c>
      <c r="J111" s="41">
        <f>SUM(J96:J110)</f>
        <v>147894.13</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36543059.620000005</v>
      </c>
      <c r="G112" s="41">
        <f>G60+G111</f>
        <v>543406.96999999986</v>
      </c>
      <c r="H112" s="41">
        <f>H60+H79+H94+H111</f>
        <v>103475.12999999999</v>
      </c>
      <c r="I112" s="41">
        <f>I60+I111</f>
        <v>44329.39</v>
      </c>
      <c r="J112" s="41">
        <f>J60+J111</f>
        <v>147894.13</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7584611</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6267625</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24744.54</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13876980.539999999</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278631.90000000002</v>
      </c>
      <c r="G123" s="24" t="s">
        <v>288</v>
      </c>
      <c r="H123" s="24" t="s">
        <v>288</v>
      </c>
      <c r="I123" s="18">
        <v>7820381.9699999997</v>
      </c>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480565.57</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154163.81</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18368.63</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913361.28</v>
      </c>
      <c r="G136" s="41">
        <f>SUM(G123:G135)</f>
        <v>18368.63</v>
      </c>
      <c r="H136" s="41">
        <f>SUM(H123:H135)</f>
        <v>0</v>
      </c>
      <c r="I136" s="41">
        <f>SUM(I123:I135)</f>
        <v>7820381.9699999997</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14790341.819999998</v>
      </c>
      <c r="G140" s="41">
        <f>G121+SUM(G136:G137)</f>
        <v>18368.63</v>
      </c>
      <c r="H140" s="41">
        <f>H121+SUM(H136:H139)</f>
        <v>0</v>
      </c>
      <c r="I140" s="41">
        <f>I121+I136</f>
        <v>7820381.9699999997</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539393.98</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359236.74000000005</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v>134328.79999999999</v>
      </c>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v>69143.91</v>
      </c>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321792.31</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965160.92999999993</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41494.67</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v>65925.89</v>
      </c>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v>161805.6</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41494.67</v>
      </c>
      <c r="G163" s="41">
        <f>SUM(G150:G162)</f>
        <v>321792.31</v>
      </c>
      <c r="H163" s="41">
        <f>SUM(H150:H162)</f>
        <v>2294995.85</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41494.67</v>
      </c>
      <c r="G170" s="41">
        <f>G147+G163+SUM(G164:G169)</f>
        <v>321792.31</v>
      </c>
      <c r="H170" s="41">
        <f>H147+H163+SUM(H164:H169)</f>
        <v>2294995.85</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222487.02</v>
      </c>
      <c r="H180" s="18"/>
      <c r="I180" s="18"/>
      <c r="J180" s="18">
        <v>100000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v>56387.41</v>
      </c>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56387.41</v>
      </c>
      <c r="G184" s="41">
        <f>SUM(G180:G183)</f>
        <v>222487.02</v>
      </c>
      <c r="H184" s="41">
        <f>SUM(H180:H183)</f>
        <v>0</v>
      </c>
      <c r="I184" s="41">
        <f>SUM(I180:I183)</f>
        <v>0</v>
      </c>
      <c r="J184" s="41">
        <f>SUM(J180:J183)</f>
        <v>100000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56387.41</v>
      </c>
      <c r="G193" s="41">
        <f>G184+SUM(G189:G192)</f>
        <v>222487.02</v>
      </c>
      <c r="H193" s="41">
        <f>+H184+SUM(H189:H192)</f>
        <v>0</v>
      </c>
      <c r="I193" s="41">
        <f>I178+I184+SUM(I189:I192)</f>
        <v>0</v>
      </c>
      <c r="J193" s="41">
        <f>J184</f>
        <v>100000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51431283.520000003</v>
      </c>
      <c r="G194" s="47">
        <f>G112+G140+G170+G193</f>
        <v>1106054.93</v>
      </c>
      <c r="H194" s="47">
        <f>H112+H140+H170+H193</f>
        <v>2398470.98</v>
      </c>
      <c r="I194" s="47">
        <f>I112+I140+I170+I193</f>
        <v>7864711.3599999994</v>
      </c>
      <c r="J194" s="47">
        <f>J112+J140+J193</f>
        <v>247894.13</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4255405.4970399998</v>
      </c>
      <c r="G198" s="18">
        <v>2346840.2972400002</v>
      </c>
      <c r="H198" s="18">
        <v>111520.78932000001</v>
      </c>
      <c r="I198" s="18">
        <v>274500.46480000002</v>
      </c>
      <c r="J198" s="18">
        <v>42101.51</v>
      </c>
      <c r="K198" s="18">
        <v>1016</v>
      </c>
      <c r="L198" s="19">
        <f>SUM(F198:K198)</f>
        <v>7031384.5584000004</v>
      </c>
      <c r="M198" s="8"/>
      <c r="N198" s="266"/>
    </row>
    <row r="199" spans="1:14" s="3" customFormat="1" ht="12.2" customHeight="1" x14ac:dyDescent="0.15">
      <c r="A199" s="1" t="s">
        <v>439</v>
      </c>
      <c r="B199" s="2" t="s">
        <v>341</v>
      </c>
      <c r="C199" s="2" t="s">
        <v>291</v>
      </c>
      <c r="D199" s="2" t="s">
        <v>431</v>
      </c>
      <c r="E199" s="6">
        <v>1200</v>
      </c>
      <c r="F199" s="18">
        <v>2135896.5172839998</v>
      </c>
      <c r="G199" s="18">
        <v>764792.86370400002</v>
      </c>
      <c r="H199" s="18">
        <v>98395.166771999997</v>
      </c>
      <c r="I199" s="18">
        <v>17196.333425000001</v>
      </c>
      <c r="J199" s="18">
        <v>30764.391999999993</v>
      </c>
      <c r="K199" s="18"/>
      <c r="L199" s="19">
        <f>SUM(F199:K199)</f>
        <v>3047045.2731849998</v>
      </c>
      <c r="M199" s="8"/>
      <c r="N199" s="266"/>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6"/>
    </row>
    <row r="201" spans="1:14" s="3" customFormat="1" ht="12.2" customHeight="1" x14ac:dyDescent="0.15">
      <c r="A201" s="1" t="s">
        <v>441</v>
      </c>
      <c r="B201" s="2" t="s">
        <v>341</v>
      </c>
      <c r="C201" s="2" t="s">
        <v>293</v>
      </c>
      <c r="D201" s="2" t="s">
        <v>431</v>
      </c>
      <c r="E201" s="6">
        <v>1400</v>
      </c>
      <c r="F201" s="18">
        <v>9450</v>
      </c>
      <c r="G201" s="18">
        <v>2403.7799999999997</v>
      </c>
      <c r="H201" s="18">
        <v>0</v>
      </c>
      <c r="I201" s="18">
        <v>0</v>
      </c>
      <c r="J201" s="18">
        <v>0</v>
      </c>
      <c r="K201" s="18">
        <v>0</v>
      </c>
      <c r="L201" s="19">
        <f>SUM(F201:K201)</f>
        <v>11853.779999999999</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1129938.4868629999</v>
      </c>
      <c r="G203" s="18">
        <v>566706.64363099984</v>
      </c>
      <c r="H203" s="18">
        <v>80545.211137000006</v>
      </c>
      <c r="I203" s="18">
        <v>27738.152633000002</v>
      </c>
      <c r="J203" s="18">
        <v>334.88</v>
      </c>
      <c r="K203" s="18">
        <v>434.75850000000003</v>
      </c>
      <c r="L203" s="19">
        <f t="shared" ref="L203:L209" si="0">SUM(F203:K203)</f>
        <v>1805698.1327639995</v>
      </c>
      <c r="M203" s="8"/>
      <c r="N203" s="266"/>
    </row>
    <row r="204" spans="1:14" s="3" customFormat="1" ht="12.2" customHeight="1" x14ac:dyDescent="0.15">
      <c r="A204" s="1" t="s">
        <v>443</v>
      </c>
      <c r="B204" s="2" t="s">
        <v>341</v>
      </c>
      <c r="C204" s="2" t="s">
        <v>295</v>
      </c>
      <c r="D204" s="2" t="s">
        <v>431</v>
      </c>
      <c r="E204" s="6">
        <v>2200</v>
      </c>
      <c r="F204" s="18">
        <v>287239.121055</v>
      </c>
      <c r="G204" s="18">
        <v>214840.27032499999</v>
      </c>
      <c r="H204" s="18">
        <v>35099.741790000007</v>
      </c>
      <c r="I204" s="18">
        <v>66502.764850000007</v>
      </c>
      <c r="J204" s="18">
        <v>93889.874860000011</v>
      </c>
      <c r="K204" s="18">
        <v>296</v>
      </c>
      <c r="L204" s="19">
        <f t="shared" si="0"/>
        <v>697867.77288000006</v>
      </c>
      <c r="M204" s="8"/>
      <c r="N204" s="266"/>
    </row>
    <row r="205" spans="1:14" s="3" customFormat="1" ht="12.2" customHeight="1" x14ac:dyDescent="0.15">
      <c r="A205" s="1" t="s">
        <v>444</v>
      </c>
      <c r="B205" s="2" t="s">
        <v>341</v>
      </c>
      <c r="C205" s="2" t="s">
        <v>296</v>
      </c>
      <c r="D205" s="2" t="s">
        <v>431</v>
      </c>
      <c r="E205" s="6">
        <v>2300</v>
      </c>
      <c r="F205" s="18">
        <v>220729.23895999999</v>
      </c>
      <c r="G205" s="18">
        <v>99866.023119999998</v>
      </c>
      <c r="H205" s="18">
        <v>35763.408679999993</v>
      </c>
      <c r="I205" s="18">
        <v>8899.1258400000006</v>
      </c>
      <c r="J205" s="18">
        <v>1008.4647599999998</v>
      </c>
      <c r="K205" s="18">
        <v>8588.144119999999</v>
      </c>
      <c r="L205" s="19">
        <f t="shared" si="0"/>
        <v>374854.40548000002</v>
      </c>
      <c r="M205" s="8"/>
      <c r="N205" s="266"/>
    </row>
    <row r="206" spans="1:14" s="3" customFormat="1" ht="12.2" customHeight="1" x14ac:dyDescent="0.15">
      <c r="A206" s="1" t="s">
        <v>445</v>
      </c>
      <c r="B206" s="2" t="s">
        <v>341</v>
      </c>
      <c r="C206" s="2" t="s">
        <v>297</v>
      </c>
      <c r="D206" s="2" t="s">
        <v>431</v>
      </c>
      <c r="E206" s="6">
        <v>2400</v>
      </c>
      <c r="F206" s="18">
        <v>805849.37999999989</v>
      </c>
      <c r="G206" s="18">
        <v>440299.04</v>
      </c>
      <c r="H206" s="18">
        <v>17688.085610000002</v>
      </c>
      <c r="I206" s="18">
        <v>12108.140000000001</v>
      </c>
      <c r="J206" s="18">
        <v>3801.9700000000003</v>
      </c>
      <c r="K206" s="18">
        <v>5130</v>
      </c>
      <c r="L206" s="19">
        <f t="shared" si="0"/>
        <v>1284876.6156099997</v>
      </c>
      <c r="M206" s="8"/>
      <c r="N206" s="266"/>
    </row>
    <row r="207" spans="1:14" s="3" customFormat="1" ht="12.2" customHeight="1" x14ac:dyDescent="0.15">
      <c r="A207" s="1" t="s">
        <v>446</v>
      </c>
      <c r="B207" s="2" t="s">
        <v>341</v>
      </c>
      <c r="C207" s="2" t="s">
        <v>298</v>
      </c>
      <c r="D207" s="2" t="s">
        <v>431</v>
      </c>
      <c r="E207" s="6">
        <v>2500</v>
      </c>
      <c r="F207" s="18">
        <v>268944.85324000003</v>
      </c>
      <c r="G207" s="18">
        <v>127108.0564</v>
      </c>
      <c r="H207" s="18">
        <v>40610.9018</v>
      </c>
      <c r="I207" s="18">
        <v>3377.4276800000007</v>
      </c>
      <c r="J207" s="18">
        <v>1086.83952</v>
      </c>
      <c r="K207" s="18"/>
      <c r="L207" s="19">
        <f t="shared" si="0"/>
        <v>441128.07864000002</v>
      </c>
      <c r="M207" s="8"/>
      <c r="N207" s="266"/>
    </row>
    <row r="208" spans="1:14" s="3" customFormat="1" ht="12.2" customHeight="1" x14ac:dyDescent="0.15">
      <c r="A208" s="1" t="s">
        <v>447</v>
      </c>
      <c r="B208" s="2" t="s">
        <v>341</v>
      </c>
      <c r="C208" s="2" t="s">
        <v>299</v>
      </c>
      <c r="D208" s="2" t="s">
        <v>431</v>
      </c>
      <c r="E208" s="6">
        <v>2600</v>
      </c>
      <c r="F208" s="18">
        <v>820442.99627</v>
      </c>
      <c r="G208" s="18">
        <v>450337.72952000005</v>
      </c>
      <c r="H208" s="18">
        <v>628284.99635000015</v>
      </c>
      <c r="I208" s="18">
        <v>399212.21288000001</v>
      </c>
      <c r="J208" s="18">
        <v>38644.446029999999</v>
      </c>
      <c r="K208" s="18"/>
      <c r="L208" s="19">
        <f t="shared" si="0"/>
        <v>2336922.3810500004</v>
      </c>
      <c r="M208" s="8"/>
      <c r="N208" s="266"/>
    </row>
    <row r="209" spans="1:14" s="3" customFormat="1" ht="12.2" customHeight="1" x14ac:dyDescent="0.15">
      <c r="A209" s="1" t="s">
        <v>448</v>
      </c>
      <c r="B209" s="2" t="s">
        <v>341</v>
      </c>
      <c r="C209" s="2" t="s">
        <v>300</v>
      </c>
      <c r="D209" s="2" t="s">
        <v>431</v>
      </c>
      <c r="E209" s="6">
        <v>2700</v>
      </c>
      <c r="F209" s="18"/>
      <c r="G209" s="18"/>
      <c r="H209" s="18">
        <v>843978.34381500003</v>
      </c>
      <c r="I209" s="18"/>
      <c r="J209" s="18"/>
      <c r="K209" s="18"/>
      <c r="L209" s="19">
        <f t="shared" si="0"/>
        <v>843978.34381500003</v>
      </c>
      <c r="M209" s="8"/>
      <c r="N209" s="266"/>
    </row>
    <row r="210" spans="1:14" s="3" customFormat="1" ht="12.2" customHeight="1" x14ac:dyDescent="0.15">
      <c r="A210" s="1" t="s">
        <v>449</v>
      </c>
      <c r="B210" s="2" t="s">
        <v>341</v>
      </c>
      <c r="C210" s="2" t="s">
        <v>343</v>
      </c>
      <c r="D210" s="2" t="s">
        <v>431</v>
      </c>
      <c r="E210" s="6">
        <v>2800</v>
      </c>
      <c r="F210" s="18"/>
      <c r="G210" s="18"/>
      <c r="H210" s="18">
        <v>37953.403039999997</v>
      </c>
      <c r="I210" s="18">
        <v>72350.059280000001</v>
      </c>
      <c r="J210" s="18">
        <v>16768.4126</v>
      </c>
      <c r="K210" s="18">
        <v>397.58</v>
      </c>
      <c r="L210" s="19">
        <f>SUM(F210:K210)</f>
        <v>127469.45491999999</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9933896.0907119997</v>
      </c>
      <c r="G212" s="41">
        <f t="shared" si="1"/>
        <v>5013194.7039400004</v>
      </c>
      <c r="H212" s="41">
        <f t="shared" si="1"/>
        <v>1929840.0483140002</v>
      </c>
      <c r="I212" s="41">
        <f t="shared" si="1"/>
        <v>881884.68138800014</v>
      </c>
      <c r="J212" s="41">
        <f t="shared" si="1"/>
        <v>228400.78977000003</v>
      </c>
      <c r="K212" s="41">
        <f t="shared" si="1"/>
        <v>15862.482619999999</v>
      </c>
      <c r="L212" s="41">
        <f t="shared" si="1"/>
        <v>18003078.796744</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v>3250001.0206399998</v>
      </c>
      <c r="G216" s="18">
        <v>1795770.8563400006</v>
      </c>
      <c r="H216" s="18">
        <v>48568.455620000001</v>
      </c>
      <c r="I216" s="18">
        <v>114390.51180000001</v>
      </c>
      <c r="J216" s="18">
        <v>34866.9</v>
      </c>
      <c r="K216" s="18">
        <v>1777.5</v>
      </c>
      <c r="L216" s="19">
        <f>SUM(F216:K216)</f>
        <v>5245375.2444000011</v>
      </c>
      <c r="M216" s="8"/>
      <c r="N216" s="266"/>
    </row>
    <row r="217" spans="1:14" s="3" customFormat="1" ht="12.2" customHeight="1" x14ac:dyDescent="0.15">
      <c r="A217" s="1" t="s">
        <v>439</v>
      </c>
      <c r="B217" s="2" t="s">
        <v>346</v>
      </c>
      <c r="C217" s="2" t="s">
        <v>291</v>
      </c>
      <c r="D217" s="2" t="s">
        <v>431</v>
      </c>
      <c r="E217" s="6">
        <v>1200</v>
      </c>
      <c r="F217" s="18">
        <v>996439.25345600001</v>
      </c>
      <c r="G217" s="18">
        <v>412653.540736</v>
      </c>
      <c r="H217" s="18">
        <v>472498.19164800004</v>
      </c>
      <c r="I217" s="18">
        <v>3327.6902</v>
      </c>
      <c r="J217" s="18">
        <v>12433.867999999999</v>
      </c>
      <c r="K217" s="18"/>
      <c r="L217" s="19">
        <f>SUM(F217:K217)</f>
        <v>1897352.5440400003</v>
      </c>
      <c r="M217" s="8"/>
      <c r="N217" s="266"/>
    </row>
    <row r="218" spans="1:14" s="3" customFormat="1" ht="12.2" customHeight="1" x14ac:dyDescent="0.15">
      <c r="A218" s="1" t="s">
        <v>440</v>
      </c>
      <c r="B218" s="2" t="s">
        <v>346</v>
      </c>
      <c r="C218" s="2" t="s">
        <v>292</v>
      </c>
      <c r="D218" s="2" t="s">
        <v>431</v>
      </c>
      <c r="E218" s="6">
        <v>1300</v>
      </c>
      <c r="F218" s="18">
        <v>40999.919999999998</v>
      </c>
      <c r="G218" s="18">
        <v>15355.3</v>
      </c>
      <c r="H218" s="18">
        <v>0</v>
      </c>
      <c r="I218" s="18">
        <v>4303.16</v>
      </c>
      <c r="J218" s="18">
        <v>0</v>
      </c>
      <c r="K218" s="18">
        <v>646.29999999999995</v>
      </c>
      <c r="L218" s="19">
        <f>SUM(F218:K218)</f>
        <v>61304.680000000008</v>
      </c>
      <c r="M218" s="8"/>
      <c r="N218" s="266"/>
    </row>
    <row r="219" spans="1:14" s="3" customFormat="1" ht="12.2" customHeight="1" x14ac:dyDescent="0.15">
      <c r="A219" s="1" t="s">
        <v>441</v>
      </c>
      <c r="B219" s="2" t="s">
        <v>346</v>
      </c>
      <c r="C219" s="2" t="s">
        <v>293</v>
      </c>
      <c r="D219" s="2" t="s">
        <v>431</v>
      </c>
      <c r="E219" s="6">
        <v>1400</v>
      </c>
      <c r="F219" s="18">
        <v>58114.49</v>
      </c>
      <c r="G219" s="18">
        <v>14132.55</v>
      </c>
      <c r="H219" s="18">
        <v>12693</v>
      </c>
      <c r="I219" s="18">
        <v>6183.34</v>
      </c>
      <c r="J219" s="18">
        <v>0</v>
      </c>
      <c r="K219" s="18">
        <v>1415</v>
      </c>
      <c r="L219" s="19">
        <f>SUM(F219:K219)</f>
        <v>92538.37999999999</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v>799144.52009200002</v>
      </c>
      <c r="G221" s="18">
        <v>470951.83540400001</v>
      </c>
      <c r="H221" s="18">
        <v>72069.701808000013</v>
      </c>
      <c r="I221" s="18">
        <v>9251.3928720000004</v>
      </c>
      <c r="J221" s="18">
        <v>0</v>
      </c>
      <c r="K221" s="18">
        <v>491.36400000000003</v>
      </c>
      <c r="L221" s="19">
        <f t="shared" ref="L221:L227" si="2">SUM(F221:K221)</f>
        <v>1351908.8141760002</v>
      </c>
      <c r="M221" s="8"/>
      <c r="N221" s="266"/>
    </row>
    <row r="222" spans="1:14" s="3" customFormat="1" ht="12.2" customHeight="1" x14ac:dyDescent="0.15">
      <c r="A222" s="1" t="s">
        <v>443</v>
      </c>
      <c r="B222" s="2" t="s">
        <v>346</v>
      </c>
      <c r="C222" s="2" t="s">
        <v>295</v>
      </c>
      <c r="D222" s="2" t="s">
        <v>431</v>
      </c>
      <c r="E222" s="6">
        <v>2200</v>
      </c>
      <c r="F222" s="18">
        <v>135184.91445499999</v>
      </c>
      <c r="G222" s="18">
        <v>114785.121325</v>
      </c>
      <c r="H222" s="18">
        <v>27269.416990000002</v>
      </c>
      <c r="I222" s="18">
        <v>35374.832850000006</v>
      </c>
      <c r="J222" s="18">
        <v>105799.60166</v>
      </c>
      <c r="K222" s="18">
        <v>1011</v>
      </c>
      <c r="L222" s="19">
        <f t="shared" si="2"/>
        <v>419424.88727999997</v>
      </c>
      <c r="M222" s="8"/>
      <c r="N222" s="266"/>
    </row>
    <row r="223" spans="1:14" s="3" customFormat="1" ht="12.2" customHeight="1" x14ac:dyDescent="0.15">
      <c r="A223" s="1" t="s">
        <v>444</v>
      </c>
      <c r="B223" s="2" t="s">
        <v>346</v>
      </c>
      <c r="C223" s="2" t="s">
        <v>296</v>
      </c>
      <c r="D223" s="2" t="s">
        <v>431</v>
      </c>
      <c r="E223" s="6">
        <v>2300</v>
      </c>
      <c r="F223" s="18">
        <v>129651.64035999999</v>
      </c>
      <c r="G223" s="18">
        <v>58659.168919999996</v>
      </c>
      <c r="H223" s="18">
        <v>21006.662380000002</v>
      </c>
      <c r="I223" s="18">
        <v>5227.1564399999997</v>
      </c>
      <c r="J223" s="18">
        <v>592.35065999999983</v>
      </c>
      <c r="K223" s="18">
        <v>5044.4924199999996</v>
      </c>
      <c r="L223" s="19">
        <f t="shared" si="2"/>
        <v>220181.47117999996</v>
      </c>
      <c r="M223" s="8"/>
      <c r="N223" s="266"/>
    </row>
    <row r="224" spans="1:14" s="3" customFormat="1" ht="12.2" customHeight="1" x14ac:dyDescent="0.15">
      <c r="A224" s="1" t="s">
        <v>445</v>
      </c>
      <c r="B224" s="2" t="s">
        <v>346</v>
      </c>
      <c r="C224" s="2" t="s">
        <v>297</v>
      </c>
      <c r="D224" s="2" t="s">
        <v>431</v>
      </c>
      <c r="E224" s="6">
        <v>2400</v>
      </c>
      <c r="F224" s="18">
        <v>414520.04000000004</v>
      </c>
      <c r="G224" s="18">
        <v>267320.67000000004</v>
      </c>
      <c r="H224" s="18">
        <v>8289.5124099999994</v>
      </c>
      <c r="I224" s="18">
        <v>12788.7</v>
      </c>
      <c r="J224" s="18">
        <v>0</v>
      </c>
      <c r="K224" s="18">
        <v>1220</v>
      </c>
      <c r="L224" s="19">
        <f t="shared" si="2"/>
        <v>704138.92241</v>
      </c>
      <c r="M224" s="8"/>
      <c r="N224" s="266"/>
    </row>
    <row r="225" spans="1:14" s="3" customFormat="1" ht="12.2" customHeight="1" x14ac:dyDescent="0.15">
      <c r="A225" s="1" t="s">
        <v>446</v>
      </c>
      <c r="B225" s="2" t="s">
        <v>346</v>
      </c>
      <c r="C225" s="2" t="s">
        <v>298</v>
      </c>
      <c r="D225" s="2" t="s">
        <v>431</v>
      </c>
      <c r="E225" s="6">
        <v>2500</v>
      </c>
      <c r="F225" s="18">
        <v>157972.46234</v>
      </c>
      <c r="G225" s="18">
        <v>74660.557400000005</v>
      </c>
      <c r="H225" s="18">
        <v>23853.976299999998</v>
      </c>
      <c r="I225" s="18">
        <v>1983.82888</v>
      </c>
      <c r="J225" s="18">
        <v>638.38632000000007</v>
      </c>
      <c r="K225" s="18"/>
      <c r="L225" s="19">
        <f t="shared" si="2"/>
        <v>259109.21124</v>
      </c>
      <c r="M225" s="8"/>
      <c r="N225" s="266"/>
    </row>
    <row r="226" spans="1:14" s="3" customFormat="1" ht="12.2" customHeight="1" x14ac:dyDescent="0.15">
      <c r="A226" s="1" t="s">
        <v>447</v>
      </c>
      <c r="B226" s="2" t="s">
        <v>346</v>
      </c>
      <c r="C226" s="2" t="s">
        <v>299</v>
      </c>
      <c r="D226" s="2" t="s">
        <v>431</v>
      </c>
      <c r="E226" s="6">
        <v>2600</v>
      </c>
      <c r="F226" s="18">
        <v>464470.88750000001</v>
      </c>
      <c r="G226" s="18">
        <v>274077.25999999995</v>
      </c>
      <c r="H226" s="18">
        <v>253385.20750000002</v>
      </c>
      <c r="I226" s="18">
        <v>213307.12</v>
      </c>
      <c r="J226" s="18">
        <v>17071.127499999999</v>
      </c>
      <c r="K226" s="18"/>
      <c r="L226" s="19">
        <f t="shared" si="2"/>
        <v>1222311.6025</v>
      </c>
      <c r="M226" s="8"/>
      <c r="N226" s="266"/>
    </row>
    <row r="227" spans="1:14" s="3" customFormat="1" ht="12.2" customHeight="1" x14ac:dyDescent="0.15">
      <c r="A227" s="1" t="s">
        <v>448</v>
      </c>
      <c r="B227" s="2" t="s">
        <v>346</v>
      </c>
      <c r="C227" s="2" t="s">
        <v>300</v>
      </c>
      <c r="D227" s="2" t="s">
        <v>431</v>
      </c>
      <c r="E227" s="6">
        <v>2700</v>
      </c>
      <c r="F227" s="18"/>
      <c r="G227" s="18"/>
      <c r="H227" s="18">
        <v>555670.30264000001</v>
      </c>
      <c r="I227" s="18"/>
      <c r="J227" s="18"/>
      <c r="K227" s="18"/>
      <c r="L227" s="19">
        <f t="shared" si="2"/>
        <v>555670.30264000001</v>
      </c>
      <c r="M227" s="8"/>
      <c r="N227" s="266"/>
    </row>
    <row r="228" spans="1:14" s="3" customFormat="1" ht="12.2" customHeight="1" x14ac:dyDescent="0.15">
      <c r="A228" s="1" t="s">
        <v>449</v>
      </c>
      <c r="B228" s="2" t="s">
        <v>346</v>
      </c>
      <c r="C228" s="2" t="s">
        <v>343</v>
      </c>
      <c r="D228" s="2" t="s">
        <v>431</v>
      </c>
      <c r="E228" s="6">
        <v>2800</v>
      </c>
      <c r="F228" s="18"/>
      <c r="G228" s="18"/>
      <c r="H228" s="18">
        <v>17537.83164</v>
      </c>
      <c r="I228" s="18">
        <v>42496.879479999996</v>
      </c>
      <c r="J228" s="18">
        <v>14734.184099999999</v>
      </c>
      <c r="K228" s="18">
        <v>233.53</v>
      </c>
      <c r="L228" s="19">
        <f>SUM(F228:K228)</f>
        <v>75002.42521999999</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6446499.1488430006</v>
      </c>
      <c r="G230" s="41">
        <f>SUM(G216:G229)</f>
        <v>3498366.8601250001</v>
      </c>
      <c r="H230" s="41">
        <f>SUM(H216:H229)</f>
        <v>1512842.2589360001</v>
      </c>
      <c r="I230" s="41">
        <f>SUM(I216:I229)</f>
        <v>448634.61252199998</v>
      </c>
      <c r="J230" s="41">
        <f>SUM(J216:J229)</f>
        <v>186136.41823999997</v>
      </c>
      <c r="K230" s="41">
        <f t="shared" si="3"/>
        <v>11839.18642</v>
      </c>
      <c r="L230" s="41">
        <f t="shared" si="3"/>
        <v>12104318.485086001</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v>4116571.1923199994</v>
      </c>
      <c r="G234" s="18">
        <v>2272111.1364199999</v>
      </c>
      <c r="H234" s="18">
        <v>100372.79505999999</v>
      </c>
      <c r="I234" s="18">
        <v>173232.7034</v>
      </c>
      <c r="J234" s="18">
        <v>84884.7</v>
      </c>
      <c r="K234" s="18">
        <v>8011.16</v>
      </c>
      <c r="L234" s="19">
        <f>SUM(F234:K234)</f>
        <v>6755183.6871999996</v>
      </c>
      <c r="M234" s="8"/>
      <c r="N234" s="266"/>
    </row>
    <row r="235" spans="1:14" s="3" customFormat="1" ht="12.2" customHeight="1" x14ac:dyDescent="0.15">
      <c r="A235" s="1" t="s">
        <v>439</v>
      </c>
      <c r="B235" s="2" t="s">
        <v>350</v>
      </c>
      <c r="C235" s="2" t="s">
        <v>291</v>
      </c>
      <c r="D235" s="2" t="s">
        <v>431</v>
      </c>
      <c r="E235" s="6">
        <v>1200</v>
      </c>
      <c r="F235" s="18">
        <v>1080116.2392599999</v>
      </c>
      <c r="G235" s="18">
        <v>428757.63555999997</v>
      </c>
      <c r="H235" s="18">
        <v>875416.06157999998</v>
      </c>
      <c r="I235" s="18">
        <v>8058.0863750000008</v>
      </c>
      <c r="J235" s="18">
        <v>19145.219999999998</v>
      </c>
      <c r="K235" s="18"/>
      <c r="L235" s="19">
        <f>SUM(F235:K235)</f>
        <v>2411493.2427750002</v>
      </c>
      <c r="M235" s="8"/>
      <c r="N235" s="266"/>
    </row>
    <row r="236" spans="1:14" s="3" customFormat="1" ht="12.2" customHeight="1" x14ac:dyDescent="0.15">
      <c r="A236" s="1" t="s">
        <v>440</v>
      </c>
      <c r="B236" s="2" t="s">
        <v>350</v>
      </c>
      <c r="C236" s="2" t="s">
        <v>292</v>
      </c>
      <c r="D236" s="2" t="s">
        <v>431</v>
      </c>
      <c r="E236" s="6">
        <v>1300</v>
      </c>
      <c r="F236" s="18">
        <v>1008116.2200000001</v>
      </c>
      <c r="G236" s="18">
        <v>483037.8</v>
      </c>
      <c r="H236" s="18">
        <v>37191.96</v>
      </c>
      <c r="I236" s="18">
        <v>72068.98</v>
      </c>
      <c r="J236" s="18">
        <v>16277.27</v>
      </c>
      <c r="K236" s="18">
        <v>3390</v>
      </c>
      <c r="L236" s="19">
        <f>SUM(F236:K236)</f>
        <v>1620082.23</v>
      </c>
      <c r="M236" s="8"/>
      <c r="N236" s="266"/>
    </row>
    <row r="237" spans="1:14" s="3" customFormat="1" ht="12.2" customHeight="1" x14ac:dyDescent="0.15">
      <c r="A237" s="1" t="s">
        <v>441</v>
      </c>
      <c r="B237" s="2" t="s">
        <v>350</v>
      </c>
      <c r="C237" s="2" t="s">
        <v>293</v>
      </c>
      <c r="D237" s="2" t="s">
        <v>431</v>
      </c>
      <c r="E237" s="6">
        <v>1400</v>
      </c>
      <c r="F237" s="18">
        <v>212620</v>
      </c>
      <c r="G237" s="18">
        <v>42650.29</v>
      </c>
      <c r="H237" s="18">
        <v>129660.76000000001</v>
      </c>
      <c r="I237" s="18">
        <v>57957.73</v>
      </c>
      <c r="J237" s="18">
        <v>17135.990000000002</v>
      </c>
      <c r="K237" s="18">
        <v>14316</v>
      </c>
      <c r="L237" s="19">
        <f>SUM(F237:K237)</f>
        <v>474340.77</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v>856604.27304500004</v>
      </c>
      <c r="G239" s="18">
        <v>509163.12096500001</v>
      </c>
      <c r="H239" s="18">
        <v>117779.807055</v>
      </c>
      <c r="I239" s="18">
        <v>15112.414494999999</v>
      </c>
      <c r="J239" s="18">
        <v>11628.449999999999</v>
      </c>
      <c r="K239" s="18">
        <v>1012.8775000000001</v>
      </c>
      <c r="L239" s="19">
        <f t="shared" ref="L239:L245" si="4">SUM(F239:K239)</f>
        <v>1511300.9430599997</v>
      </c>
      <c r="M239" s="8"/>
      <c r="N239" s="266"/>
    </row>
    <row r="240" spans="1:14" s="3" customFormat="1" ht="12.2" customHeight="1" x14ac:dyDescent="0.15">
      <c r="A240" s="1" t="s">
        <v>443</v>
      </c>
      <c r="B240" s="2" t="s">
        <v>350</v>
      </c>
      <c r="C240" s="2" t="s">
        <v>295</v>
      </c>
      <c r="D240" s="2" t="s">
        <v>431</v>
      </c>
      <c r="E240" s="6">
        <v>2200</v>
      </c>
      <c r="F240" s="18">
        <v>191139.51449</v>
      </c>
      <c r="G240" s="18">
        <v>157350.07835000003</v>
      </c>
      <c r="H240" s="18">
        <v>26330.341220000002</v>
      </c>
      <c r="I240" s="18">
        <v>36165.832300000002</v>
      </c>
      <c r="J240" s="18">
        <v>47856.523480000003</v>
      </c>
      <c r="K240" s="18">
        <v>162</v>
      </c>
      <c r="L240" s="19">
        <f t="shared" si="4"/>
        <v>459004.2898400001</v>
      </c>
      <c r="M240" s="8"/>
      <c r="N240" s="266"/>
    </row>
    <row r="241" spans="1:14" s="3" customFormat="1" ht="12.2" customHeight="1" x14ac:dyDescent="0.15">
      <c r="A241" s="1" t="s">
        <v>444</v>
      </c>
      <c r="B241" s="2" t="s">
        <v>350</v>
      </c>
      <c r="C241" s="2" t="s">
        <v>296</v>
      </c>
      <c r="D241" s="2" t="s">
        <v>431</v>
      </c>
      <c r="E241" s="6">
        <v>2300</v>
      </c>
      <c r="F241" s="18">
        <v>185369.70068000001</v>
      </c>
      <c r="G241" s="18">
        <v>83868.067959999986</v>
      </c>
      <c r="H241" s="18">
        <v>30034.318939999997</v>
      </c>
      <c r="I241" s="18">
        <v>7473.5377199999994</v>
      </c>
      <c r="J241" s="18">
        <v>846.91457999999989</v>
      </c>
      <c r="K241" s="18">
        <v>7212.3734599999989</v>
      </c>
      <c r="L241" s="19">
        <f t="shared" si="4"/>
        <v>314804.91334000003</v>
      </c>
      <c r="M241" s="8"/>
      <c r="N241" s="266"/>
    </row>
    <row r="242" spans="1:14" s="3" customFormat="1" ht="12.2" customHeight="1" x14ac:dyDescent="0.15">
      <c r="A242" s="1" t="s">
        <v>445</v>
      </c>
      <c r="B242" s="2" t="s">
        <v>350</v>
      </c>
      <c r="C242" s="2" t="s">
        <v>297</v>
      </c>
      <c r="D242" s="2" t="s">
        <v>431</v>
      </c>
      <c r="E242" s="6">
        <v>2400</v>
      </c>
      <c r="F242" s="18">
        <v>733715.47</v>
      </c>
      <c r="G242" s="18">
        <v>360596.12</v>
      </c>
      <c r="H242" s="18">
        <v>55753.14198</v>
      </c>
      <c r="I242" s="18">
        <v>436.66</v>
      </c>
      <c r="J242" s="18">
        <v>0</v>
      </c>
      <c r="K242" s="18">
        <v>7290</v>
      </c>
      <c r="L242" s="19">
        <f t="shared" si="4"/>
        <v>1157791.3919799998</v>
      </c>
      <c r="M242" s="8"/>
      <c r="N242" s="266"/>
    </row>
    <row r="243" spans="1:14" s="3" customFormat="1" ht="12.2" customHeight="1" x14ac:dyDescent="0.15">
      <c r="A243" s="1" t="s">
        <v>446</v>
      </c>
      <c r="B243" s="2" t="s">
        <v>350</v>
      </c>
      <c r="C243" s="2" t="s">
        <v>298</v>
      </c>
      <c r="D243" s="2" t="s">
        <v>431</v>
      </c>
      <c r="E243" s="6">
        <v>2500</v>
      </c>
      <c r="F243" s="18">
        <v>225861.45441999997</v>
      </c>
      <c r="G243" s="18">
        <v>106746.08619999999</v>
      </c>
      <c r="H243" s="18">
        <v>34105.2719</v>
      </c>
      <c r="I243" s="18">
        <v>2836.3834399999996</v>
      </c>
      <c r="J243" s="18">
        <v>912.73415999999997</v>
      </c>
      <c r="K243" s="18"/>
      <c r="L243" s="19">
        <f t="shared" si="4"/>
        <v>370461.93011999998</v>
      </c>
      <c r="M243" s="8"/>
      <c r="N243" s="266"/>
    </row>
    <row r="244" spans="1:14" s="3" customFormat="1" ht="12.2" customHeight="1" x14ac:dyDescent="0.15">
      <c r="A244" s="1" t="s">
        <v>447</v>
      </c>
      <c r="B244" s="2" t="s">
        <v>350</v>
      </c>
      <c r="C244" s="2" t="s">
        <v>299</v>
      </c>
      <c r="D244" s="2" t="s">
        <v>431</v>
      </c>
      <c r="E244" s="6">
        <v>2600</v>
      </c>
      <c r="F244" s="18">
        <v>656017.14622999995</v>
      </c>
      <c r="G244" s="18">
        <v>313174.46048000001</v>
      </c>
      <c r="H244" s="18">
        <v>1371090.9561499998</v>
      </c>
      <c r="I244" s="18">
        <v>366885.37711999996</v>
      </c>
      <c r="J244" s="18">
        <v>29136.236469999996</v>
      </c>
      <c r="K244" s="18"/>
      <c r="L244" s="19">
        <f t="shared" si="4"/>
        <v>2736304.1764499997</v>
      </c>
      <c r="M244" s="8"/>
      <c r="N244" s="266"/>
    </row>
    <row r="245" spans="1:14" s="3" customFormat="1" ht="12.2" customHeight="1" x14ac:dyDescent="0.15">
      <c r="A245" s="1" t="s">
        <v>448</v>
      </c>
      <c r="B245" s="2" t="s">
        <v>350</v>
      </c>
      <c r="C245" s="2" t="s">
        <v>300</v>
      </c>
      <c r="D245" s="2" t="s">
        <v>431</v>
      </c>
      <c r="E245" s="6">
        <v>2700</v>
      </c>
      <c r="F245" s="18"/>
      <c r="G245" s="18"/>
      <c r="H245" s="18">
        <v>769555.76354499988</v>
      </c>
      <c r="I245" s="18"/>
      <c r="J245" s="18"/>
      <c r="K245" s="18"/>
      <c r="L245" s="19">
        <f t="shared" si="4"/>
        <v>769555.76354499988</v>
      </c>
      <c r="M245" s="8"/>
      <c r="N245" s="266"/>
    </row>
    <row r="246" spans="1:14" s="3" customFormat="1" ht="12.2" customHeight="1" x14ac:dyDescent="0.15">
      <c r="A246" s="1" t="s">
        <v>449</v>
      </c>
      <c r="B246" s="2" t="s">
        <v>350</v>
      </c>
      <c r="C246" s="2" t="s">
        <v>343</v>
      </c>
      <c r="D246" s="2" t="s">
        <v>431</v>
      </c>
      <c r="E246" s="6">
        <v>2800</v>
      </c>
      <c r="F246" s="18"/>
      <c r="G246" s="18"/>
      <c r="H246" s="18">
        <v>31543.725319999998</v>
      </c>
      <c r="I246" s="18">
        <v>60760.001239999998</v>
      </c>
      <c r="J246" s="18">
        <v>101505.1033</v>
      </c>
      <c r="K246" s="18">
        <v>333.89</v>
      </c>
      <c r="L246" s="19">
        <f>SUM(F246:K246)</f>
        <v>194142.71986000001</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9266131.210444998</v>
      </c>
      <c r="G248" s="41">
        <f t="shared" si="5"/>
        <v>4757454.7959349994</v>
      </c>
      <c r="H248" s="41">
        <f t="shared" si="5"/>
        <v>3578834.9027500004</v>
      </c>
      <c r="I248" s="41">
        <f t="shared" si="5"/>
        <v>800987.70608999988</v>
      </c>
      <c r="J248" s="41">
        <f t="shared" si="5"/>
        <v>329329.14199000003</v>
      </c>
      <c r="K248" s="41">
        <f t="shared" si="5"/>
        <v>41728.300959999993</v>
      </c>
      <c r="L248" s="41">
        <f t="shared" si="5"/>
        <v>18774466.058169998</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v>246740</v>
      </c>
      <c r="I256" s="18"/>
      <c r="J256" s="18"/>
      <c r="K256" s="18"/>
      <c r="L256" s="19">
        <f t="shared" si="6"/>
        <v>246740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246740</v>
      </c>
      <c r="I257" s="41">
        <f t="shared" si="7"/>
        <v>0</v>
      </c>
      <c r="J257" s="41">
        <f t="shared" si="7"/>
        <v>0</v>
      </c>
      <c r="K257" s="41">
        <f t="shared" si="7"/>
        <v>0</v>
      </c>
      <c r="L257" s="41">
        <f>SUM(F257:K257)</f>
        <v>246740</v>
      </c>
      <c r="M257" s="8"/>
      <c r="N257" s="266"/>
    </row>
    <row r="258" spans="1:14" s="3" customFormat="1" ht="12.2" customHeight="1" thickTop="1" x14ac:dyDescent="0.15">
      <c r="A258" s="38" t="s">
        <v>462</v>
      </c>
      <c r="B258" s="40">
        <v>10</v>
      </c>
      <c r="C258" s="40">
        <v>8</v>
      </c>
      <c r="D258" s="39" t="s">
        <v>431</v>
      </c>
      <c r="E258" s="40"/>
      <c r="F258" s="41">
        <f t="shared" ref="F258:L258" si="8">F212+F230+F248+F257</f>
        <v>25646526.449999999</v>
      </c>
      <c r="G258" s="41">
        <f t="shared" si="8"/>
        <v>13269016.359999999</v>
      </c>
      <c r="H258" s="41">
        <f t="shared" si="8"/>
        <v>7268257.2100000009</v>
      </c>
      <c r="I258" s="41">
        <f t="shared" si="8"/>
        <v>2131507</v>
      </c>
      <c r="J258" s="41">
        <f t="shared" si="8"/>
        <v>743866.35000000009</v>
      </c>
      <c r="K258" s="41">
        <f t="shared" si="8"/>
        <v>69429.97</v>
      </c>
      <c r="L258" s="41">
        <f t="shared" si="8"/>
        <v>49128603.340000004</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1112800</v>
      </c>
      <c r="L261" s="19">
        <f>SUM(F261:K261)</f>
        <v>1112800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377075.06</v>
      </c>
      <c r="L262" s="19">
        <f>SUM(F262:K262)</f>
        <v>377075.06</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222487.02</v>
      </c>
      <c r="L264" s="19">
        <f>SUM(F264:K264)</f>
        <v>222487.02</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100000</v>
      </c>
      <c r="L267" s="19">
        <f t="shared" si="9"/>
        <v>100000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1812362.08</v>
      </c>
      <c r="L271" s="41">
        <f t="shared" si="9"/>
        <v>1812362.08</v>
      </c>
      <c r="M271" s="8"/>
      <c r="N271" s="266"/>
    </row>
    <row r="272" spans="1:14" s="34" customFormat="1" ht="12.2" customHeight="1" thickTop="1" x14ac:dyDescent="0.2">
      <c r="A272" s="43" t="s">
        <v>464</v>
      </c>
      <c r="B272" s="40">
        <v>10</v>
      </c>
      <c r="C272" s="40">
        <v>18</v>
      </c>
      <c r="D272" s="39" t="s">
        <v>431</v>
      </c>
      <c r="E272" s="40"/>
      <c r="F272" s="42">
        <f t="shared" ref="F272:L272" si="11">F258+F271</f>
        <v>25646526.449999999</v>
      </c>
      <c r="G272" s="42">
        <f t="shared" si="11"/>
        <v>13269016.359999999</v>
      </c>
      <c r="H272" s="42">
        <f t="shared" si="11"/>
        <v>7268257.2100000009</v>
      </c>
      <c r="I272" s="42">
        <f t="shared" si="11"/>
        <v>2131507</v>
      </c>
      <c r="J272" s="42">
        <f t="shared" si="11"/>
        <v>743866.35000000009</v>
      </c>
      <c r="K272" s="42">
        <f t="shared" si="11"/>
        <v>1881792.05</v>
      </c>
      <c r="L272" s="42">
        <f t="shared" si="11"/>
        <v>50940965.420000002</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417401.94199999998</v>
      </c>
      <c r="G277" s="18">
        <v>32454.308439999993</v>
      </c>
      <c r="H277" s="18">
        <v>61374.747080000001</v>
      </c>
      <c r="I277" s="18">
        <v>17957.28196</v>
      </c>
      <c r="J277" s="18">
        <v>0</v>
      </c>
      <c r="K277" s="18">
        <v>32711.16</v>
      </c>
      <c r="L277" s="19">
        <f>SUM(F277:K277)</f>
        <v>561899.43948000006</v>
      </c>
      <c r="M277" s="8"/>
      <c r="N277" s="266"/>
    </row>
    <row r="278" spans="1:14" s="3" customFormat="1" ht="12.2" customHeight="1" x14ac:dyDescent="0.15">
      <c r="A278" s="1" t="s">
        <v>439</v>
      </c>
      <c r="B278" s="2" t="s">
        <v>357</v>
      </c>
      <c r="C278" s="2" t="s">
        <v>291</v>
      </c>
      <c r="D278" s="2" t="s">
        <v>431</v>
      </c>
      <c r="E278" s="6">
        <v>1200</v>
      </c>
      <c r="F278" s="18">
        <v>314805.322193</v>
      </c>
      <c r="G278" s="18">
        <v>159008.86828900001</v>
      </c>
      <c r="H278" s="18">
        <v>34369.520281999998</v>
      </c>
      <c r="I278" s="18">
        <v>19681.284388</v>
      </c>
      <c r="J278" s="18">
        <v>433.27357600000005</v>
      </c>
      <c r="K278" s="18">
        <v>10407.970000000001</v>
      </c>
      <c r="L278" s="19">
        <f>SUM(F278:K278)</f>
        <v>538706.23872799997</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v>14243.996261</v>
      </c>
      <c r="G282" s="18">
        <v>8232.8171939999993</v>
      </c>
      <c r="H282" s="18">
        <v>6211.9996799999999</v>
      </c>
      <c r="I282" s="18">
        <v>1054.83536</v>
      </c>
      <c r="J282" s="18">
        <v>703.20426300000008</v>
      </c>
      <c r="K282" s="18">
        <v>4.1500000000000004</v>
      </c>
      <c r="L282" s="19">
        <f t="shared" ref="L282:L288" si="12">SUM(F282:K282)</f>
        <v>30451.002758000002</v>
      </c>
      <c r="M282" s="8"/>
      <c r="N282" s="266"/>
    </row>
    <row r="283" spans="1:14" s="3" customFormat="1" ht="12.2" customHeight="1" x14ac:dyDescent="0.15">
      <c r="A283" s="1" t="s">
        <v>443</v>
      </c>
      <c r="B283" s="2" t="s">
        <v>357</v>
      </c>
      <c r="C283" s="2" t="s">
        <v>295</v>
      </c>
      <c r="D283" s="2" t="s">
        <v>431</v>
      </c>
      <c r="E283" s="6">
        <v>2200</v>
      </c>
      <c r="F283" s="18">
        <v>43267.985704999999</v>
      </c>
      <c r="G283" s="18">
        <v>5337.8564850000002</v>
      </c>
      <c r="H283" s="18">
        <v>43304.984580000004</v>
      </c>
      <c r="I283" s="18">
        <v>14238.365565</v>
      </c>
      <c r="J283" s="18">
        <v>37435.610999999997</v>
      </c>
      <c r="K283" s="18"/>
      <c r="L283" s="19">
        <f t="shared" si="12"/>
        <v>143584.803335</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v>2657.1090900000004</v>
      </c>
      <c r="J287" s="18"/>
      <c r="K287" s="18"/>
      <c r="L287" s="19">
        <f t="shared" si="12"/>
        <v>2657.1090900000004</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789719.24615900009</v>
      </c>
      <c r="G291" s="42">
        <f t="shared" si="13"/>
        <v>205033.850408</v>
      </c>
      <c r="H291" s="42">
        <f t="shared" si="13"/>
        <v>145261.25162200001</v>
      </c>
      <c r="I291" s="42">
        <f t="shared" si="13"/>
        <v>55588.876362999996</v>
      </c>
      <c r="J291" s="42">
        <f t="shared" si="13"/>
        <v>38572.088838999996</v>
      </c>
      <c r="K291" s="42">
        <f t="shared" si="13"/>
        <v>43123.280000000006</v>
      </c>
      <c r="L291" s="41">
        <f t="shared" si="13"/>
        <v>1277298.5933910001</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v>9181.1170000000002</v>
      </c>
      <c r="G296" s="18">
        <v>1141.8455399999998</v>
      </c>
      <c r="H296" s="18">
        <v>34640.506779999996</v>
      </c>
      <c r="I296" s="18">
        <v>9951.2408599999999</v>
      </c>
      <c r="J296" s="18">
        <v>3046.18</v>
      </c>
      <c r="K296" s="18">
        <v>2115.04</v>
      </c>
      <c r="L296" s="19">
        <f>SUM(F296:K296)</f>
        <v>60075.930179999996</v>
      </c>
      <c r="M296" s="8"/>
      <c r="N296" s="266"/>
    </row>
    <row r="297" spans="1:14" s="3" customFormat="1" ht="12.2" customHeight="1" x14ac:dyDescent="0.15">
      <c r="A297" s="1" t="s">
        <v>439</v>
      </c>
      <c r="B297" s="2" t="s">
        <v>358</v>
      </c>
      <c r="C297" s="2" t="s">
        <v>291</v>
      </c>
      <c r="D297" s="2" t="s">
        <v>431</v>
      </c>
      <c r="E297" s="6">
        <v>1200</v>
      </c>
      <c r="F297" s="18">
        <v>22134.039912</v>
      </c>
      <c r="G297" s="18">
        <v>12876.662376</v>
      </c>
      <c r="H297" s="18">
        <v>30100.345488000003</v>
      </c>
      <c r="I297" s="18">
        <v>11978.709792</v>
      </c>
      <c r="J297" s="18">
        <v>393.18278400000003</v>
      </c>
      <c r="K297" s="18">
        <v>62.47</v>
      </c>
      <c r="L297" s="19">
        <f>SUM(F297:K297)</f>
        <v>77545.410352000006</v>
      </c>
      <c r="M297" s="8"/>
      <c r="N297" s="266"/>
    </row>
    <row r="298" spans="1:14" s="3" customFormat="1" ht="12.2" customHeight="1" x14ac:dyDescent="0.15">
      <c r="A298" s="1" t="s">
        <v>440</v>
      </c>
      <c r="B298" s="2" t="s">
        <v>358</v>
      </c>
      <c r="C298" s="2" t="s">
        <v>292</v>
      </c>
      <c r="D298" s="2" t="s">
        <v>431</v>
      </c>
      <c r="E298" s="6">
        <v>1300</v>
      </c>
      <c r="F298" s="18">
        <v>500</v>
      </c>
      <c r="G298" s="18"/>
      <c r="H298" s="18"/>
      <c r="I298" s="18">
        <v>940.57</v>
      </c>
      <c r="J298" s="18"/>
      <c r="K298" s="18">
        <v>170</v>
      </c>
      <c r="L298" s="19">
        <f>SUM(F298:K298)</f>
        <v>1610.5700000000002</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v>12263.313164000001</v>
      </c>
      <c r="G301" s="18">
        <v>7351.1857559999999</v>
      </c>
      <c r="H301" s="18">
        <v>3171.8883799999999</v>
      </c>
      <c r="I301" s="18">
        <v>153.73775999999998</v>
      </c>
      <c r="J301" s="18">
        <v>638.13679200000001</v>
      </c>
      <c r="K301" s="18">
        <v>2.44</v>
      </c>
      <c r="L301" s="19">
        <f t="shared" ref="L301:L307" si="14">SUM(F301:K301)</f>
        <v>23580.701852000002</v>
      </c>
      <c r="M301" s="8"/>
      <c r="N301" s="266"/>
    </row>
    <row r="302" spans="1:14" s="3" customFormat="1" ht="12.2" customHeight="1" x14ac:dyDescent="0.15">
      <c r="A302" s="1" t="s">
        <v>443</v>
      </c>
      <c r="B302" s="2" t="s">
        <v>358</v>
      </c>
      <c r="C302" s="2" t="s">
        <v>295</v>
      </c>
      <c r="D302" s="2" t="s">
        <v>431</v>
      </c>
      <c r="E302" s="6">
        <v>2200</v>
      </c>
      <c r="F302" s="18">
        <v>25007.171105000001</v>
      </c>
      <c r="G302" s="18">
        <v>3085.0682850000003</v>
      </c>
      <c r="H302" s="18">
        <v>25028.554980000001</v>
      </c>
      <c r="I302" s="18">
        <v>8229.2077649999992</v>
      </c>
      <c r="J302" s="18">
        <v>21636.291000000001</v>
      </c>
      <c r="K302" s="18"/>
      <c r="L302" s="19">
        <f t="shared" si="14"/>
        <v>82986.293135</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v>1673.2425000000001</v>
      </c>
      <c r="J306" s="18"/>
      <c r="K306" s="18"/>
      <c r="L306" s="19">
        <f t="shared" si="14"/>
        <v>1673.2425000000001</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69085.641180999999</v>
      </c>
      <c r="G310" s="42">
        <f t="shared" si="15"/>
        <v>24454.761957000002</v>
      </c>
      <c r="H310" s="42">
        <f t="shared" si="15"/>
        <v>92941.295628000007</v>
      </c>
      <c r="I310" s="42">
        <f t="shared" si="15"/>
        <v>32926.708676999995</v>
      </c>
      <c r="J310" s="42">
        <f t="shared" si="15"/>
        <v>25713.790575999999</v>
      </c>
      <c r="K310" s="42">
        <f t="shared" si="15"/>
        <v>2349.9499999999998</v>
      </c>
      <c r="L310" s="41">
        <f t="shared" si="15"/>
        <v>247472.14801900001</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v>13126.721</v>
      </c>
      <c r="G315" s="18">
        <v>1632.5560199999995</v>
      </c>
      <c r="H315" s="18">
        <v>49527.336139999999</v>
      </c>
      <c r="I315" s="18">
        <v>14227.80718</v>
      </c>
      <c r="J315" s="18">
        <v>0</v>
      </c>
      <c r="K315" s="18">
        <v>1640.29</v>
      </c>
      <c r="L315" s="19">
        <f>SUM(F315:K315)</f>
        <v>80154.710339999991</v>
      </c>
      <c r="M315" s="8"/>
      <c r="N315" s="266"/>
    </row>
    <row r="316" spans="1:14" s="3" customFormat="1" ht="12.2" customHeight="1" x14ac:dyDescent="0.15">
      <c r="A316" s="1" t="s">
        <v>439</v>
      </c>
      <c r="B316" s="2" t="s">
        <v>359</v>
      </c>
      <c r="C316" s="2" t="s">
        <v>291</v>
      </c>
      <c r="D316" s="2" t="s">
        <v>431</v>
      </c>
      <c r="E316" s="6">
        <v>1200</v>
      </c>
      <c r="F316" s="18">
        <v>188775.82789499999</v>
      </c>
      <c r="G316" s="18">
        <v>80497.699334999983</v>
      </c>
      <c r="H316" s="18">
        <v>56442.824229999998</v>
      </c>
      <c r="I316" s="18">
        <v>211.74582000000001</v>
      </c>
      <c r="J316" s="18">
        <v>505.46364000000005</v>
      </c>
      <c r="K316" s="18">
        <v>5599.03</v>
      </c>
      <c r="L316" s="19">
        <f>SUM(F316:K316)</f>
        <v>332032.59092000005</v>
      </c>
      <c r="M316" s="8"/>
      <c r="N316" s="266"/>
    </row>
    <row r="317" spans="1:14" s="3" customFormat="1" ht="12.2" customHeight="1" x14ac:dyDescent="0.15">
      <c r="A317" s="1" t="s">
        <v>440</v>
      </c>
      <c r="B317" s="2" t="s">
        <v>359</v>
      </c>
      <c r="C317" s="2" t="s">
        <v>292</v>
      </c>
      <c r="D317" s="2" t="s">
        <v>431</v>
      </c>
      <c r="E317" s="6">
        <v>1300</v>
      </c>
      <c r="F317" s="18">
        <v>23491.25</v>
      </c>
      <c r="G317" s="18">
        <v>1797.15</v>
      </c>
      <c r="H317" s="18">
        <v>90185.18</v>
      </c>
      <c r="I317" s="18">
        <v>132744.21</v>
      </c>
      <c r="J317" s="18">
        <v>22806.42</v>
      </c>
      <c r="K317" s="18">
        <v>10515.36</v>
      </c>
      <c r="L317" s="19">
        <f>SUM(F317:K317)</f>
        <v>281539.56999999995</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v>15940.670575</v>
      </c>
      <c r="G320" s="18">
        <v>9482.16705</v>
      </c>
      <c r="H320" s="18">
        <v>4171.1019399999996</v>
      </c>
      <c r="I320" s="18">
        <v>219.80687999999998</v>
      </c>
      <c r="J320" s="18">
        <v>820.36894500000005</v>
      </c>
      <c r="K320" s="18">
        <v>3.48</v>
      </c>
      <c r="L320" s="19">
        <f t="shared" ref="L320:L326" si="16">SUM(F320:K320)</f>
        <v>30637.595389999999</v>
      </c>
      <c r="M320" s="8"/>
      <c r="N320" s="266"/>
    </row>
    <row r="321" spans="1:14" s="3" customFormat="1" ht="12.2" customHeight="1" x14ac:dyDescent="0.15">
      <c r="A321" s="1" t="s">
        <v>443</v>
      </c>
      <c r="B321" s="2" t="s">
        <v>359</v>
      </c>
      <c r="C321" s="2" t="s">
        <v>295</v>
      </c>
      <c r="D321" s="2" t="s">
        <v>431</v>
      </c>
      <c r="E321" s="6">
        <v>2200</v>
      </c>
      <c r="F321" s="18">
        <v>33173.813190000001</v>
      </c>
      <c r="G321" s="18">
        <v>4092.5652300000002</v>
      </c>
      <c r="H321" s="18">
        <v>33202.180439999996</v>
      </c>
      <c r="I321" s="18">
        <v>10916.63667</v>
      </c>
      <c r="J321" s="18">
        <v>28702.098000000002</v>
      </c>
      <c r="K321" s="18"/>
      <c r="L321" s="19">
        <f t="shared" si="16"/>
        <v>110087.29353</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v>2362.61841</v>
      </c>
      <c r="J325" s="18"/>
      <c r="K325" s="18"/>
      <c r="L325" s="19">
        <f t="shared" si="16"/>
        <v>2362.61841</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274508.28265999997</v>
      </c>
      <c r="G329" s="42">
        <f t="shared" si="17"/>
        <v>97502.137634999992</v>
      </c>
      <c r="H329" s="42">
        <f t="shared" si="17"/>
        <v>233528.62274999998</v>
      </c>
      <c r="I329" s="42">
        <f t="shared" si="17"/>
        <v>160682.82495999997</v>
      </c>
      <c r="J329" s="42">
        <f t="shared" si="17"/>
        <v>52834.350585</v>
      </c>
      <c r="K329" s="42">
        <f t="shared" si="17"/>
        <v>17758.16</v>
      </c>
      <c r="L329" s="41">
        <f t="shared" si="17"/>
        <v>836814.37858999998</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v>14624.5</v>
      </c>
      <c r="G334" s="18">
        <v>3069.34</v>
      </c>
      <c r="H334" s="18">
        <v>41586</v>
      </c>
      <c r="I334" s="18">
        <v>8046.26</v>
      </c>
      <c r="J334" s="18"/>
      <c r="K334" s="18">
        <v>1537.98</v>
      </c>
      <c r="L334" s="19">
        <f t="shared" si="18"/>
        <v>68864.079999999987</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v>13617.24</v>
      </c>
      <c r="J336" s="18"/>
      <c r="K336" s="18"/>
      <c r="L336" s="19">
        <f t="shared" si="18"/>
        <v>13617.24</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14624.5</v>
      </c>
      <c r="G338" s="41">
        <f t="shared" si="19"/>
        <v>3069.34</v>
      </c>
      <c r="H338" s="41">
        <f t="shared" si="19"/>
        <v>41586</v>
      </c>
      <c r="I338" s="41">
        <f t="shared" si="19"/>
        <v>21663.5</v>
      </c>
      <c r="J338" s="41">
        <f t="shared" si="19"/>
        <v>0</v>
      </c>
      <c r="K338" s="41">
        <f t="shared" si="19"/>
        <v>1537.98</v>
      </c>
      <c r="L338" s="41">
        <f t="shared" si="18"/>
        <v>82481.319999999992</v>
      </c>
      <c r="M338" s="8"/>
      <c r="N338" s="266"/>
    </row>
    <row r="339" spans="1:43" s="3" customFormat="1" ht="12.2" customHeight="1" thickTop="1" x14ac:dyDescent="0.15">
      <c r="A339" s="38" t="s">
        <v>468</v>
      </c>
      <c r="B339" s="40">
        <v>14</v>
      </c>
      <c r="C339" s="40">
        <v>7</v>
      </c>
      <c r="D339" s="39" t="s">
        <v>431</v>
      </c>
      <c r="E339" s="40"/>
      <c r="F339" s="41">
        <f t="shared" ref="F339:L339" si="20">F291+F310+F329+F338</f>
        <v>1147937.6700000002</v>
      </c>
      <c r="G339" s="41">
        <f t="shared" si="20"/>
        <v>330060.09000000003</v>
      </c>
      <c r="H339" s="41">
        <f t="shared" si="20"/>
        <v>513317.17</v>
      </c>
      <c r="I339" s="41">
        <f t="shared" si="20"/>
        <v>270861.90999999997</v>
      </c>
      <c r="J339" s="41">
        <f t="shared" si="20"/>
        <v>117120.23</v>
      </c>
      <c r="K339" s="41">
        <f t="shared" si="20"/>
        <v>64769.37</v>
      </c>
      <c r="L339" s="41">
        <f t="shared" si="20"/>
        <v>2444066.44</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1147937.6700000002</v>
      </c>
      <c r="G353" s="41">
        <f>G339</f>
        <v>330060.09000000003</v>
      </c>
      <c r="H353" s="41">
        <f>H339</f>
        <v>513317.17</v>
      </c>
      <c r="I353" s="41">
        <f>I339</f>
        <v>270861.90999999997</v>
      </c>
      <c r="J353" s="41">
        <f>J339</f>
        <v>117120.23</v>
      </c>
      <c r="K353" s="47">
        <f>K339+K352</f>
        <v>64769.37</v>
      </c>
      <c r="L353" s="41">
        <f>L339+L352</f>
        <v>2444066.44</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216284.44168000002</v>
      </c>
      <c r="G359" s="18">
        <v>162975.75556000002</v>
      </c>
      <c r="H359" s="18">
        <v>9261.4714800000002</v>
      </c>
      <c r="I359" s="18">
        <v>125350.3498</v>
      </c>
      <c r="J359" s="18">
        <v>2020.8600000000001</v>
      </c>
      <c r="K359" s="18">
        <v>1514.7630000000001</v>
      </c>
      <c r="L359" s="13">
        <f>SUM(F359:K359)</f>
        <v>517407.64152</v>
      </c>
      <c r="M359" s="8"/>
      <c r="N359" s="266"/>
    </row>
    <row r="360" spans="1:22" s="3" customFormat="1" ht="12.2" customHeight="1" x14ac:dyDescent="0.15">
      <c r="A360" s="1" t="s">
        <v>542</v>
      </c>
      <c r="B360" s="2" t="s">
        <v>366</v>
      </c>
      <c r="C360" s="6">
        <v>2</v>
      </c>
      <c r="D360" s="2" t="s">
        <v>431</v>
      </c>
      <c r="E360" s="6"/>
      <c r="F360" s="18">
        <v>105494.89788</v>
      </c>
      <c r="G360" s="18">
        <v>74608.748460000003</v>
      </c>
      <c r="H360" s="18">
        <v>5393.4771800000008</v>
      </c>
      <c r="I360" s="18">
        <v>100363.18929999998</v>
      </c>
      <c r="J360" s="18">
        <v>1187.01</v>
      </c>
      <c r="K360" s="18">
        <v>686.15049999999997</v>
      </c>
      <c r="L360" s="19">
        <f>SUM(F360:K360)</f>
        <v>287733.47331999999</v>
      </c>
      <c r="M360" s="8"/>
      <c r="N360" s="266"/>
    </row>
    <row r="361" spans="1:22" s="3" customFormat="1" ht="12.2" customHeight="1" x14ac:dyDescent="0.15">
      <c r="A361" s="3" t="s">
        <v>543</v>
      </c>
      <c r="B361" s="2" t="s">
        <v>366</v>
      </c>
      <c r="C361" s="6">
        <v>3</v>
      </c>
      <c r="D361" s="2" t="s">
        <v>431</v>
      </c>
      <c r="E361" s="6"/>
      <c r="F361" s="18">
        <v>122750.91044000001</v>
      </c>
      <c r="G361" s="18">
        <v>83511.15598000001</v>
      </c>
      <c r="H361" s="18">
        <v>3391.76134</v>
      </c>
      <c r="I361" s="18">
        <v>111390.93090000001</v>
      </c>
      <c r="J361" s="18">
        <v>6289.13</v>
      </c>
      <c r="K361" s="18">
        <v>886.34649999999988</v>
      </c>
      <c r="L361" s="19">
        <f>SUM(F361:K361)</f>
        <v>328220.23516000004</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444530.25</v>
      </c>
      <c r="G363" s="47">
        <f t="shared" si="22"/>
        <v>321095.66000000003</v>
      </c>
      <c r="H363" s="47">
        <f t="shared" si="22"/>
        <v>18046.710000000003</v>
      </c>
      <c r="I363" s="47">
        <f t="shared" si="22"/>
        <v>337104.47</v>
      </c>
      <c r="J363" s="47">
        <f t="shared" si="22"/>
        <v>9497</v>
      </c>
      <c r="K363" s="47">
        <f t="shared" si="22"/>
        <v>3087.26</v>
      </c>
      <c r="L363" s="47">
        <f t="shared" si="22"/>
        <v>1133361.3500000001</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115575.0956</v>
      </c>
      <c r="G368" s="18">
        <v>92717.904599999994</v>
      </c>
      <c r="H368" s="18">
        <v>102741.79979999999</v>
      </c>
      <c r="I368" s="56">
        <f>SUM(F368:H368)</f>
        <v>311034.8</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9775.2541999999994</v>
      </c>
      <c r="G369" s="63">
        <v>7645.2847000000002</v>
      </c>
      <c r="H369" s="63">
        <v>8649.1311000000005</v>
      </c>
      <c r="I369" s="56">
        <f>SUM(F369:H369)</f>
        <v>26069.67</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125350.3498</v>
      </c>
      <c r="G370" s="47">
        <f>SUM(G368:G369)</f>
        <v>100363.1893</v>
      </c>
      <c r="H370" s="47">
        <f>SUM(H368:H369)</f>
        <v>111390.93089999999</v>
      </c>
      <c r="I370" s="47">
        <f>SUM(I368:I369)</f>
        <v>337104.47</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v>279901.67</v>
      </c>
      <c r="I377" s="18"/>
      <c r="J377" s="18"/>
      <c r="K377" s="18"/>
      <c r="L377" s="13">
        <f t="shared" si="23"/>
        <v>279901.67</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v>3860</v>
      </c>
      <c r="H379" s="18">
        <f>12073037.21+1201188</f>
        <v>13274225.210000001</v>
      </c>
      <c r="I379" s="18">
        <v>2586.7600000000002</v>
      </c>
      <c r="J379" s="18"/>
      <c r="K379" s="18"/>
      <c r="L379" s="13">
        <f t="shared" si="23"/>
        <v>13280671.970000001</v>
      </c>
      <c r="M379" s="8"/>
      <c r="N379" s="266"/>
    </row>
    <row r="380" spans="1:14" s="3" customFormat="1" ht="12.2" customHeight="1" x14ac:dyDescent="0.15">
      <c r="A380" s="1" t="s">
        <v>549</v>
      </c>
      <c r="B380" s="2" t="s">
        <v>366</v>
      </c>
      <c r="C380" s="2" t="s">
        <v>345</v>
      </c>
      <c r="D380" s="2" t="s">
        <v>431</v>
      </c>
      <c r="E380" s="6">
        <v>4600</v>
      </c>
      <c r="F380" s="18"/>
      <c r="G380" s="18"/>
      <c r="H380" s="18">
        <v>0</v>
      </c>
      <c r="I380" s="18"/>
      <c r="J380" s="18">
        <v>131435.39000000001</v>
      </c>
      <c r="K380" s="18"/>
      <c r="L380" s="13">
        <f t="shared" si="23"/>
        <v>131435.39000000001</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3860</v>
      </c>
      <c r="H383" s="139">
        <f t="shared" si="24"/>
        <v>13554126.880000001</v>
      </c>
      <c r="I383" s="41">
        <f t="shared" si="24"/>
        <v>2586.7600000000002</v>
      </c>
      <c r="J383" s="47">
        <f t="shared" si="24"/>
        <v>131435.39000000001</v>
      </c>
      <c r="K383" s="47">
        <f t="shared" si="24"/>
        <v>0</v>
      </c>
      <c r="L383" s="47">
        <f t="shared" si="24"/>
        <v>13692009.030000001</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v>100000</v>
      </c>
      <c r="H390" s="18">
        <v>19828.46</v>
      </c>
      <c r="I390" s="18"/>
      <c r="J390" s="24" t="s">
        <v>288</v>
      </c>
      <c r="K390" s="24" t="s">
        <v>288</v>
      </c>
      <c r="L390" s="56">
        <f t="shared" si="25"/>
        <v>119828.45999999999</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v>128065.67</v>
      </c>
      <c r="J393" s="24" t="s">
        <v>288</v>
      </c>
      <c r="K393" s="24" t="s">
        <v>288</v>
      </c>
      <c r="L393" s="56">
        <f t="shared" si="25"/>
        <v>128065.67</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100000</v>
      </c>
      <c r="H394" s="139">
        <f>SUM(H388:H393)</f>
        <v>19828.46</v>
      </c>
      <c r="I394" s="65">
        <f>SUM(I388:I393)</f>
        <v>128065.67</v>
      </c>
      <c r="J394" s="45" t="s">
        <v>288</v>
      </c>
      <c r="K394" s="45" t="s">
        <v>288</v>
      </c>
      <c r="L394" s="47">
        <f>SUM(L388:L393)</f>
        <v>247894.13</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100000</v>
      </c>
      <c r="H409" s="47">
        <f>H394+H402+H408</f>
        <v>19828.46</v>
      </c>
      <c r="I409" s="47">
        <f>I394+I402+I408</f>
        <v>128065.67</v>
      </c>
      <c r="J409" s="24" t="s">
        <v>288</v>
      </c>
      <c r="K409" s="24" t="s">
        <v>288</v>
      </c>
      <c r="L409" s="47">
        <f>L394+L402+L408</f>
        <v>247894.13</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v>69403.17</v>
      </c>
      <c r="I419" s="18"/>
      <c r="J419" s="18">
        <v>58662.5</v>
      </c>
      <c r="K419" s="18"/>
      <c r="L419" s="56">
        <f t="shared" si="27"/>
        <v>128065.67</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69403.17</v>
      </c>
      <c r="I420" s="139">
        <f t="shared" si="28"/>
        <v>0</v>
      </c>
      <c r="J420" s="139">
        <f t="shared" si="28"/>
        <v>58662.5</v>
      </c>
      <c r="K420" s="139">
        <f t="shared" si="28"/>
        <v>0</v>
      </c>
      <c r="L420" s="47">
        <f t="shared" si="28"/>
        <v>128065.67</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69403.17</v>
      </c>
      <c r="I435" s="47">
        <f t="shared" si="32"/>
        <v>0</v>
      </c>
      <c r="J435" s="47">
        <f t="shared" si="32"/>
        <v>58662.5</v>
      </c>
      <c r="K435" s="47">
        <f t="shared" si="32"/>
        <v>0</v>
      </c>
      <c r="L435" s="47">
        <f t="shared" si="32"/>
        <v>128065.67</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v>858093.58</v>
      </c>
      <c r="G440" s="18"/>
      <c r="H440" s="18"/>
      <c r="I440" s="56">
        <f t="shared" ref="I440:I446" si="33">SUM(F440:H440)</f>
        <v>858093.58</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v>10452.35</v>
      </c>
      <c r="H444" s="18"/>
      <c r="I444" s="56">
        <f t="shared" si="33"/>
        <v>10452.35</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858093.58</v>
      </c>
      <c r="G447" s="13">
        <f>SUM(G440:G446)</f>
        <v>10452.35</v>
      </c>
      <c r="H447" s="13">
        <f>SUM(H440:H446)</f>
        <v>0</v>
      </c>
      <c r="I447" s="13">
        <f>SUM(I440:I446)</f>
        <v>868545.92999999993</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v>10452.35</v>
      </c>
      <c r="H449" s="18"/>
      <c r="I449" s="56">
        <f>SUM(F449:H449)</f>
        <v>10452.35</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10452.35</v>
      </c>
      <c r="H453" s="72">
        <f>SUM(H449:H452)</f>
        <v>0</v>
      </c>
      <c r="I453" s="72">
        <f>SUM(I449:I452)</f>
        <v>10452.35</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858093.58</v>
      </c>
      <c r="G460" s="18">
        <v>0</v>
      </c>
      <c r="H460" s="18"/>
      <c r="I460" s="56">
        <f t="shared" si="34"/>
        <v>858093.58</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858093.58</v>
      </c>
      <c r="G461" s="83">
        <f>SUM(G455:G460)</f>
        <v>0</v>
      </c>
      <c r="H461" s="83">
        <f>SUM(H455:H460)</f>
        <v>0</v>
      </c>
      <c r="I461" s="83">
        <f>SUM(I455:I460)</f>
        <v>858093.58</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858093.58</v>
      </c>
      <c r="G462" s="42">
        <f>G453+G461</f>
        <v>10452.35</v>
      </c>
      <c r="H462" s="42">
        <f>H453+H461</f>
        <v>0</v>
      </c>
      <c r="I462" s="42">
        <f>I453+I461</f>
        <v>868545.92999999993</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1867609.76</v>
      </c>
      <c r="G466" s="18">
        <v>116929.9</v>
      </c>
      <c r="H466" s="18">
        <v>377005.23</v>
      </c>
      <c r="I466" s="18">
        <v>6926287.4500000002</v>
      </c>
      <c r="J466" s="18">
        <v>738265.12</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51431283.520000003</v>
      </c>
      <c r="G469" s="18">
        <v>1106054.93</v>
      </c>
      <c r="H469" s="18">
        <v>2398470.98</v>
      </c>
      <c r="I469" s="18">
        <v>7864711.3599999994</v>
      </c>
      <c r="J469" s="18">
        <v>247894.12999999998</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51431283.520000003</v>
      </c>
      <c r="G471" s="53">
        <f>SUM(G469:G470)</f>
        <v>1106054.93</v>
      </c>
      <c r="H471" s="53">
        <f>SUM(H469:H470)</f>
        <v>2398470.98</v>
      </c>
      <c r="I471" s="53">
        <f>SUM(I469:I470)</f>
        <v>7864711.3599999994</v>
      </c>
      <c r="J471" s="53">
        <f>SUM(J469:J470)</f>
        <v>247894.12999999998</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50940965.41999992</v>
      </c>
      <c r="G473" s="18">
        <v>1133361.3500000001</v>
      </c>
      <c r="H473" s="18">
        <v>2444066.4400000004</v>
      </c>
      <c r="I473" s="18">
        <v>13692009.029999999</v>
      </c>
      <c r="J473" s="18">
        <v>128065.67000000001</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50940965.41999992</v>
      </c>
      <c r="G475" s="53">
        <f>SUM(G473:G474)</f>
        <v>1133361.3500000001</v>
      </c>
      <c r="H475" s="53">
        <f>SUM(H473:H474)</f>
        <v>2444066.4400000004</v>
      </c>
      <c r="I475" s="53">
        <f>SUM(I473:I474)</f>
        <v>13692009.029999999</v>
      </c>
      <c r="J475" s="53">
        <f>SUM(J473:J474)</f>
        <v>128065.67000000001</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2357927.8600000814</v>
      </c>
      <c r="G477" s="53">
        <f>(G466+G471)- G475</f>
        <v>89623.479999999749</v>
      </c>
      <c r="H477" s="53">
        <f>(H466+H471)- H475</f>
        <v>331409.76999999955</v>
      </c>
      <c r="I477" s="53">
        <f>(I466+I471)- I475</f>
        <v>1098989.7799999993</v>
      </c>
      <c r="J477" s="53">
        <f>(J466+J471)- J475</f>
        <v>858093.58</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12</v>
      </c>
      <c r="G491" s="154">
        <v>20</v>
      </c>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t="s">
        <v>1644</v>
      </c>
      <c r="G492" s="155" t="s">
        <v>1642</v>
      </c>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t="s">
        <v>1645</v>
      </c>
      <c r="G493" s="155" t="s">
        <v>1643</v>
      </c>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8220000</v>
      </c>
      <c r="G494" s="18">
        <v>7685800</v>
      </c>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v>2.7</v>
      </c>
      <c r="G495" s="18">
        <v>5.0999999999999996</v>
      </c>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v>1445000</v>
      </c>
      <c r="G496" s="18">
        <v>7685800</v>
      </c>
      <c r="H496" s="18"/>
      <c r="I496" s="18"/>
      <c r="J496" s="18"/>
      <c r="K496" s="53">
        <f>SUM(F496:J496)</f>
        <v>9130800</v>
      </c>
      <c r="L496" s="24" t="s">
        <v>288</v>
      </c>
      <c r="N496" s="265"/>
    </row>
    <row r="497" spans="1:14" s="52" customFormat="1" ht="12.2" customHeight="1" x14ac:dyDescent="0.2">
      <c r="A497" s="22" t="s">
        <v>620</v>
      </c>
      <c r="B497" s="75">
        <v>20</v>
      </c>
      <c r="C497" s="115">
        <v>7</v>
      </c>
      <c r="D497" s="2" t="s">
        <v>432</v>
      </c>
      <c r="E497" s="115"/>
      <c r="F497" s="18">
        <v>0</v>
      </c>
      <c r="G497" s="18">
        <v>0</v>
      </c>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0</v>
      </c>
      <c r="G498" s="18">
        <v>0</v>
      </c>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v>715000</v>
      </c>
      <c r="G499" s="204">
        <f>7685800-382800</f>
        <v>7303000</v>
      </c>
      <c r="H499" s="204"/>
      <c r="I499" s="204"/>
      <c r="J499" s="204"/>
      <c r="K499" s="205">
        <f t="shared" si="35"/>
        <v>8018000</v>
      </c>
      <c r="L499" s="206" t="s">
        <v>288</v>
      </c>
      <c r="N499" s="265"/>
    </row>
    <row r="500" spans="1:14" s="52" customFormat="1" ht="12.2" customHeight="1" thickBot="1" x14ac:dyDescent="0.25">
      <c r="A500" s="22" t="s">
        <v>623</v>
      </c>
      <c r="B500" s="75">
        <v>20</v>
      </c>
      <c r="C500" s="115">
        <v>10</v>
      </c>
      <c r="D500" s="2" t="s">
        <v>432</v>
      </c>
      <c r="E500" s="115"/>
      <c r="F500" s="18">
        <v>17125</v>
      </c>
      <c r="G500" s="18">
        <v>2805989.64</v>
      </c>
      <c r="H500" s="18"/>
      <c r="I500" s="18"/>
      <c r="J500" s="18"/>
      <c r="K500" s="53">
        <f t="shared" si="35"/>
        <v>2823114.64</v>
      </c>
      <c r="L500" s="24" t="s">
        <v>288</v>
      </c>
      <c r="N500" s="265"/>
    </row>
    <row r="501" spans="1:14" s="52" customFormat="1" ht="12.2" customHeight="1" thickTop="1" x14ac:dyDescent="0.2">
      <c r="A501" s="139" t="s">
        <v>624</v>
      </c>
      <c r="B501" s="44">
        <v>20</v>
      </c>
      <c r="C501" s="195">
        <v>11</v>
      </c>
      <c r="D501" s="39" t="s">
        <v>432</v>
      </c>
      <c r="E501" s="195"/>
      <c r="F501" s="42">
        <f>SUM(F499:F500)</f>
        <v>732125</v>
      </c>
      <c r="G501" s="42">
        <f>SUM(G499:G500)</f>
        <v>10108989.640000001</v>
      </c>
      <c r="H501" s="42">
        <f>SUM(H499:H500)</f>
        <v>0</v>
      </c>
      <c r="I501" s="42">
        <f>SUM(I499:I500)</f>
        <v>0</v>
      </c>
      <c r="J501" s="42">
        <f>SUM(J499:J500)</f>
        <v>0</v>
      </c>
      <c r="K501" s="42">
        <f t="shared" si="35"/>
        <v>10841114.640000001</v>
      </c>
      <c r="L501" s="45" t="s">
        <v>288</v>
      </c>
      <c r="N501" s="265"/>
    </row>
    <row r="502" spans="1:14" s="52" customFormat="1" ht="12.2" customHeight="1" x14ac:dyDescent="0.2">
      <c r="A502" s="200" t="s">
        <v>651</v>
      </c>
      <c r="B502" s="201">
        <v>20</v>
      </c>
      <c r="C502" s="202">
        <v>12</v>
      </c>
      <c r="D502" s="203" t="s">
        <v>432</v>
      </c>
      <c r="E502" s="202"/>
      <c r="F502" s="204">
        <v>715000</v>
      </c>
      <c r="G502" s="204">
        <v>385000</v>
      </c>
      <c r="H502" s="204"/>
      <c r="I502" s="204"/>
      <c r="J502" s="204"/>
      <c r="K502" s="205">
        <f t="shared" si="35"/>
        <v>1100000</v>
      </c>
      <c r="L502" s="206" t="s">
        <v>288</v>
      </c>
      <c r="N502" s="265"/>
    </row>
    <row r="503" spans="1:14" s="52" customFormat="1" ht="12.2" customHeight="1" thickBot="1" x14ac:dyDescent="0.25">
      <c r="A503" s="22" t="s">
        <v>625</v>
      </c>
      <c r="B503" s="75">
        <v>20</v>
      </c>
      <c r="C503" s="115">
        <v>13</v>
      </c>
      <c r="D503" s="2" t="s">
        <v>432</v>
      </c>
      <c r="E503" s="115"/>
      <c r="F503" s="18">
        <v>17125</v>
      </c>
      <c r="G503" s="18">
        <v>308616.76</v>
      </c>
      <c r="H503" s="18"/>
      <c r="I503" s="18"/>
      <c r="J503" s="18"/>
      <c r="K503" s="53">
        <f t="shared" si="35"/>
        <v>325741.76</v>
      </c>
      <c r="L503" s="24" t="s">
        <v>288</v>
      </c>
      <c r="N503" s="265"/>
    </row>
    <row r="504" spans="1:14" s="52" customFormat="1" ht="12.2" customHeight="1" thickTop="1" x14ac:dyDescent="0.2">
      <c r="A504" s="139" t="s">
        <v>626</v>
      </c>
      <c r="B504" s="44">
        <v>20</v>
      </c>
      <c r="C504" s="195">
        <v>14</v>
      </c>
      <c r="D504" s="39" t="s">
        <v>432</v>
      </c>
      <c r="E504" s="195"/>
      <c r="F504" s="42">
        <f>SUM(F502:F503)</f>
        <v>732125</v>
      </c>
      <c r="G504" s="42">
        <f>SUM(G502:G503)</f>
        <v>693616.76</v>
      </c>
      <c r="H504" s="42">
        <f>SUM(H502:H503)</f>
        <v>0</v>
      </c>
      <c r="I504" s="42">
        <f>SUM(I502:I503)</f>
        <v>0</v>
      </c>
      <c r="J504" s="42">
        <f>SUM(J502:J503)</f>
        <v>0</v>
      </c>
      <c r="K504" s="42">
        <f t="shared" si="35"/>
        <v>1425741.76</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v>1768271.02</v>
      </c>
      <c r="G508" s="144">
        <v>2018452.93</v>
      </c>
      <c r="H508" s="144">
        <v>1768271.02</v>
      </c>
      <c r="I508" s="144">
        <v>2018452.93</v>
      </c>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2450701.8394769998</v>
      </c>
      <c r="G522" s="18">
        <v>923801.73199300002</v>
      </c>
      <c r="H522" s="18">
        <v>498975.24142400012</v>
      </c>
      <c r="I522" s="18">
        <v>36877.617813000004</v>
      </c>
      <c r="J522" s="18">
        <v>31197.665576000003</v>
      </c>
      <c r="K522" s="18"/>
      <c r="L522" s="88">
        <f>SUM(F522:K522)</f>
        <v>3941554.096283</v>
      </c>
      <c r="N522" s="265"/>
    </row>
    <row r="523" spans="1:14" s="52" customFormat="1" ht="12.2" customHeight="1" x14ac:dyDescent="0.2">
      <c r="A523" s="22" t="s">
        <v>634</v>
      </c>
      <c r="B523" s="105">
        <v>21</v>
      </c>
      <c r="C523" s="115">
        <v>2</v>
      </c>
      <c r="D523" s="2" t="s">
        <v>432</v>
      </c>
      <c r="E523" s="115"/>
      <c r="F523" s="18">
        <v>1018573.293368</v>
      </c>
      <c r="G523" s="18">
        <v>425530.20311200002</v>
      </c>
      <c r="H523" s="18">
        <v>451992.97721600009</v>
      </c>
      <c r="I523" s="18">
        <v>15306.399991999999</v>
      </c>
      <c r="J523" s="18">
        <v>12827.050783999999</v>
      </c>
      <c r="K523" s="18"/>
      <c r="L523" s="88">
        <f>SUM(F523:K523)</f>
        <v>1924229.924472</v>
      </c>
      <c r="N523" s="265"/>
    </row>
    <row r="524" spans="1:14" s="52" customFormat="1" ht="12.2" customHeight="1" thickBot="1" x14ac:dyDescent="0.25">
      <c r="A524" s="22" t="s">
        <v>635</v>
      </c>
      <c r="B524" s="105">
        <v>21</v>
      </c>
      <c r="C524" s="115">
        <v>3</v>
      </c>
      <c r="D524" s="2" t="s">
        <v>432</v>
      </c>
      <c r="E524" s="115"/>
      <c r="F524" s="18">
        <v>1268892.0671550001</v>
      </c>
      <c r="G524" s="18">
        <v>509255.33489500004</v>
      </c>
      <c r="H524" s="18">
        <v>597806.81136000017</v>
      </c>
      <c r="I524" s="18">
        <v>8269.8321950000009</v>
      </c>
      <c r="J524" s="18">
        <v>19650.683640000003</v>
      </c>
      <c r="K524" s="18"/>
      <c r="L524" s="88">
        <f>SUM(F524:K524)</f>
        <v>2403874.7292450001</v>
      </c>
      <c r="N524" s="265"/>
    </row>
    <row r="525" spans="1:14" s="52" customFormat="1" ht="12.2" customHeight="1" thickTop="1" x14ac:dyDescent="0.2">
      <c r="A525" s="139" t="s">
        <v>63</v>
      </c>
      <c r="B525" s="107">
        <v>21</v>
      </c>
      <c r="C525" s="195">
        <v>4</v>
      </c>
      <c r="D525" s="196" t="s">
        <v>432</v>
      </c>
      <c r="E525" s="195"/>
      <c r="F525" s="108">
        <f>SUM(F522:F524)</f>
        <v>4738167.2</v>
      </c>
      <c r="G525" s="108">
        <f t="shared" ref="G525:L525" si="36">SUM(G522:G524)</f>
        <v>1858587.2700000003</v>
      </c>
      <c r="H525" s="108">
        <f t="shared" si="36"/>
        <v>1548775.0300000003</v>
      </c>
      <c r="I525" s="108">
        <f t="shared" si="36"/>
        <v>60453.850000000006</v>
      </c>
      <c r="J525" s="108">
        <f t="shared" si="36"/>
        <v>63675.400000000009</v>
      </c>
      <c r="K525" s="108">
        <f t="shared" si="36"/>
        <v>0</v>
      </c>
      <c r="L525" s="89">
        <f t="shared" si="36"/>
        <v>8269658.75</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438778.32080400002</v>
      </c>
      <c r="G527" s="18">
        <v>258730.49634500005</v>
      </c>
      <c r="H527" s="18">
        <v>81717.406136999998</v>
      </c>
      <c r="I527" s="18">
        <v>16299.732632999998</v>
      </c>
      <c r="J527" s="18">
        <v>1038.084263</v>
      </c>
      <c r="K527" s="18">
        <v>144.75850000000003</v>
      </c>
      <c r="L527" s="88">
        <f>SUM(F527:K527)</f>
        <v>796708.79868200002</v>
      </c>
      <c r="M527" s="8"/>
      <c r="N527" s="266"/>
    </row>
    <row r="528" spans="1:14" s="3" customFormat="1" ht="12.2" customHeight="1" x14ac:dyDescent="0.15">
      <c r="A528" s="22" t="s">
        <v>634</v>
      </c>
      <c r="B528" s="105">
        <v>21</v>
      </c>
      <c r="C528" s="115">
        <v>6</v>
      </c>
      <c r="D528" s="2" t="s">
        <v>432</v>
      </c>
      <c r="E528" s="115"/>
      <c r="F528" s="18">
        <v>365684.82713600004</v>
      </c>
      <c r="G528" s="18">
        <v>217632.42348</v>
      </c>
      <c r="H528" s="18">
        <v>74156.096808000017</v>
      </c>
      <c r="I528" s="18">
        <v>6119.4528719999998</v>
      </c>
      <c r="J528" s="18">
        <v>638.13679200000001</v>
      </c>
      <c r="K528" s="18">
        <v>131.364</v>
      </c>
      <c r="L528" s="88">
        <f>SUM(F528:K528)</f>
        <v>664362.30108800007</v>
      </c>
      <c r="M528" s="8"/>
      <c r="N528" s="266"/>
    </row>
    <row r="529" spans="1:14" s="3" customFormat="1" ht="12.2" customHeight="1" thickBot="1" x14ac:dyDescent="0.2">
      <c r="A529" s="22" t="s">
        <v>635</v>
      </c>
      <c r="B529" s="118">
        <v>21</v>
      </c>
      <c r="C529" s="118">
        <v>7</v>
      </c>
      <c r="D529" s="2" t="s">
        <v>432</v>
      </c>
      <c r="E529" s="118"/>
      <c r="F529" s="18">
        <v>434495.74205999996</v>
      </c>
      <c r="G529" s="18">
        <v>252685.45017500001</v>
      </c>
      <c r="H529" s="18">
        <v>95332.787054999993</v>
      </c>
      <c r="I529" s="18">
        <v>6987.6644949999991</v>
      </c>
      <c r="J529" s="18">
        <v>820.36894500000005</v>
      </c>
      <c r="K529" s="18">
        <v>168.8775</v>
      </c>
      <c r="L529" s="88">
        <f>SUM(F529:K529)</f>
        <v>790490.8902299999</v>
      </c>
      <c r="M529" s="8"/>
      <c r="N529" s="266"/>
    </row>
    <row r="530" spans="1:14" s="3" customFormat="1" ht="12.2" customHeight="1" thickTop="1" x14ac:dyDescent="0.15">
      <c r="A530" s="139" t="s">
        <v>65</v>
      </c>
      <c r="B530" s="107">
        <v>21</v>
      </c>
      <c r="C530" s="107">
        <v>8</v>
      </c>
      <c r="D530" s="158" t="s">
        <v>432</v>
      </c>
      <c r="E530" s="107"/>
      <c r="F530" s="89">
        <f>SUM(F527:F529)</f>
        <v>1238958.8900000001</v>
      </c>
      <c r="G530" s="89">
        <f t="shared" ref="G530:L530" si="37">SUM(G527:G529)</f>
        <v>729048.37000000011</v>
      </c>
      <c r="H530" s="89">
        <f t="shared" si="37"/>
        <v>251206.29</v>
      </c>
      <c r="I530" s="89">
        <f t="shared" si="37"/>
        <v>29406.85</v>
      </c>
      <c r="J530" s="89">
        <f t="shared" si="37"/>
        <v>2496.59</v>
      </c>
      <c r="K530" s="89">
        <f t="shared" si="37"/>
        <v>445.00000000000006</v>
      </c>
      <c r="L530" s="89">
        <f t="shared" si="37"/>
        <v>2251561.9900000002</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66768.242079999996</v>
      </c>
      <c r="G532" s="18">
        <v>38396.653120000003</v>
      </c>
      <c r="H532" s="18">
        <v>716.85115999999994</v>
      </c>
      <c r="I532" s="18">
        <v>465.48584000000005</v>
      </c>
      <c r="J532" s="18">
        <v>524.93743999999992</v>
      </c>
      <c r="K532" s="18">
        <v>589.16000000000008</v>
      </c>
      <c r="L532" s="88">
        <f>SUM(F532:K532)</f>
        <v>107461.32964</v>
      </c>
      <c r="M532" s="8"/>
      <c r="N532" s="266"/>
    </row>
    <row r="533" spans="1:14" s="3" customFormat="1" ht="12.2" customHeight="1" x14ac:dyDescent="0.15">
      <c r="A533" s="22" t="s">
        <v>634</v>
      </c>
      <c r="B533" s="105">
        <v>21</v>
      </c>
      <c r="C533" s="105">
        <v>10</v>
      </c>
      <c r="D533" s="2" t="s">
        <v>432</v>
      </c>
      <c r="E533" s="105"/>
      <c r="F533" s="18">
        <v>39218.239279999994</v>
      </c>
      <c r="G533" s="18">
        <v>22553.373920000002</v>
      </c>
      <c r="H533" s="18">
        <v>421.06305999999995</v>
      </c>
      <c r="I533" s="18">
        <v>273.41644000000002</v>
      </c>
      <c r="J533" s="18">
        <v>308.33703999999994</v>
      </c>
      <c r="K533" s="18">
        <v>346.06</v>
      </c>
      <c r="L533" s="88">
        <f>SUM(F533:K533)</f>
        <v>63120.48973999999</v>
      </c>
      <c r="M533" s="8"/>
      <c r="N533" s="266"/>
    </row>
    <row r="534" spans="1:14" s="3" customFormat="1" ht="12.2" customHeight="1" thickBot="1" x14ac:dyDescent="0.2">
      <c r="A534" s="22" t="s">
        <v>635</v>
      </c>
      <c r="B534" s="105">
        <v>21</v>
      </c>
      <c r="C534" s="105">
        <v>11</v>
      </c>
      <c r="D534" s="2" t="s">
        <v>432</v>
      </c>
      <c r="E534" s="105"/>
      <c r="F534" s="18">
        <v>56072.358639999999</v>
      </c>
      <c r="G534" s="18">
        <v>32245.732959999998</v>
      </c>
      <c r="H534" s="18">
        <v>602.01577999999995</v>
      </c>
      <c r="I534" s="18">
        <v>390.91771999999997</v>
      </c>
      <c r="J534" s="18">
        <v>440.84551999999991</v>
      </c>
      <c r="K534" s="18">
        <v>494.78</v>
      </c>
      <c r="L534" s="88">
        <f>SUM(F534:K534)</f>
        <v>90246.65062</v>
      </c>
      <c r="M534" s="8"/>
      <c r="N534" s="266"/>
    </row>
    <row r="535" spans="1:14" s="3" customFormat="1" ht="12.2" customHeight="1" thickTop="1" x14ac:dyDescent="0.15">
      <c r="A535" s="139" t="s">
        <v>67</v>
      </c>
      <c r="B535" s="107">
        <v>21</v>
      </c>
      <c r="C535" s="107">
        <v>12</v>
      </c>
      <c r="D535" s="158" t="s">
        <v>432</v>
      </c>
      <c r="E535" s="107"/>
      <c r="F535" s="89">
        <f>SUM(F532:F534)</f>
        <v>162058.84</v>
      </c>
      <c r="G535" s="89">
        <f t="shared" ref="G535:L535" si="38">SUM(G532:G534)</f>
        <v>93195.76</v>
      </c>
      <c r="H535" s="89">
        <f t="shared" si="38"/>
        <v>1739.9299999999998</v>
      </c>
      <c r="I535" s="89">
        <f t="shared" si="38"/>
        <v>1129.82</v>
      </c>
      <c r="J535" s="89">
        <f t="shared" si="38"/>
        <v>1274.1199999999997</v>
      </c>
      <c r="K535" s="89">
        <f t="shared" si="38"/>
        <v>1430</v>
      </c>
      <c r="L535" s="89">
        <f t="shared" si="38"/>
        <v>260828.47</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v>6000.8351240000011</v>
      </c>
      <c r="I537" s="18"/>
      <c r="J537" s="18"/>
      <c r="K537" s="18"/>
      <c r="L537" s="88">
        <f>SUM(F537:K537)</f>
        <v>6000.8351240000011</v>
      </c>
      <c r="M537" s="8"/>
      <c r="N537" s="266"/>
    </row>
    <row r="538" spans="1:14" s="3" customFormat="1" ht="12.2" customHeight="1" x14ac:dyDescent="0.15">
      <c r="A538" s="22" t="s">
        <v>634</v>
      </c>
      <c r="B538" s="105">
        <v>21</v>
      </c>
      <c r="C538" s="105">
        <v>14</v>
      </c>
      <c r="D538" s="2" t="s">
        <v>432</v>
      </c>
      <c r="E538" s="105"/>
      <c r="F538" s="18"/>
      <c r="G538" s="18"/>
      <c r="H538" s="18">
        <v>5445.5780160000013</v>
      </c>
      <c r="I538" s="18"/>
      <c r="J538" s="18"/>
      <c r="K538" s="18"/>
      <c r="L538" s="88">
        <f>SUM(F538:K538)</f>
        <v>5445.5780160000013</v>
      </c>
      <c r="M538" s="8"/>
      <c r="N538" s="266"/>
    </row>
    <row r="539" spans="1:14" s="3" customFormat="1" ht="12.2" customHeight="1" thickBot="1" x14ac:dyDescent="0.2">
      <c r="A539" s="22" t="s">
        <v>635</v>
      </c>
      <c r="B539" s="105">
        <v>21</v>
      </c>
      <c r="C539" s="105">
        <v>15</v>
      </c>
      <c r="D539" s="2" t="s">
        <v>432</v>
      </c>
      <c r="E539" s="105"/>
      <c r="F539" s="18"/>
      <c r="G539" s="18"/>
      <c r="H539" s="18">
        <v>7000.6668600000012</v>
      </c>
      <c r="I539" s="18"/>
      <c r="J539" s="18"/>
      <c r="K539" s="18"/>
      <c r="L539" s="88">
        <f>SUM(F539:K539)</f>
        <v>7000.6668600000012</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18447.080000000002</v>
      </c>
      <c r="I540" s="89">
        <f t="shared" si="39"/>
        <v>0</v>
      </c>
      <c r="J540" s="89">
        <f t="shared" si="39"/>
        <v>0</v>
      </c>
      <c r="K540" s="89">
        <f t="shared" si="39"/>
        <v>0</v>
      </c>
      <c r="L540" s="89">
        <f t="shared" si="39"/>
        <v>18447.080000000002</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191098.379575</v>
      </c>
      <c r="I542" s="18"/>
      <c r="J542" s="18"/>
      <c r="K542" s="18"/>
      <c r="L542" s="88">
        <f>SUM(F542:K542)</f>
        <v>191098.379575</v>
      </c>
      <c r="M542" s="8"/>
      <c r="N542" s="266"/>
    </row>
    <row r="543" spans="1:14" s="3" customFormat="1" ht="12.2" customHeight="1" x14ac:dyDescent="0.15">
      <c r="A543" s="22" t="s">
        <v>634</v>
      </c>
      <c r="B543" s="105">
        <v>21</v>
      </c>
      <c r="C543" s="105">
        <v>18</v>
      </c>
      <c r="D543" s="2" t="s">
        <v>432</v>
      </c>
      <c r="E543" s="105"/>
      <c r="F543" s="18"/>
      <c r="G543" s="18"/>
      <c r="H543" s="18">
        <v>173416.05180000002</v>
      </c>
      <c r="I543" s="18"/>
      <c r="J543" s="18"/>
      <c r="K543" s="18"/>
      <c r="L543" s="88">
        <f>SUM(F543:K543)</f>
        <v>173416.05180000002</v>
      </c>
      <c r="M543" s="8"/>
      <c r="N543" s="266"/>
    </row>
    <row r="544" spans="1:14" s="3" customFormat="1" ht="12.2" customHeight="1" thickBot="1" x14ac:dyDescent="0.2">
      <c r="A544" s="22" t="s">
        <v>635</v>
      </c>
      <c r="B544" s="105">
        <v>21</v>
      </c>
      <c r="C544" s="105">
        <v>19</v>
      </c>
      <c r="D544" s="2" t="s">
        <v>432</v>
      </c>
      <c r="E544" s="105"/>
      <c r="F544" s="18"/>
      <c r="G544" s="18"/>
      <c r="H544" s="18">
        <v>222938.31862500001</v>
      </c>
      <c r="I544" s="18"/>
      <c r="J544" s="18"/>
      <c r="K544" s="18"/>
      <c r="L544" s="88">
        <f>SUM(F544:K544)</f>
        <v>222938.31862500001</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587452.75</v>
      </c>
      <c r="I545" s="193">
        <f t="shared" si="40"/>
        <v>0</v>
      </c>
      <c r="J545" s="193">
        <f t="shared" si="40"/>
        <v>0</v>
      </c>
      <c r="K545" s="193">
        <f t="shared" si="40"/>
        <v>0</v>
      </c>
      <c r="L545" s="193">
        <f t="shared" si="40"/>
        <v>587452.75</v>
      </c>
      <c r="M545" s="8"/>
      <c r="N545" s="266"/>
    </row>
    <row r="546" spans="1:14" s="3" customFormat="1" ht="12.2" customHeight="1" thickTop="1" x14ac:dyDescent="0.15">
      <c r="A546" s="98" t="s">
        <v>72</v>
      </c>
      <c r="B546" s="107">
        <v>21</v>
      </c>
      <c r="C546" s="107">
        <v>21</v>
      </c>
      <c r="D546" s="158" t="s">
        <v>432</v>
      </c>
      <c r="E546" s="107"/>
      <c r="F546" s="89">
        <f>F525+F530+F535+F540+F545</f>
        <v>6139184.9299999997</v>
      </c>
      <c r="G546" s="89">
        <f t="shared" ref="G546:L546" si="41">G525+G530+G535+G540+G545</f>
        <v>2680831.4000000004</v>
      </c>
      <c r="H546" s="89">
        <f t="shared" si="41"/>
        <v>2407621.08</v>
      </c>
      <c r="I546" s="89">
        <f t="shared" si="41"/>
        <v>90990.520000000019</v>
      </c>
      <c r="J546" s="89">
        <f t="shared" si="41"/>
        <v>67446.11</v>
      </c>
      <c r="K546" s="89">
        <f t="shared" si="41"/>
        <v>1875</v>
      </c>
      <c r="L546" s="89">
        <f t="shared" si="41"/>
        <v>11387949.040000001</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3941554.096283</v>
      </c>
      <c r="G550" s="87">
        <f>L527</f>
        <v>796708.79868200002</v>
      </c>
      <c r="H550" s="87">
        <f>L532</f>
        <v>107461.32964</v>
      </c>
      <c r="I550" s="87">
        <f>L537</f>
        <v>6000.8351240000011</v>
      </c>
      <c r="J550" s="87">
        <f>L542</f>
        <v>191098.379575</v>
      </c>
      <c r="K550" s="87">
        <f>SUM(F550:J550)</f>
        <v>5042823.4393040007</v>
      </c>
      <c r="L550" s="24" t="s">
        <v>288</v>
      </c>
      <c r="M550" s="8"/>
      <c r="N550" s="266"/>
    </row>
    <row r="551" spans="1:14" s="3" customFormat="1" ht="12.2" customHeight="1" x14ac:dyDescent="0.15">
      <c r="A551" s="22" t="s">
        <v>634</v>
      </c>
      <c r="B551" s="75">
        <v>21</v>
      </c>
      <c r="C551" s="75">
        <v>23</v>
      </c>
      <c r="D551" s="2" t="s">
        <v>432</v>
      </c>
      <c r="E551" s="75"/>
      <c r="F551" s="87">
        <f>L523</f>
        <v>1924229.924472</v>
      </c>
      <c r="G551" s="87">
        <f>L528</f>
        <v>664362.30108800007</v>
      </c>
      <c r="H551" s="87">
        <f>L533</f>
        <v>63120.48973999999</v>
      </c>
      <c r="I551" s="87">
        <f>L538</f>
        <v>5445.5780160000013</v>
      </c>
      <c r="J551" s="87">
        <f>L543</f>
        <v>173416.05180000002</v>
      </c>
      <c r="K551" s="87">
        <f>SUM(F551:J551)</f>
        <v>2830574.3451160002</v>
      </c>
      <c r="L551" s="24" t="s">
        <v>288</v>
      </c>
      <c r="M551" s="8"/>
      <c r="N551" s="266"/>
    </row>
    <row r="552" spans="1:14" s="3" customFormat="1" ht="12.2" customHeight="1" thickBot="1" x14ac:dyDescent="0.2">
      <c r="A552" s="22" t="s">
        <v>635</v>
      </c>
      <c r="B552" s="75">
        <v>21</v>
      </c>
      <c r="C552" s="75">
        <v>24</v>
      </c>
      <c r="D552" s="2" t="s">
        <v>432</v>
      </c>
      <c r="E552" s="75"/>
      <c r="F552" s="87">
        <f>L524</f>
        <v>2403874.7292450001</v>
      </c>
      <c r="G552" s="87">
        <f>L529</f>
        <v>790490.8902299999</v>
      </c>
      <c r="H552" s="87">
        <f>L534</f>
        <v>90246.65062</v>
      </c>
      <c r="I552" s="87">
        <f>L539</f>
        <v>7000.6668600000012</v>
      </c>
      <c r="J552" s="87">
        <f>L544</f>
        <v>222938.31862500001</v>
      </c>
      <c r="K552" s="87">
        <f>SUM(F552:J552)</f>
        <v>3514551.2555800001</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8269658.75</v>
      </c>
      <c r="G553" s="89">
        <f t="shared" si="42"/>
        <v>2251561.9900000002</v>
      </c>
      <c r="H553" s="89">
        <f t="shared" si="42"/>
        <v>260828.47</v>
      </c>
      <c r="I553" s="89">
        <f t="shared" si="42"/>
        <v>18447.080000000002</v>
      </c>
      <c r="J553" s="89">
        <f t="shared" si="42"/>
        <v>587452.75</v>
      </c>
      <c r="K553" s="89">
        <f t="shared" si="42"/>
        <v>11387949.040000001</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v>102400.07032000001</v>
      </c>
      <c r="G563" s="18">
        <v>34671.040119999998</v>
      </c>
      <c r="H563" s="18">
        <v>3588.27468</v>
      </c>
      <c r="I563" s="18">
        <v>1836.7538400000001</v>
      </c>
      <c r="J563" s="18"/>
      <c r="K563" s="18"/>
      <c r="L563" s="88">
        <f>SUM(F563:K563)</f>
        <v>142496.13896000001</v>
      </c>
      <c r="M563" s="8"/>
      <c r="N563" s="266"/>
    </row>
    <row r="564" spans="1:14" s="3" customFormat="1" ht="12.2" customHeight="1" x14ac:dyDescent="0.15">
      <c r="A564" s="22" t="s">
        <v>634</v>
      </c>
      <c r="B564" s="105">
        <v>22</v>
      </c>
      <c r="C564" s="115">
        <v>6</v>
      </c>
      <c r="D564" s="2" t="s">
        <v>432</v>
      </c>
      <c r="E564" s="115"/>
      <c r="F564" s="18">
        <v>116147.71412000002</v>
      </c>
      <c r="G564" s="18">
        <v>62999.898419999998</v>
      </c>
      <c r="H564" s="18">
        <v>740.49337999999989</v>
      </c>
      <c r="I564" s="18">
        <v>249.42944</v>
      </c>
      <c r="J564" s="18"/>
      <c r="K564" s="18"/>
      <c r="L564" s="88">
        <f>SUM(F564:K564)</f>
        <v>180137.53536000001</v>
      </c>
      <c r="M564" s="8"/>
      <c r="N564" s="266"/>
    </row>
    <row r="565" spans="1:14" s="3" customFormat="1" ht="12.2" customHeight="1" thickBot="1" x14ac:dyDescent="0.2">
      <c r="A565" s="22" t="s">
        <v>635</v>
      </c>
      <c r="B565" s="105">
        <v>22</v>
      </c>
      <c r="C565" s="118">
        <v>7</v>
      </c>
      <c r="D565" s="2" t="s">
        <v>432</v>
      </c>
      <c r="E565" s="118"/>
      <c r="F565" s="18">
        <v>85996.175559999989</v>
      </c>
      <c r="G565" s="18">
        <v>29116.941459999995</v>
      </c>
      <c r="H565" s="18">
        <v>1058.7219399999999</v>
      </c>
      <c r="I565" s="18">
        <v>221.02671999999998</v>
      </c>
      <c r="J565" s="18"/>
      <c r="K565" s="18"/>
      <c r="L565" s="88">
        <f>SUM(F565:K565)</f>
        <v>116392.86567999997</v>
      </c>
      <c r="M565" s="8"/>
      <c r="N565" s="266"/>
    </row>
    <row r="566" spans="1:14" s="3" customFormat="1" ht="12.2" customHeight="1" thickTop="1" x14ac:dyDescent="0.15">
      <c r="A566" s="139" t="s">
        <v>65</v>
      </c>
      <c r="B566" s="107">
        <v>22</v>
      </c>
      <c r="C566" s="107">
        <v>8</v>
      </c>
      <c r="D566" s="196" t="s">
        <v>432</v>
      </c>
      <c r="E566" s="107"/>
      <c r="F566" s="89">
        <f t="shared" ref="F566:L566" si="44">SUM(F563:F565)</f>
        <v>304543.96000000002</v>
      </c>
      <c r="G566" s="89">
        <f t="shared" si="44"/>
        <v>126787.88</v>
      </c>
      <c r="H566" s="89">
        <f t="shared" si="44"/>
        <v>5387.49</v>
      </c>
      <c r="I566" s="89">
        <f t="shared" si="44"/>
        <v>2307.21</v>
      </c>
      <c r="J566" s="89">
        <f t="shared" si="44"/>
        <v>0</v>
      </c>
      <c r="K566" s="89">
        <f t="shared" si="44"/>
        <v>0</v>
      </c>
      <c r="L566" s="89">
        <f t="shared" si="44"/>
        <v>439026.54</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304543.96000000002</v>
      </c>
      <c r="G572" s="89">
        <f t="shared" ref="G572:L572" si="46">G561+G566+G571</f>
        <v>126787.88</v>
      </c>
      <c r="H572" s="89">
        <f t="shared" si="46"/>
        <v>5387.49</v>
      </c>
      <c r="I572" s="89">
        <f t="shared" si="46"/>
        <v>2307.21</v>
      </c>
      <c r="J572" s="89">
        <f t="shared" si="46"/>
        <v>0</v>
      </c>
      <c r="K572" s="89">
        <f t="shared" si="46"/>
        <v>0</v>
      </c>
      <c r="L572" s="89">
        <f t="shared" si="46"/>
        <v>439026.54</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13275.61</v>
      </c>
      <c r="G580" s="18">
        <v>92980.01</v>
      </c>
      <c r="H580" s="18">
        <v>74011.28</v>
      </c>
      <c r="I580" s="87">
        <f t="shared" si="47"/>
        <v>180266.9</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0</v>
      </c>
      <c r="G583" s="18">
        <v>301997.88</v>
      </c>
      <c r="H583" s="18">
        <v>703448.21</v>
      </c>
      <c r="I583" s="87">
        <f t="shared" si="47"/>
        <v>1005446.09</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650779.96424000012</v>
      </c>
      <c r="I592" s="18">
        <v>382254.25083999999</v>
      </c>
      <c r="J592" s="18">
        <v>546528.80491999991</v>
      </c>
      <c r="K592" s="104">
        <f t="shared" ref="K592:K598" si="48">SUM(H592:J592)</f>
        <v>1579563.02</v>
      </c>
      <c r="L592" s="24" t="s">
        <v>288</v>
      </c>
      <c r="M592" s="8"/>
      <c r="N592" s="266"/>
    </row>
    <row r="593" spans="1:14" s="3" customFormat="1" ht="12.2" customHeight="1" x14ac:dyDescent="0.15">
      <c r="A593" s="3" t="s">
        <v>638</v>
      </c>
      <c r="B593" s="75">
        <v>23</v>
      </c>
      <c r="C593" s="75">
        <v>2</v>
      </c>
      <c r="D593" s="2" t="s">
        <v>432</v>
      </c>
      <c r="E593" s="75"/>
      <c r="F593" s="102">
        <v>2722</v>
      </c>
      <c r="G593" s="103" t="s">
        <v>97</v>
      </c>
      <c r="H593" s="18">
        <v>191098.379575</v>
      </c>
      <c r="I593" s="18">
        <v>173416.05180000002</v>
      </c>
      <c r="J593" s="18">
        <v>222938.31862500001</v>
      </c>
      <c r="K593" s="104">
        <f t="shared" si="48"/>
        <v>587452.75</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v>2100</v>
      </c>
      <c r="I595" s="18">
        <v>0</v>
      </c>
      <c r="J595" s="18">
        <v>0</v>
      </c>
      <c r="K595" s="104">
        <f t="shared" si="48"/>
        <v>2100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v>88.64</v>
      </c>
      <c r="K598" s="104">
        <f t="shared" si="48"/>
        <v>88.64</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843978.34381500015</v>
      </c>
      <c r="I599" s="108">
        <f>SUM(I592:I598)</f>
        <v>555670.30264000001</v>
      </c>
      <c r="J599" s="108">
        <f>SUM(J592:J598)</f>
        <v>769555.76354499988</v>
      </c>
      <c r="K599" s="108">
        <f>SUM(K592:K598)</f>
        <v>2169204.41</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266972.87860900001</v>
      </c>
      <c r="I605" s="18">
        <v>211850.20881599997</v>
      </c>
      <c r="J605" s="18">
        <v>382163.49257500004</v>
      </c>
      <c r="K605" s="104">
        <f>SUM(H605:J605)</f>
        <v>860986.58000000007</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266972.87860900001</v>
      </c>
      <c r="I606" s="108">
        <f>SUM(I603:I605)</f>
        <v>211850.20881599997</v>
      </c>
      <c r="J606" s="108">
        <f>SUM(J603:J605)</f>
        <v>382163.49257500004</v>
      </c>
      <c r="K606" s="108">
        <f>SUM(K603:K605)</f>
        <v>860986.58000000007</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v>48150.356605000001</v>
      </c>
      <c r="G612" s="18">
        <v>8669.3794100000014</v>
      </c>
      <c r="H612" s="18">
        <v>10166.785445000001</v>
      </c>
      <c r="I612" s="18">
        <v>352.98511999999999</v>
      </c>
      <c r="J612" s="18"/>
      <c r="K612" s="18"/>
      <c r="L612" s="88">
        <f>SUM(F612:K612)</f>
        <v>67339.506580000001</v>
      </c>
      <c r="M612" s="8"/>
      <c r="N612" s="266"/>
    </row>
    <row r="613" spans="1:14" s="3" customFormat="1" ht="12.2" customHeight="1" x14ac:dyDescent="0.15">
      <c r="A613" s="22" t="s">
        <v>634</v>
      </c>
      <c r="B613" s="75">
        <v>23</v>
      </c>
      <c r="C613" s="75">
        <v>14</v>
      </c>
      <c r="D613" s="2" t="s">
        <v>432</v>
      </c>
      <c r="E613" s="75"/>
      <c r="F613" s="18">
        <v>40748.19932</v>
      </c>
      <c r="G613" s="18">
        <v>7529.3854999999994</v>
      </c>
      <c r="H613" s="18">
        <v>7273.4751999999999</v>
      </c>
      <c r="I613" s="18">
        <v>207.33591999999999</v>
      </c>
      <c r="J613" s="18"/>
      <c r="K613" s="18"/>
      <c r="L613" s="88">
        <f>SUM(F613:K613)</f>
        <v>55758.395939999995</v>
      </c>
      <c r="M613" s="8"/>
      <c r="N613" s="266"/>
    </row>
    <row r="614" spans="1:14" s="3" customFormat="1" ht="12.2" customHeight="1" thickBot="1" x14ac:dyDescent="0.2">
      <c r="A614" s="22" t="s">
        <v>645</v>
      </c>
      <c r="B614" s="75">
        <v>23</v>
      </c>
      <c r="C614" s="75">
        <v>15</v>
      </c>
      <c r="D614" s="2" t="s">
        <v>432</v>
      </c>
      <c r="E614" s="75"/>
      <c r="F614" s="18">
        <v>53164.294075000005</v>
      </c>
      <c r="G614" s="18">
        <v>9768.9250899999988</v>
      </c>
      <c r="H614" s="18">
        <v>9867.169355</v>
      </c>
      <c r="I614" s="18">
        <v>296.43895999999995</v>
      </c>
      <c r="J614" s="18"/>
      <c r="K614" s="18"/>
      <c r="L614" s="88">
        <f>SUM(F614:K614)</f>
        <v>73096.827480000007</v>
      </c>
      <c r="M614" s="8"/>
      <c r="N614" s="266"/>
    </row>
    <row r="615" spans="1:14" s="3" customFormat="1" ht="12.2" customHeight="1" thickTop="1" x14ac:dyDescent="0.15">
      <c r="A615" s="98" t="s">
        <v>340</v>
      </c>
      <c r="B615" s="107">
        <v>23</v>
      </c>
      <c r="C615" s="107">
        <v>16</v>
      </c>
      <c r="D615" s="39" t="s">
        <v>432</v>
      </c>
      <c r="E615" s="107"/>
      <c r="F615" s="108">
        <f t="shared" ref="F615:L615" si="49">SUM(F612:F614)</f>
        <v>142062.85</v>
      </c>
      <c r="G615" s="108">
        <f t="shared" si="49"/>
        <v>25967.690000000002</v>
      </c>
      <c r="H615" s="108">
        <f t="shared" si="49"/>
        <v>27307.43</v>
      </c>
      <c r="I615" s="108">
        <f t="shared" si="49"/>
        <v>856.76</v>
      </c>
      <c r="J615" s="108">
        <f t="shared" si="49"/>
        <v>0</v>
      </c>
      <c r="K615" s="108">
        <f t="shared" si="49"/>
        <v>0</v>
      </c>
      <c r="L615" s="89">
        <f t="shared" si="49"/>
        <v>196194.73</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4536097.75</v>
      </c>
      <c r="H618" s="109">
        <f>SUM(F52)</f>
        <v>4536097.75</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149245.47</v>
      </c>
      <c r="H619" s="109">
        <f>SUM(G52)</f>
        <v>149245.47</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1054147.46</v>
      </c>
      <c r="H620" s="109">
        <f>SUM(H52)</f>
        <v>1054147.4600000004</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4068389.4799999995</v>
      </c>
      <c r="H621" s="109">
        <f>SUM(I52)</f>
        <v>4068389.4800000004</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868545.92999999993</v>
      </c>
      <c r="H622" s="109">
        <f>SUM(J52)</f>
        <v>868545.92999999993</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2357927.86</v>
      </c>
      <c r="H623" s="109">
        <f>F477</f>
        <v>2357927.8600000814</v>
      </c>
      <c r="I623" s="121" t="s">
        <v>101</v>
      </c>
      <c r="J623" s="109">
        <f t="shared" ref="J623:J656" si="50">G623-H623</f>
        <v>-8.149072527885437E-8</v>
      </c>
      <c r="K623" s="109"/>
      <c r="L623" s="109"/>
      <c r="M623" s="8"/>
    </row>
    <row r="624" spans="1:14" s="3" customFormat="1" ht="12.2" customHeight="1" x14ac:dyDescent="0.15">
      <c r="A624" s="97"/>
      <c r="B624" s="105"/>
      <c r="C624" s="119"/>
      <c r="D624" s="119"/>
      <c r="E624" s="119"/>
      <c r="F624" s="119" t="s">
        <v>866</v>
      </c>
      <c r="G624" s="109">
        <f>G51</f>
        <v>89623.48</v>
      </c>
      <c r="H624" s="109">
        <f>G477</f>
        <v>89623.479999999749</v>
      </c>
      <c r="I624" s="121" t="s">
        <v>102</v>
      </c>
      <c r="J624" s="109">
        <f t="shared" si="50"/>
        <v>2.4738255888223648E-10</v>
      </c>
      <c r="K624" s="109"/>
      <c r="L624" s="109"/>
      <c r="M624" s="8"/>
    </row>
    <row r="625" spans="1:13" s="3" customFormat="1" ht="12.2" customHeight="1" x14ac:dyDescent="0.15">
      <c r="A625" s="97"/>
      <c r="B625" s="105"/>
      <c r="C625" s="105"/>
      <c r="D625" s="105"/>
      <c r="E625" s="105"/>
      <c r="F625" s="120" t="s">
        <v>867</v>
      </c>
      <c r="G625" s="109">
        <f>H51</f>
        <v>331409.77000000043</v>
      </c>
      <c r="H625" s="109">
        <f>H477</f>
        <v>331409.76999999955</v>
      </c>
      <c r="I625" s="121" t="s">
        <v>103</v>
      </c>
      <c r="J625" s="109">
        <f t="shared" si="50"/>
        <v>8.7311491370201111E-10</v>
      </c>
      <c r="K625" s="109"/>
      <c r="L625" s="109"/>
      <c r="M625" s="8"/>
    </row>
    <row r="626" spans="1:13" s="3" customFormat="1" ht="12.2" customHeight="1" x14ac:dyDescent="0.15">
      <c r="A626" s="97"/>
      <c r="B626" s="105"/>
      <c r="C626" s="105"/>
      <c r="D626" s="105"/>
      <c r="E626" s="105"/>
      <c r="F626" s="120" t="s">
        <v>868</v>
      </c>
      <c r="G626" s="109">
        <f>I51</f>
        <v>1098989.78</v>
      </c>
      <c r="H626" s="109">
        <f>I477</f>
        <v>1098989.7799999993</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858093.58</v>
      </c>
      <c r="H627" s="109">
        <f>J477</f>
        <v>858093.58</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51431283.520000003</v>
      </c>
      <c r="H628" s="104">
        <f>SUM(F469)</f>
        <v>51431283.520000003</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1106054.93</v>
      </c>
      <c r="H629" s="104">
        <f>SUM(G469)</f>
        <v>1106054.93</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2398470.98</v>
      </c>
      <c r="H630" s="104">
        <f>SUM(H469)</f>
        <v>2398470.98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7864711.3599999994</v>
      </c>
      <c r="H631" s="104">
        <f>SUM(I469)</f>
        <v>7864711.3599999994</v>
      </c>
      <c r="I631" s="140" t="s">
        <v>109</v>
      </c>
      <c r="J631" s="109">
        <f>G631-H631</f>
        <v>0</v>
      </c>
      <c r="K631" s="85"/>
      <c r="L631" s="88"/>
      <c r="M631" s="8"/>
    </row>
    <row r="632" spans="1:13" s="3" customFormat="1" ht="12.2" customHeight="1" x14ac:dyDescent="0.15">
      <c r="A632" s="22"/>
      <c r="B632" s="105"/>
      <c r="C632" s="105"/>
      <c r="D632" s="105"/>
      <c r="E632" s="105"/>
      <c r="F632" s="120" t="s">
        <v>662</v>
      </c>
      <c r="G632" s="109">
        <f>J194</f>
        <v>247894.13</v>
      </c>
      <c r="H632" s="104">
        <f>SUM(J469)</f>
        <v>247894.12999999998</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50940965.420000002</v>
      </c>
      <c r="H633" s="104">
        <f>SUM(F473)</f>
        <v>50940965.41999992</v>
      </c>
      <c r="I633" s="140" t="s">
        <v>111</v>
      </c>
      <c r="J633" s="109">
        <f t="shared" si="50"/>
        <v>8.1956386566162109E-8</v>
      </c>
      <c r="K633" s="85"/>
      <c r="L633" s="88"/>
      <c r="M633" s="8"/>
    </row>
    <row r="634" spans="1:13" s="3" customFormat="1" ht="12.2" customHeight="1" x14ac:dyDescent="0.15">
      <c r="A634" s="22"/>
      <c r="B634" s="105"/>
      <c r="C634" s="105"/>
      <c r="D634" s="105"/>
      <c r="E634" s="105"/>
      <c r="F634" s="120" t="s">
        <v>395</v>
      </c>
      <c r="G634" s="109">
        <f>SUM(L353)</f>
        <v>2444066.44</v>
      </c>
      <c r="H634" s="104">
        <f>SUM(H473)</f>
        <v>2444066.4400000004</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337104.47</v>
      </c>
      <c r="H635" s="104">
        <f>I370</f>
        <v>337104.47</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1133361.3500000001</v>
      </c>
      <c r="H636" s="104">
        <f>SUM(G473)</f>
        <v>1133361.3500000001</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13692009.030000001</v>
      </c>
      <c r="H637" s="104">
        <f>SUM(I473)</f>
        <v>13692009.029999999</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247894.13</v>
      </c>
      <c r="H638" s="164">
        <f>SUM(J469)</f>
        <v>247894.12999999998</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128065.67</v>
      </c>
      <c r="H639" s="164">
        <f>SUM(J473)</f>
        <v>128065.67000000001</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858093.58</v>
      </c>
      <c r="H640" s="104">
        <f>SUM(F462)</f>
        <v>858093.58</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10452.35</v>
      </c>
      <c r="H641" s="104">
        <f>SUM(G462)</f>
        <v>10452.35</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868545.92999999993</v>
      </c>
      <c r="H643" s="104">
        <f>SUM(I462)</f>
        <v>868545.92999999993</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19828.46</v>
      </c>
      <c r="H645" s="104">
        <f>H409</f>
        <v>19828.46</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100000</v>
      </c>
      <c r="H646" s="104">
        <f>G409</f>
        <v>100000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247894.13</v>
      </c>
      <c r="H647" s="104">
        <f>L409</f>
        <v>247894.13</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2169204.41</v>
      </c>
      <c r="H648" s="104">
        <f>L209+L227+L245</f>
        <v>2169204.41</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860986.58000000007</v>
      </c>
      <c r="H649" s="104">
        <f>(J258+J339)-(J256+J337)</f>
        <v>860986.58000000007</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843978.34381500003</v>
      </c>
      <c r="H650" s="104">
        <f>H599</f>
        <v>843978.34381500015</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555670.30264000001</v>
      </c>
      <c r="H651" s="104">
        <f>I599</f>
        <v>555670.30264000001</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769555.76354499988</v>
      </c>
      <c r="H652" s="104">
        <f>J599</f>
        <v>769555.76354499988</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222487.02</v>
      </c>
      <c r="H653" s="104">
        <f>K264+K346</f>
        <v>222487.02</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100000</v>
      </c>
      <c r="H656" s="104">
        <f>K267+K348</f>
        <v>100000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19797785.031655002</v>
      </c>
      <c r="G661" s="19">
        <f>(L230+L310+L360)</f>
        <v>12639524.106425002</v>
      </c>
      <c r="H661" s="19">
        <f>(L248+L329+L361)</f>
        <v>19939500.671919998</v>
      </c>
      <c r="I661" s="19">
        <f>SUM(F661:H661)</f>
        <v>52376809.810000002</v>
      </c>
      <c r="J661" s="13"/>
      <c r="K661" s="13"/>
      <c r="L661" s="13"/>
      <c r="M661" s="9"/>
    </row>
    <row r="662" spans="1:13" s="3" customFormat="1" ht="12.2" customHeight="1" x14ac:dyDescent="0.2">
      <c r="A662" s="1" t="s">
        <v>127</v>
      </c>
      <c r="F662" s="19">
        <f>(L359/IF(SUM(L359:L361)=0,1,SUM(L359:L361))*(SUM(G97:G110)))</f>
        <v>247731.74086982003</v>
      </c>
      <c r="G662" s="19">
        <f>(L360/IF(SUM(L359:L361)=0,1,SUM(L359:L361))*(SUM(G97:G110)))</f>
        <v>137765.09763690495</v>
      </c>
      <c r="H662" s="19">
        <f>(L361/IF(SUM(L359:L361)=0,1,SUM(L359:L361))*(SUM(G97:G110)))</f>
        <v>157149.92149327489</v>
      </c>
      <c r="I662" s="19">
        <f>SUM(F662:H662)</f>
        <v>542646.75999999989</v>
      </c>
      <c r="J662"/>
      <c r="K662" s="13"/>
      <c r="L662" s="13"/>
      <c r="M662" s="8"/>
    </row>
    <row r="663" spans="1:13" s="3" customFormat="1" ht="12.2" customHeight="1" x14ac:dyDescent="0.2">
      <c r="A663" s="1" t="s">
        <v>128</v>
      </c>
      <c r="F663" s="19">
        <f>(L209+L288)-(J209+J288)</f>
        <v>843978.34381500003</v>
      </c>
      <c r="G663" s="19">
        <f>(L227+L307)-(J227+J307)</f>
        <v>555670.30264000001</v>
      </c>
      <c r="H663" s="19">
        <f>(L245+L326)-(J245+J326)</f>
        <v>769555.76354499988</v>
      </c>
      <c r="I663" s="19">
        <f>SUM(F663:H663)</f>
        <v>2169204.41</v>
      </c>
      <c r="J663"/>
      <c r="K663" s="13"/>
      <c r="L663" s="13"/>
      <c r="M663" s="9"/>
    </row>
    <row r="664" spans="1:13" s="3" customFormat="1" ht="12.2" customHeight="1" x14ac:dyDescent="0.15">
      <c r="A664" s="198" t="s">
        <v>129</v>
      </c>
      <c r="B664" s="169"/>
      <c r="C664" s="169"/>
      <c r="D664" s="169"/>
      <c r="E664" s="169"/>
      <c r="F664" s="199">
        <f>SUM(F576:F588)+SUM(H603:H605)+SUM(L612)</f>
        <v>347587.99518899998</v>
      </c>
      <c r="G664" s="199">
        <f>SUM(G576:G588)+SUM(I603:I605)+L613</f>
        <v>662586.49475599988</v>
      </c>
      <c r="H664" s="199">
        <f>SUM(H576:H588)+SUM(J603:J605)+L614</f>
        <v>1232719.810055</v>
      </c>
      <c r="I664" s="19">
        <f>SUM(F664:H664)</f>
        <v>2242894.2999999998</v>
      </c>
      <c r="J664" s="13"/>
      <c r="K664" s="13"/>
      <c r="L664" s="13"/>
      <c r="M664" s="9"/>
    </row>
    <row r="665" spans="1:13" s="3" customFormat="1" ht="12.2" customHeight="1" x14ac:dyDescent="0.15">
      <c r="A665" s="1" t="s">
        <v>130</v>
      </c>
      <c r="F665" s="19">
        <f>F661-SUM(F662:F664)</f>
        <v>18358486.951781183</v>
      </c>
      <c r="G665" s="19">
        <f>G661-SUM(G662:G664)</f>
        <v>11283502.211392097</v>
      </c>
      <c r="H665" s="19">
        <f>H661-SUM(H662:H664)</f>
        <v>17780075.176826723</v>
      </c>
      <c r="I665" s="19">
        <f>I661-SUM(I662:I664)</f>
        <v>47422064.340000004</v>
      </c>
      <c r="J665" s="13"/>
      <c r="K665" s="13"/>
      <c r="L665" s="13"/>
      <c r="M665" s="8"/>
    </row>
    <row r="666" spans="1:13" s="3" customFormat="1" ht="12.2" customHeight="1" x14ac:dyDescent="0.2">
      <c r="A666" s="1" t="s">
        <v>131</v>
      </c>
      <c r="F666" s="246">
        <f>37.71+57.07+1095.36</f>
        <v>1190.1399999999999</v>
      </c>
      <c r="G666" s="247">
        <v>770.66</v>
      </c>
      <c r="H666" s="247">
        <v>1089.0999999999999</v>
      </c>
      <c r="I666" s="19">
        <f>SUM(F666:H666)</f>
        <v>3049.8999999999996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15425.49</v>
      </c>
      <c r="G668" s="19">
        <f>ROUND(G665/G666,2)</f>
        <v>14641.35</v>
      </c>
      <c r="H668" s="19">
        <f>ROUND(H665/H666,2)</f>
        <v>16325.48</v>
      </c>
      <c r="I668" s="19">
        <f>ROUND(I665/I666,2)</f>
        <v>15548.73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23</v>
      </c>
      <c r="I671" s="19">
        <f>SUM(F671:H671)</f>
        <v>23</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15425.49</v>
      </c>
      <c r="G673" s="19">
        <f>ROUND((G665+G670)/(G666+G671),2)</f>
        <v>14641.35</v>
      </c>
      <c r="H673" s="19">
        <f>ROUND((H665+H670)/(H666+H671),2)</f>
        <v>15987.84</v>
      </c>
      <c r="I673" s="19">
        <f>ROUND((I665+I670)/(I666+I671),2)</f>
        <v>15432.35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60" zoomScaleNormal="60" workbookViewId="0">
      <selection activeCell="J669" sqref="J669"/>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1638</v>
      </c>
      <c r="C3" s="326"/>
      <c r="D3" s="326"/>
      <c r="E3" s="326"/>
      <c r="F3" s="326"/>
      <c r="G3" s="326"/>
      <c r="H3" s="326"/>
      <c r="I3" t="s">
        <v>1638</v>
      </c>
    </row>
    <row r="4" spans="1:9" x14ac:dyDescent="0.2">
      <c r="I4" t="s">
        <v>1639</v>
      </c>
    </row>
    <row r="5" spans="1:9" ht="15.75" x14ac:dyDescent="0.25">
      <c r="A5" s="322" t="s">
        <v>911</v>
      </c>
      <c r="B5" s="343" t="str">
        <f>'DOE25'!A2</f>
        <v>Hudson School District - SAU #81</v>
      </c>
      <c r="C5" s="344"/>
      <c r="D5" s="344"/>
      <c r="E5" s="344"/>
      <c r="F5" s="344"/>
    </row>
    <row r="8" spans="1:9" ht="18" x14ac:dyDescent="0.25">
      <c r="A8" s="323" t="s">
        <v>1591</v>
      </c>
      <c r="F8" s="330" t="s">
        <v>1609</v>
      </c>
    </row>
    <row r="9" spans="1:9" ht="15" x14ac:dyDescent="0.2">
      <c r="A9" s="321" t="s">
        <v>1592</v>
      </c>
      <c r="B9" s="324">
        <f>'DOE25'!G97</f>
        <v>526192.31999999995</v>
      </c>
      <c r="F9" s="321" t="s">
        <v>1605</v>
      </c>
    </row>
    <row r="10" spans="1:9" ht="15" x14ac:dyDescent="0.2">
      <c r="A10" s="321" t="s">
        <v>1593</v>
      </c>
      <c r="B10" s="324">
        <f>'DOE25'!G112-'DOE25'!G97</f>
        <v>17214.649999999907</v>
      </c>
      <c r="F10" s="321" t="s">
        <v>1606</v>
      </c>
    </row>
    <row r="11" spans="1:9" ht="15" x14ac:dyDescent="0.2">
      <c r="A11" s="321" t="s">
        <v>1594</v>
      </c>
      <c r="B11" s="324">
        <f>'DOE25'!G140</f>
        <v>18368.63</v>
      </c>
      <c r="F11" s="321" t="s">
        <v>1607</v>
      </c>
    </row>
    <row r="12" spans="1:9" ht="15" x14ac:dyDescent="0.2">
      <c r="A12" s="321" t="s">
        <v>1595</v>
      </c>
      <c r="B12" s="324">
        <f>'DOE25'!G170</f>
        <v>321792.31</v>
      </c>
      <c r="F12" s="321" t="s">
        <v>1608</v>
      </c>
    </row>
    <row r="13" spans="1:9" ht="15" x14ac:dyDescent="0.2">
      <c r="A13" s="321" t="s">
        <v>1596</v>
      </c>
      <c r="B13" s="324">
        <f>'DOE25'!G193-'DOE25'!G180</f>
        <v>0</v>
      </c>
      <c r="F13" s="321" t="s">
        <v>1618</v>
      </c>
    </row>
    <row r="14" spans="1:9" ht="18" x14ac:dyDescent="0.25">
      <c r="A14" s="323" t="s">
        <v>732</v>
      </c>
      <c r="B14" s="325">
        <f>SUM(B9:B13)</f>
        <v>883567.90999999992</v>
      </c>
    </row>
    <row r="16" spans="1:9" ht="18" x14ac:dyDescent="0.25">
      <c r="A16" s="323" t="s">
        <v>786</v>
      </c>
      <c r="F16" s="330" t="s">
        <v>1610</v>
      </c>
    </row>
    <row r="17" spans="1:6" ht="15" x14ac:dyDescent="0.2">
      <c r="A17" s="321" t="s">
        <v>1597</v>
      </c>
      <c r="B17" s="324">
        <f>'DOE25'!L363-'DOE25'!L362</f>
        <v>1133361.3500000001</v>
      </c>
      <c r="F17" s="321" t="s">
        <v>1611</v>
      </c>
    </row>
    <row r="18" spans="1:6" ht="15" x14ac:dyDescent="0.2">
      <c r="A18" s="321" t="s">
        <v>1598</v>
      </c>
      <c r="B18" s="338"/>
      <c r="F18" s="330" t="s">
        <v>1637</v>
      </c>
    </row>
    <row r="19" spans="1:6" ht="18" x14ac:dyDescent="0.25">
      <c r="A19" s="323" t="s">
        <v>725</v>
      </c>
      <c r="B19" s="325">
        <f>SUM(B17:B18)</f>
        <v>1133361.3500000001</v>
      </c>
    </row>
    <row r="21" spans="1:6" ht="18.75" thickBot="1" x14ac:dyDescent="0.3">
      <c r="A21" s="323" t="s">
        <v>1599</v>
      </c>
    </row>
    <row r="22" spans="1:6" ht="18.75" thickTop="1" x14ac:dyDescent="0.25">
      <c r="A22" s="323" t="s">
        <v>1600</v>
      </c>
      <c r="B22" s="329">
        <f>B14-B19</f>
        <v>-249793.44000000018</v>
      </c>
      <c r="F22" s="321" t="s">
        <v>1612</v>
      </c>
    </row>
    <row r="26" spans="1:6" ht="18" x14ac:dyDescent="0.25">
      <c r="A26" s="323" t="s">
        <v>186</v>
      </c>
    </row>
    <row r="27" spans="1:6" ht="15" x14ac:dyDescent="0.2">
      <c r="A27" s="321" t="s">
        <v>1601</v>
      </c>
      <c r="B27" s="324">
        <f>'DOE25'!G180</f>
        <v>222487.02</v>
      </c>
      <c r="F27" s="321" t="s">
        <v>1613</v>
      </c>
    </row>
    <row r="28" spans="1:6" ht="15" x14ac:dyDescent="0.2">
      <c r="A28" s="321" t="s">
        <v>1603</v>
      </c>
      <c r="B28" s="324">
        <f>'DOE25'!L362</f>
        <v>0</v>
      </c>
      <c r="F28" s="321" t="s">
        <v>1614</v>
      </c>
    </row>
    <row r="31" spans="1:6" ht="15" x14ac:dyDescent="0.2">
      <c r="A31" s="321" t="s">
        <v>1640</v>
      </c>
      <c r="B31" s="324">
        <f>'DOE25'!G466</f>
        <v>116929.9</v>
      </c>
      <c r="F31" s="321" t="s">
        <v>1615</v>
      </c>
    </row>
    <row r="33" spans="1:6" ht="15" x14ac:dyDescent="0.2">
      <c r="A33" s="321" t="s">
        <v>1641</v>
      </c>
      <c r="B33" s="324">
        <f>'DOE25'!G477</f>
        <v>89623.479999999749</v>
      </c>
      <c r="F33" s="321" t="s">
        <v>1616</v>
      </c>
    </row>
    <row r="36" spans="1:6" ht="15" x14ac:dyDescent="0.2">
      <c r="A36" s="321" t="s">
        <v>1602</v>
      </c>
      <c r="B36" s="339">
        <v>82161.47</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Hudson School District - SAU #81</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12061687.49</v>
      </c>
      <c r="C9" s="229">
        <f>'DOE25'!G198+'DOE25'!G216+'DOE25'!G234+'DOE25'!G277+'DOE25'!G296+'DOE25'!G315</f>
        <v>6449951.0000000009</v>
      </c>
    </row>
    <row r="10" spans="1:3" x14ac:dyDescent="0.2">
      <c r="A10" t="s">
        <v>775</v>
      </c>
      <c r="B10" s="240">
        <v>9997343.3900000006</v>
      </c>
      <c r="C10" s="240">
        <v>5346064.33</v>
      </c>
    </row>
    <row r="11" spans="1:3" x14ac:dyDescent="0.2">
      <c r="A11" t="s">
        <v>776</v>
      </c>
      <c r="B11" s="240">
        <v>617480.92000000004</v>
      </c>
      <c r="C11" s="240">
        <v>330196.99</v>
      </c>
    </row>
    <row r="12" spans="1:3" x14ac:dyDescent="0.2">
      <c r="A12" t="s">
        <v>777</v>
      </c>
      <c r="B12" s="240">
        <v>1446863.1800000002</v>
      </c>
      <c r="C12" s="240">
        <f>773707.91-18.23</f>
        <v>773689.68</v>
      </c>
    </row>
    <row r="13" spans="1:3" x14ac:dyDescent="0.2">
      <c r="A13" t="str">
        <f>IF(B9=B13,IF(C9=C13,"Check Total OK","Check Total Error"),"Check Total Error")</f>
        <v>Check Total OK</v>
      </c>
      <c r="B13" s="231">
        <f>SUM(B10:B12)</f>
        <v>12061687.49</v>
      </c>
      <c r="C13" s="231">
        <f>SUM(C10:C12)</f>
        <v>6449951</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4738167.2</v>
      </c>
      <c r="C18" s="229">
        <f>'DOE25'!G199+'DOE25'!G217+'DOE25'!G235+'DOE25'!G278+'DOE25'!G297+'DOE25'!G316</f>
        <v>1858587.27</v>
      </c>
    </row>
    <row r="19" spans="1:3" x14ac:dyDescent="0.2">
      <c r="A19" t="s">
        <v>775</v>
      </c>
      <c r="B19" s="240">
        <v>2278833.1</v>
      </c>
      <c r="C19" s="240">
        <v>893892.09</v>
      </c>
    </row>
    <row r="20" spans="1:3" x14ac:dyDescent="0.2">
      <c r="A20" t="s">
        <v>776</v>
      </c>
      <c r="B20" s="240">
        <v>1860758.77</v>
      </c>
      <c r="C20" s="240">
        <v>729898.8</v>
      </c>
    </row>
    <row r="21" spans="1:3" x14ac:dyDescent="0.2">
      <c r="A21" t="s">
        <v>777</v>
      </c>
      <c r="B21" s="240">
        <v>598575.33000000007</v>
      </c>
      <c r="C21" s="240">
        <v>234796.38</v>
      </c>
    </row>
    <row r="22" spans="1:3" x14ac:dyDescent="0.2">
      <c r="A22" t="str">
        <f>IF(B18=B22,IF(C18=C22,"Check Total OK","Check Total Error"),"Check Total Error")</f>
        <v>Check Total OK</v>
      </c>
      <c r="B22" s="231">
        <f>SUM(B19:B21)</f>
        <v>4738167.2</v>
      </c>
      <c r="C22" s="231">
        <f>SUM(C19:C21)</f>
        <v>1858587.27</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1073107.3900000001</v>
      </c>
      <c r="C27" s="234">
        <f>'DOE25'!G200+'DOE25'!G218+'DOE25'!G236+'DOE25'!G279+'DOE25'!G298+'DOE25'!G317</f>
        <v>500190.25</v>
      </c>
    </row>
    <row r="28" spans="1:3" x14ac:dyDescent="0.2">
      <c r="A28" t="s">
        <v>775</v>
      </c>
      <c r="B28" s="240">
        <v>778192.38</v>
      </c>
      <c r="C28" s="240">
        <v>362726.27</v>
      </c>
    </row>
    <row r="29" spans="1:3" x14ac:dyDescent="0.2">
      <c r="A29" t="s">
        <v>776</v>
      </c>
      <c r="B29" s="240">
        <v>58435.89</v>
      </c>
      <c r="C29" s="240">
        <v>27237.78</v>
      </c>
    </row>
    <row r="30" spans="1:3" x14ac:dyDescent="0.2">
      <c r="A30" t="s">
        <v>777</v>
      </c>
      <c r="B30" s="240">
        <v>236479.12</v>
      </c>
      <c r="C30" s="240">
        <v>110226.2</v>
      </c>
    </row>
    <row r="31" spans="1:3" x14ac:dyDescent="0.2">
      <c r="A31" t="str">
        <f>IF(B27=B31,IF(C27=C31,"Check Total OK","Check Total Error"),"Check Total Error")</f>
        <v>Check Total OK</v>
      </c>
      <c r="B31" s="231">
        <f>SUM(B28:B30)</f>
        <v>1073107.3900000001</v>
      </c>
      <c r="C31" s="231">
        <f>SUM(C28:C30)</f>
        <v>500190.25000000006</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280184.49</v>
      </c>
      <c r="C36" s="235">
        <f>'DOE25'!G201+'DOE25'!G219+'DOE25'!G237+'DOE25'!G280+'DOE25'!G299+'DOE25'!G318</f>
        <v>59186.619999999995</v>
      </c>
    </row>
    <row r="37" spans="1:3" x14ac:dyDescent="0.2">
      <c r="A37" t="s">
        <v>775</v>
      </c>
      <c r="B37" s="240">
        <v>280184.49</v>
      </c>
      <c r="C37" s="240">
        <v>59186.619999999995</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280184.49</v>
      </c>
      <c r="C40" s="231">
        <f>SUM(C37:C39)</f>
        <v>59186.619999999995</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5" sqref="F5"/>
      <selection pane="bottomLeft" activeCell="F5" sqref="F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Hudson School District - SAU #81</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28647954.390000001</v>
      </c>
      <c r="D5" s="20">
        <f>SUM('DOE25'!L198:L201)+SUM('DOE25'!L216:L219)+SUM('DOE25'!L234:L237)-F5-G5-H5</f>
        <v>28093768.879999999</v>
      </c>
      <c r="E5" s="243"/>
      <c r="F5" s="244">
        <f>38683.7+217740+9580</f>
        <v>266003.7</v>
      </c>
      <c r="G5" s="53">
        <f>SUM('DOE25'!J198:J201)+SUM('DOE25'!J216:J219)+SUM('DOE25'!J234:J237)</f>
        <v>257609.84999999998</v>
      </c>
      <c r="H5" s="53">
        <f>SUM('DOE25'!K198:K201)+SUM('DOE25'!K216:K219)+SUM('DOE25'!K234:K237)</f>
        <v>30571.96</v>
      </c>
      <c r="I5" s="256"/>
    </row>
    <row r="6" spans="1:9" x14ac:dyDescent="0.2">
      <c r="A6" s="32">
        <v>2100</v>
      </c>
      <c r="B6" t="s">
        <v>796</v>
      </c>
      <c r="C6" s="276">
        <f t="shared" si="0"/>
        <v>4668907.8899999997</v>
      </c>
      <c r="D6" s="20">
        <f>'DOE25'!L203+'DOE25'!L221+'DOE25'!L239-F6-G6-H6</f>
        <v>4655005.5599999996</v>
      </c>
      <c r="E6" s="243"/>
      <c r="F6" s="244"/>
      <c r="G6" s="53">
        <f>'DOE25'!J203+'DOE25'!J221+'DOE25'!J239</f>
        <v>11963.329999999998</v>
      </c>
      <c r="H6" s="53">
        <f>'DOE25'!K203+'DOE25'!K221+'DOE25'!K239</f>
        <v>1939</v>
      </c>
      <c r="I6" s="256"/>
    </row>
    <row r="7" spans="1:9" x14ac:dyDescent="0.2">
      <c r="A7" s="32">
        <v>2200</v>
      </c>
      <c r="B7" t="s">
        <v>821</v>
      </c>
      <c r="C7" s="276">
        <f t="shared" si="0"/>
        <v>1576296.9500000002</v>
      </c>
      <c r="D7" s="20">
        <f>'DOE25'!L204+'DOE25'!L222+'DOE25'!L240-F7-G7-H7</f>
        <v>1327281.9500000002</v>
      </c>
      <c r="E7" s="243"/>
      <c r="F7" s="244"/>
      <c r="G7" s="53">
        <f>'DOE25'!J204+'DOE25'!J222+'DOE25'!J240</f>
        <v>247546.00000000003</v>
      </c>
      <c r="H7" s="53">
        <f>'DOE25'!K204+'DOE25'!K222+'DOE25'!K240</f>
        <v>1469</v>
      </c>
      <c r="I7" s="256"/>
    </row>
    <row r="8" spans="1:9" x14ac:dyDescent="0.2">
      <c r="A8" s="32">
        <v>2300</v>
      </c>
      <c r="B8" t="s">
        <v>797</v>
      </c>
      <c r="C8" s="276">
        <f t="shared" si="0"/>
        <v>260828.47000000006</v>
      </c>
      <c r="D8" s="243"/>
      <c r="E8" s="20">
        <f>'DOE25'!L205+'DOE25'!L223+'DOE25'!L241-F8-G8-H8-D9-D11</f>
        <v>237535.73000000004</v>
      </c>
      <c r="F8" s="244"/>
      <c r="G8" s="53">
        <f>'DOE25'!J205+'DOE25'!J223+'DOE25'!J241</f>
        <v>2447.7299999999996</v>
      </c>
      <c r="H8" s="53">
        <f>'DOE25'!K205+'DOE25'!K223+'DOE25'!K241</f>
        <v>20845.009999999998</v>
      </c>
      <c r="I8" s="256"/>
    </row>
    <row r="9" spans="1:9" ht="14.25" x14ac:dyDescent="0.2">
      <c r="A9" s="32">
        <v>2310</v>
      </c>
      <c r="B9" s="185" t="s">
        <v>890</v>
      </c>
      <c r="C9" s="276">
        <f t="shared" si="0"/>
        <v>128177.91</v>
      </c>
      <c r="D9" s="244">
        <v>128177.91</v>
      </c>
      <c r="E9" s="243"/>
      <c r="F9" s="253"/>
      <c r="G9" s="253"/>
      <c r="H9" s="253"/>
      <c r="I9" s="256"/>
    </row>
    <row r="10" spans="1:9" ht="14.25" x14ac:dyDescent="0.2">
      <c r="A10" s="32">
        <v>2317</v>
      </c>
      <c r="B10" s="185" t="s">
        <v>891</v>
      </c>
      <c r="C10" s="276">
        <f t="shared" si="0"/>
        <v>21540</v>
      </c>
      <c r="D10" s="243"/>
      <c r="E10" s="244">
        <v>21540</v>
      </c>
      <c r="F10" s="253"/>
      <c r="G10" s="253"/>
      <c r="H10" s="253"/>
      <c r="I10" s="256"/>
    </row>
    <row r="11" spans="1:9" ht="14.25" x14ac:dyDescent="0.2">
      <c r="A11" s="32">
        <v>2321</v>
      </c>
      <c r="B11" s="185" t="s">
        <v>892</v>
      </c>
      <c r="C11" s="276">
        <f t="shared" si="0"/>
        <v>520834.41</v>
      </c>
      <c r="D11" s="244">
        <v>520834.41</v>
      </c>
      <c r="E11" s="243"/>
      <c r="F11" s="253"/>
      <c r="G11" s="253"/>
      <c r="H11" s="253"/>
      <c r="I11" s="256"/>
    </row>
    <row r="12" spans="1:9" x14ac:dyDescent="0.2">
      <c r="A12" s="32">
        <v>2400</v>
      </c>
      <c r="B12" t="s">
        <v>711</v>
      </c>
      <c r="C12" s="276">
        <f t="shared" si="0"/>
        <v>3146806.9299999997</v>
      </c>
      <c r="D12" s="20">
        <f>'DOE25'!L206+'DOE25'!L224+'DOE25'!L242-F12-G12-H12</f>
        <v>3129364.9599999995</v>
      </c>
      <c r="E12" s="243"/>
      <c r="F12" s="244"/>
      <c r="G12" s="53">
        <f>'DOE25'!J206+'DOE25'!J224+'DOE25'!J242</f>
        <v>3801.9700000000003</v>
      </c>
      <c r="H12" s="53">
        <f>'DOE25'!K206+'DOE25'!K224+'DOE25'!K242</f>
        <v>13640</v>
      </c>
      <c r="I12" s="256"/>
    </row>
    <row r="13" spans="1:9" x14ac:dyDescent="0.2">
      <c r="A13" s="32">
        <v>2500</v>
      </c>
      <c r="B13" t="s">
        <v>798</v>
      </c>
      <c r="C13" s="276">
        <f t="shared" si="0"/>
        <v>1070699.22</v>
      </c>
      <c r="D13" s="243"/>
      <c r="E13" s="20">
        <f>'DOE25'!L207+'DOE25'!L225+'DOE25'!L243-F13-G13-H13</f>
        <v>1047369.46</v>
      </c>
      <c r="F13" s="244">
        <v>20691.8</v>
      </c>
      <c r="G13" s="53">
        <f>'DOE25'!J207+'DOE25'!J225+'DOE25'!J243</f>
        <v>2637.96</v>
      </c>
      <c r="H13" s="53">
        <f>'DOE25'!K207+'DOE25'!K225+'DOE25'!K243</f>
        <v>0</v>
      </c>
      <c r="I13" s="256"/>
    </row>
    <row r="14" spans="1:9" x14ac:dyDescent="0.2">
      <c r="A14" s="32">
        <v>2600</v>
      </c>
      <c r="B14" t="s">
        <v>819</v>
      </c>
      <c r="C14" s="276">
        <f t="shared" si="0"/>
        <v>6295538.1600000001</v>
      </c>
      <c r="D14" s="20">
        <f>'DOE25'!L208+'DOE25'!L226+'DOE25'!L244-F14-G14-H14</f>
        <v>5023263.3400000008</v>
      </c>
      <c r="E14" s="243"/>
      <c r="F14" s="244">
        <v>1187423.01</v>
      </c>
      <c r="G14" s="53">
        <f>'DOE25'!J208+'DOE25'!J226+'DOE25'!J244</f>
        <v>84851.81</v>
      </c>
      <c r="H14" s="53">
        <f>'DOE25'!K208+'DOE25'!K226+'DOE25'!K244</f>
        <v>0</v>
      </c>
      <c r="I14" s="256"/>
    </row>
    <row r="15" spans="1:9" x14ac:dyDescent="0.2">
      <c r="A15" s="32">
        <v>2700</v>
      </c>
      <c r="B15" t="s">
        <v>799</v>
      </c>
      <c r="C15" s="276">
        <f t="shared" si="0"/>
        <v>2169204.41</v>
      </c>
      <c r="D15" s="20">
        <f>'DOE25'!L209+'DOE25'!L227+'DOE25'!L245-F15-G15-H15</f>
        <v>283198.35000000009</v>
      </c>
      <c r="E15" s="243"/>
      <c r="F15" s="244">
        <v>1886006.06</v>
      </c>
      <c r="G15" s="53">
        <f>'DOE25'!J209+'DOE25'!J227+'DOE25'!J245</f>
        <v>0</v>
      </c>
      <c r="H15" s="53">
        <f>'DOE25'!K209+'DOE25'!K227+'DOE25'!K245</f>
        <v>0</v>
      </c>
      <c r="I15" s="256"/>
    </row>
    <row r="16" spans="1:9" x14ac:dyDescent="0.2">
      <c r="A16" s="32">
        <v>2800</v>
      </c>
      <c r="B16" t="s">
        <v>800</v>
      </c>
      <c r="C16" s="276">
        <f t="shared" si="0"/>
        <v>396614.6</v>
      </c>
      <c r="D16" s="243"/>
      <c r="E16" s="20">
        <f>'DOE25'!L210+'DOE25'!L228+'DOE25'!L246-F16-G16-H16</f>
        <v>262641.89999999997</v>
      </c>
      <c r="F16" s="244"/>
      <c r="G16" s="53">
        <f>'DOE25'!J210+'DOE25'!J228+'DOE25'!J246</f>
        <v>133007.70000000001</v>
      </c>
      <c r="H16" s="53">
        <f>'DOE25'!K210+'DOE25'!K228+'DOE25'!K246</f>
        <v>965</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246740</v>
      </c>
      <c r="D22" s="243"/>
      <c r="E22" s="243"/>
      <c r="F22" s="243"/>
      <c r="G22" s="53">
        <f>'DOE25'!L256+'DOE25'!L337</f>
        <v>246740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1489875.06</v>
      </c>
      <c r="D25" s="243"/>
      <c r="E25" s="243"/>
      <c r="F25" s="255"/>
      <c r="G25" s="253"/>
      <c r="H25" s="253"/>
      <c r="I25" s="254">
        <f>'DOE25'!L261+'DOE25'!L262+'DOE25'!L342+'DOE25'!L343</f>
        <v>1489875.06</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822326.55</v>
      </c>
      <c r="D29" s="284">
        <f>'DOE25'!L359+'DOE25'!L360+'DOE25'!L361-'DOE25'!I368-F29-G29-H29</f>
        <v>809742.29</v>
      </c>
      <c r="E29" s="243"/>
      <c r="F29" s="244"/>
      <c r="G29" s="53">
        <f>'DOE25'!J359+'DOE25'!J360+'DOE25'!J361</f>
        <v>9497</v>
      </c>
      <c r="H29" s="53">
        <f>'DOE25'!K359+'DOE25'!K360+'DOE25'!K361</f>
        <v>3087.26</v>
      </c>
      <c r="I29" s="256"/>
    </row>
    <row r="30" spans="1:9" x14ac:dyDescent="0.2">
      <c r="A30" s="32"/>
      <c r="C30" s="277"/>
      <c r="D30" s="20"/>
      <c r="E30" s="281"/>
      <c r="F30" s="271"/>
      <c r="G30" s="53"/>
      <c r="H30" s="53"/>
      <c r="I30" s="256"/>
    </row>
    <row r="31" spans="1:9" x14ac:dyDescent="0.2">
      <c r="A31" s="32" t="s">
        <v>818</v>
      </c>
      <c r="B31" t="s">
        <v>817</v>
      </c>
      <c r="C31" s="276">
        <f>SUM(D31:I31)</f>
        <v>2444066.4400000004</v>
      </c>
      <c r="D31" s="20">
        <f>'DOE25'!L291+'DOE25'!L310+'DOE25'!L329+'DOE25'!L334+'DOE25'!L335+'DOE25'!L336-F31-G31-H31</f>
        <v>2158275.2300000004</v>
      </c>
      <c r="E31" s="243"/>
      <c r="F31" s="244">
        <v>103901.61</v>
      </c>
      <c r="G31" s="53">
        <f>'DOE25'!J291+'DOE25'!J310+'DOE25'!J329+'DOE25'!J334+'DOE25'!J335+'DOE25'!J336</f>
        <v>117120.23</v>
      </c>
      <c r="H31" s="53">
        <f>'DOE25'!K291+'DOE25'!K310+'DOE25'!K329+'DOE25'!K334+'DOE25'!K335+'DOE25'!K336</f>
        <v>64769.37</v>
      </c>
      <c r="I31" s="256"/>
    </row>
    <row r="32" spans="1:9" ht="12" thickBot="1" x14ac:dyDescent="0.25">
      <c r="C32" s="277"/>
      <c r="G32" s="251"/>
      <c r="H32" s="251"/>
      <c r="I32" s="258"/>
    </row>
    <row r="33" spans="1:9" ht="12" thickTop="1" x14ac:dyDescent="0.2">
      <c r="B33" t="s">
        <v>809</v>
      </c>
      <c r="D33" s="245">
        <f t="shared" ref="D33:I33" si="1">SUM(D5:D31)</f>
        <v>46128912.879999995</v>
      </c>
      <c r="E33" s="245">
        <f t="shared" si="1"/>
        <v>1569087.0899999999</v>
      </c>
      <c r="F33" s="245">
        <f t="shared" si="1"/>
        <v>3464026.18</v>
      </c>
      <c r="G33" s="245">
        <f t="shared" si="1"/>
        <v>1117223.5799999998</v>
      </c>
      <c r="H33" s="245">
        <f t="shared" si="1"/>
        <v>137286.6</v>
      </c>
      <c r="I33" s="245">
        <f t="shared" si="1"/>
        <v>1489875.06</v>
      </c>
    </row>
    <row r="35" spans="1:9" ht="12" thickBot="1" x14ac:dyDescent="0.25">
      <c r="B35" s="251" t="s">
        <v>831</v>
      </c>
      <c r="D35" s="252">
        <f>E33</f>
        <v>1569087.0899999999</v>
      </c>
      <c r="E35" s="248"/>
    </row>
    <row r="36" spans="1:9" ht="12" thickTop="1" x14ac:dyDescent="0.2">
      <c r="B36" t="s">
        <v>810</v>
      </c>
      <c r="D36" s="20">
        <f>D33</f>
        <v>46128912.879999995</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I18" sqref="I1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Hudson School District - SAU #81</v>
      </c>
      <c r="B2" s="126">
        <f>'DOE25'!B2</f>
        <v>267</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19280377.390135001</v>
      </c>
      <c r="G4" s="303">
        <f>'DOE25'!L212+'DOE25'!L291</f>
        <v>19280377.390135001</v>
      </c>
      <c r="H4" s="337">
        <f>F4-G4</f>
        <v>0</v>
      </c>
      <c r="I4" s="309" t="str">
        <f>IF(H4=0,"","Does not match DOE25 page 7 and 11 Totals!!")</f>
        <v/>
      </c>
      <c r="N4"/>
    </row>
    <row r="5" spans="1:18" x14ac:dyDescent="0.2">
      <c r="A5" s="21" t="s">
        <v>1136</v>
      </c>
      <c r="B5" s="304">
        <f>IFERROR(VLOOKUP(A5,'School Tables'!$C$3:$D$365,2,FALSE),"")</f>
        <v>21045</v>
      </c>
      <c r="C5" s="297" t="str">
        <f>IFERROR(INDEX('School Tables'!$B$3:$B$365,MATCH('School Level Expenditures'!B5,'School Tables'!$D$3:$D$365,0)),"")</f>
        <v>Hudson</v>
      </c>
      <c r="D5" s="294">
        <f>5842073.33508-0.02</f>
        <v>5842073.3150800001</v>
      </c>
      <c r="E5" s="294">
        <v>340314.09493000002</v>
      </c>
      <c r="F5" s="312">
        <f>D5+E5</f>
        <v>6182387.4100099998</v>
      </c>
      <c r="G5" s="297"/>
      <c r="H5" s="297"/>
      <c r="I5" s="126"/>
      <c r="N5"/>
    </row>
    <row r="6" spans="1:18" x14ac:dyDescent="0.2">
      <c r="A6" s="21" t="s">
        <v>1140</v>
      </c>
      <c r="B6" s="304">
        <f>IFERROR(VLOOKUP(A6,'School Tables'!$C$3:$D$365,2,FALSE),"")</f>
        <v>26765</v>
      </c>
      <c r="C6" s="297" t="str">
        <f>IFERROR(INDEX('School Tables'!$B$3:$B$365,MATCH('School Level Expenditures'!B6,'School Tables'!$D$3:$D$365,0)),"")</f>
        <v>Hudson</v>
      </c>
      <c r="D6" s="294">
        <v>6608658.8387020016</v>
      </c>
      <c r="E6" s="294">
        <v>396491.70978300011</v>
      </c>
      <c r="F6" s="307">
        <f t="shared" ref="F6:F20" si="0">D6+E6</f>
        <v>7005150.5484850015</v>
      </c>
      <c r="G6" s="297"/>
      <c r="H6" s="297"/>
      <c r="I6" s="126"/>
      <c r="N6"/>
    </row>
    <row r="7" spans="1:18" x14ac:dyDescent="0.2">
      <c r="A7" s="21" t="s">
        <v>1139</v>
      </c>
      <c r="B7" s="304">
        <f>IFERROR(VLOOKUP(A7,'School Tables'!$C$3:$D$365,2,FALSE),"")</f>
        <v>27900</v>
      </c>
      <c r="C7" s="297" t="str">
        <f>IFERROR(INDEX('School Tables'!$B$3:$B$365,MATCH('School Level Expenditures'!B7,'School Tables'!$D$3:$D$365,0)),"")</f>
        <v>Hudson</v>
      </c>
      <c r="D7" s="294">
        <v>5552346.6229619989</v>
      </c>
      <c r="E7" s="294">
        <v>540492.80867799988</v>
      </c>
      <c r="F7" s="307">
        <f t="shared" si="0"/>
        <v>6092839.4316399992</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12351790.633105</v>
      </c>
      <c r="G24" s="303">
        <f>'DOE25'!L230+'DOE25'!L310</f>
        <v>12351790.633105002</v>
      </c>
      <c r="H24" s="337">
        <f>F24-G24</f>
        <v>0</v>
      </c>
      <c r="I24" s="309" t="str">
        <f>IF(H24=0,"","Does not match DOE25 page 8 and 12 Totals!!")</f>
        <v/>
      </c>
      <c r="N24"/>
    </row>
    <row r="25" spans="1:14" x14ac:dyDescent="0.2">
      <c r="A25" s="21" t="s">
        <v>1138</v>
      </c>
      <c r="B25" s="304">
        <f>IFERROR(VLOOKUP(A25,'School Tables'!$I$3:$J$80,2,FALSE),"")</f>
        <v>21060</v>
      </c>
      <c r="C25" s="297" t="str">
        <f t="array" ref="C25">IFERROR(INDEX('School Tables'!$H$3:$H$80,MATCH('School Level Expenditures'!B25,'School Tables'!$J$3:$J$80,0)),"")</f>
        <v>Hudson</v>
      </c>
      <c r="D25" s="294">
        <v>12104318.485086</v>
      </c>
      <c r="E25" s="294">
        <v>247472.14801900001</v>
      </c>
      <c r="F25" s="307">
        <f>D25+E25</f>
        <v>12351790.633105</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19611280.436759997</v>
      </c>
      <c r="G36" s="303">
        <f>'DOE25'!L248+'DOE25'!L329</f>
        <v>19611280.436759997</v>
      </c>
      <c r="H36" s="337">
        <f>F36-G36</f>
        <v>0</v>
      </c>
      <c r="I36" s="309" t="str">
        <f>IF(H36=0,"","Does not match DOE25 page 9 and 13 Totals!!")</f>
        <v/>
      </c>
      <c r="N36"/>
    </row>
    <row r="37" spans="1:14" x14ac:dyDescent="0.2">
      <c r="A37" s="21" t="s">
        <v>1137</v>
      </c>
      <c r="B37" s="304">
        <f>IFERROR(VLOOKUP(A37,'School Tables'!$O$3:$P$118,2,FALSE),"")</f>
        <v>21050</v>
      </c>
      <c r="C37" s="297" t="str">
        <f t="array" ref="C37">IFERROR(INDEX('School Tables'!$N$3:$N$118,MATCH('School Level Expenditures'!B37,'School Tables'!$P$3:$P$118,0)),"")</f>
        <v>Hudson</v>
      </c>
      <c r="D37" s="294">
        <v>18923536.068169996</v>
      </c>
      <c r="E37" s="294">
        <v>687744.36858999997</v>
      </c>
      <c r="F37" s="307">
        <f>D37+E37</f>
        <v>19611280.436759997</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5" sqref="F5"/>
      <selection pane="bottomLeft" activeCell="F5" sqref="F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Hudson School District - SAU #81</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3308256.88</v>
      </c>
      <c r="D8" s="95">
        <f>'DOE25'!G9</f>
        <v>149245.47</v>
      </c>
      <c r="E8" s="95">
        <f>'DOE25'!H9</f>
        <v>354656.96000000008</v>
      </c>
      <c r="F8" s="95">
        <f>'DOE25'!I9</f>
        <v>3172601.53</v>
      </c>
      <c r="G8" s="95">
        <f>'DOE25'!J9</f>
        <v>858093.58</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584821.35</v>
      </c>
      <c r="D11" s="95">
        <f>'DOE25'!G12</f>
        <v>0</v>
      </c>
      <c r="E11" s="95">
        <f>'DOE25'!H12</f>
        <v>0</v>
      </c>
      <c r="F11" s="95">
        <f>'DOE25'!I12</f>
        <v>0</v>
      </c>
      <c r="G11" s="95">
        <f>'DOE25'!J12</f>
        <v>0</v>
      </c>
      <c r="H11" s="124"/>
      <c r="I11" s="124"/>
    </row>
    <row r="12" spans="1:9" x14ac:dyDescent="0.2">
      <c r="A12" s="1" t="s">
        <v>143</v>
      </c>
      <c r="B12" s="6">
        <v>140</v>
      </c>
      <c r="C12" s="95">
        <f>'DOE25'!F13</f>
        <v>466493.76</v>
      </c>
      <c r="D12" s="95">
        <f>'DOE25'!G13</f>
        <v>0</v>
      </c>
      <c r="E12" s="95">
        <f>'DOE25'!H13</f>
        <v>699490.5</v>
      </c>
      <c r="F12" s="95">
        <f>'DOE25'!I13</f>
        <v>895787.95</v>
      </c>
      <c r="G12" s="95">
        <f>'DOE25'!J13</f>
        <v>0</v>
      </c>
      <c r="H12" s="124"/>
      <c r="I12" s="124"/>
    </row>
    <row r="13" spans="1:9" x14ac:dyDescent="0.2">
      <c r="A13" s="1" t="s">
        <v>144</v>
      </c>
      <c r="B13" s="6">
        <v>150</v>
      </c>
      <c r="C13" s="95">
        <f>'DOE25'!F14</f>
        <v>22217.38</v>
      </c>
      <c r="D13" s="95">
        <f>'DOE25'!G14</f>
        <v>0</v>
      </c>
      <c r="E13" s="95">
        <f>'DOE25'!H14</f>
        <v>0</v>
      </c>
      <c r="F13" s="95">
        <f>'DOE25'!I14</f>
        <v>0</v>
      </c>
      <c r="G13" s="95">
        <f>'DOE25'!J14</f>
        <v>10452.35</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154308.38</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4536097.75</v>
      </c>
      <c r="D18" s="41">
        <f>SUM(D8:D17)</f>
        <v>149245.47</v>
      </c>
      <c r="E18" s="41">
        <f>SUM(E8:E17)</f>
        <v>1054147.46</v>
      </c>
      <c r="F18" s="41">
        <f>SUM(F8:F17)</f>
        <v>4068389.4799999995</v>
      </c>
      <c r="G18" s="41">
        <f>SUM(G8:G17)</f>
        <v>868545.92999999993</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574369</v>
      </c>
      <c r="F21" s="95">
        <f>'DOE25'!I22</f>
        <v>0</v>
      </c>
      <c r="G21" s="95">
        <f>'DOE25'!J22</f>
        <v>10452.35</v>
      </c>
      <c r="H21" s="124"/>
      <c r="I21" s="124"/>
    </row>
    <row r="22" spans="1:9" x14ac:dyDescent="0.2">
      <c r="A22" s="1" t="s">
        <v>151</v>
      </c>
      <c r="B22" s="6">
        <v>410</v>
      </c>
      <c r="C22" s="95">
        <f>'DOE25'!F23</f>
        <v>0</v>
      </c>
      <c r="D22" s="95">
        <f>'DOE25'!G23</f>
        <v>0</v>
      </c>
      <c r="E22" s="95">
        <f>'DOE25'!H23</f>
        <v>18557.38</v>
      </c>
      <c r="F22" s="95">
        <f>'DOE25'!I23</f>
        <v>0</v>
      </c>
      <c r="G22" s="95">
        <f>'DOE25'!J23</f>
        <v>0</v>
      </c>
      <c r="H22" s="124"/>
      <c r="I22" s="124"/>
    </row>
    <row r="23" spans="1:9" x14ac:dyDescent="0.2">
      <c r="A23" s="1" t="s">
        <v>152</v>
      </c>
      <c r="B23" s="6">
        <v>420</v>
      </c>
      <c r="C23" s="95">
        <f>'DOE25'!F24</f>
        <v>359534.26</v>
      </c>
      <c r="D23" s="95">
        <f>'DOE25'!G24</f>
        <v>0</v>
      </c>
      <c r="E23" s="95">
        <f>'DOE25'!H24</f>
        <v>92727.8</v>
      </c>
      <c r="F23" s="95">
        <f>'DOE25'!I24</f>
        <v>2969399.7</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38139.629999999997</v>
      </c>
      <c r="D27" s="95">
        <f>'DOE25'!G28</f>
        <v>59621.99</v>
      </c>
      <c r="E27" s="95">
        <f>'DOE25'!H28</f>
        <v>37083.51</v>
      </c>
      <c r="F27" s="95">
        <f>'DOE25'!I28</f>
        <v>0</v>
      </c>
      <c r="G27" s="24" t="s">
        <v>288</v>
      </c>
      <c r="H27" s="124"/>
      <c r="I27" s="124"/>
    </row>
    <row r="28" spans="1:9" x14ac:dyDescent="0.2">
      <c r="A28" s="1" t="s">
        <v>157</v>
      </c>
      <c r="B28" s="6">
        <v>470</v>
      </c>
      <c r="C28" s="95">
        <f>'DOE25'!F29</f>
        <v>1780496</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2178169.89</v>
      </c>
      <c r="D31" s="41">
        <f>SUM(D21:D30)</f>
        <v>59621.99</v>
      </c>
      <c r="E31" s="41">
        <f>SUM(E21:E30)</f>
        <v>722737.69000000006</v>
      </c>
      <c r="F31" s="41">
        <f>SUM(F21:F30)</f>
        <v>2969399.7</v>
      </c>
      <c r="G31" s="41">
        <f>SUM(G21:G30)</f>
        <v>10452.35</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154308</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600000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89623.48</v>
      </c>
      <c r="E47" s="95">
        <f>'DOE25'!H48</f>
        <v>207116.42000000045</v>
      </c>
      <c r="F47" s="95">
        <f>'DOE25'!I48</f>
        <v>839160.31</v>
      </c>
      <c r="G47" s="95">
        <f>'DOE25'!J48</f>
        <v>858093.58</v>
      </c>
      <c r="H47" s="124"/>
      <c r="I47" s="124"/>
    </row>
    <row r="48" spans="1:9" x14ac:dyDescent="0.2">
      <c r="A48" s="1" t="s">
        <v>882</v>
      </c>
      <c r="B48" s="6">
        <v>753</v>
      </c>
      <c r="C48" s="95">
        <f>'DOE25'!F49</f>
        <v>641980.25</v>
      </c>
      <c r="D48" s="95">
        <f>'DOE25'!G49</f>
        <v>0</v>
      </c>
      <c r="E48" s="95">
        <f>'DOE25'!H49</f>
        <v>124293.34999999999</v>
      </c>
      <c r="F48" s="95">
        <f>'DOE25'!I49</f>
        <v>259829.47</v>
      </c>
      <c r="G48" s="95">
        <f>'DOE25'!J49</f>
        <v>0</v>
      </c>
      <c r="H48" s="124"/>
      <c r="I48" s="124"/>
    </row>
    <row r="49" spans="1:9" ht="12" thickBot="1" x14ac:dyDescent="0.25">
      <c r="A49" s="29" t="s">
        <v>883</v>
      </c>
      <c r="B49" s="71">
        <v>770</v>
      </c>
      <c r="C49" s="95">
        <f>'DOE25'!F50</f>
        <v>961639.61</v>
      </c>
      <c r="D49" s="24" t="s">
        <v>288</v>
      </c>
      <c r="E49" s="24" t="s">
        <v>288</v>
      </c>
      <c r="F49" s="24" t="s">
        <v>288</v>
      </c>
      <c r="G49" s="24" t="s">
        <v>288</v>
      </c>
      <c r="H49" s="124"/>
      <c r="I49" s="124"/>
    </row>
    <row r="50" spans="1:9" ht="12.75" thickTop="1" thickBot="1" x14ac:dyDescent="0.25">
      <c r="A50" s="38" t="s">
        <v>884</v>
      </c>
      <c r="B50" s="48"/>
      <c r="C50" s="41">
        <f>SUM(C34:C49)</f>
        <v>2357927.86</v>
      </c>
      <c r="D50" s="41">
        <f>SUM(D34:D49)</f>
        <v>89623.48</v>
      </c>
      <c r="E50" s="41">
        <f>SUM(E34:E49)</f>
        <v>331409.77000000043</v>
      </c>
      <c r="F50" s="41">
        <f>SUM(F34:F49)</f>
        <v>1098989.78</v>
      </c>
      <c r="G50" s="41">
        <f>SUM(G34:G49)</f>
        <v>858093.58</v>
      </c>
      <c r="H50" s="124"/>
      <c r="I50" s="124"/>
    </row>
    <row r="51" spans="1:9" ht="12" thickTop="1" x14ac:dyDescent="0.2">
      <c r="A51" s="38" t="s">
        <v>885</v>
      </c>
      <c r="B51" s="2"/>
      <c r="C51" s="41">
        <f>C50+C31</f>
        <v>4536097.75</v>
      </c>
      <c r="D51" s="41">
        <f>D50+D31</f>
        <v>149245.47</v>
      </c>
      <c r="E51" s="41">
        <f>E50+E31</f>
        <v>1054147.4600000004</v>
      </c>
      <c r="F51" s="41">
        <f>F50+F31</f>
        <v>4068389.4800000004</v>
      </c>
      <c r="G51" s="41">
        <f>G50+G31</f>
        <v>868545.92999999993</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35914189</v>
      </c>
      <c r="D56" s="95">
        <f>'DOE25'!G60</f>
        <v>0</v>
      </c>
      <c r="E56" s="95">
        <f>'DOE25'!H60</f>
        <v>0</v>
      </c>
      <c r="F56" s="95">
        <f>'DOE25'!I60</f>
        <v>0</v>
      </c>
      <c r="G56" s="95">
        <f>'DOE25'!J60</f>
        <v>0</v>
      </c>
      <c r="H56"/>
      <c r="I56"/>
    </row>
    <row r="57" spans="1:9" x14ac:dyDescent="0.2">
      <c r="A57" s="1" t="s">
        <v>164</v>
      </c>
      <c r="B57" s="6" t="s">
        <v>165</v>
      </c>
      <c r="C57" s="95">
        <f>'DOE25'!F79</f>
        <v>183876.28</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39970.620000000003</v>
      </c>
      <c r="D59" s="95">
        <f>'DOE25'!G96</f>
        <v>760.21</v>
      </c>
      <c r="E59" s="95">
        <f>'DOE25'!H96</f>
        <v>2232.4300000000003</v>
      </c>
      <c r="F59" s="95">
        <f>'DOE25'!I96</f>
        <v>44329.39</v>
      </c>
      <c r="G59" s="95">
        <f>'DOE25'!J96</f>
        <v>19828.46</v>
      </c>
      <c r="H59"/>
      <c r="I59"/>
    </row>
    <row r="60" spans="1:9" x14ac:dyDescent="0.2">
      <c r="A60" s="1" t="s">
        <v>170</v>
      </c>
      <c r="B60" s="118" t="s">
        <v>171</v>
      </c>
      <c r="C60" s="24" t="s">
        <v>288</v>
      </c>
      <c r="D60" s="95">
        <f>'DOE25'!G97</f>
        <v>526192.31999999995</v>
      </c>
      <c r="E60" s="24" t="s">
        <v>288</v>
      </c>
      <c r="F60" s="24" t="s">
        <v>288</v>
      </c>
      <c r="G60" s="24" t="s">
        <v>288</v>
      </c>
      <c r="H60"/>
      <c r="I60"/>
    </row>
    <row r="61" spans="1:9" ht="12" thickBot="1" x14ac:dyDescent="0.25">
      <c r="A61" s="1" t="s">
        <v>172</v>
      </c>
      <c r="B61" s="118" t="s">
        <v>173</v>
      </c>
      <c r="C61" s="95">
        <f>SUM('DOE25'!F98:F110)</f>
        <v>405023.72</v>
      </c>
      <c r="D61" s="95">
        <f>SUM('DOE25'!G98:G110)</f>
        <v>16454.440000000002</v>
      </c>
      <c r="E61" s="95">
        <f>SUM('DOE25'!H98:H110)</f>
        <v>101242.7</v>
      </c>
      <c r="F61" s="95">
        <f>SUM('DOE25'!I98:I110)</f>
        <v>0</v>
      </c>
      <c r="G61" s="95">
        <f>SUM('DOE25'!J98:J110)</f>
        <v>128065.67</v>
      </c>
      <c r="H61"/>
      <c r="I61"/>
    </row>
    <row r="62" spans="1:9" ht="12.75" thickTop="1" thickBot="1" x14ac:dyDescent="0.25">
      <c r="A62" s="29" t="s">
        <v>174</v>
      </c>
      <c r="B62" s="6"/>
      <c r="C62" s="130">
        <f>SUM(C57:C61)</f>
        <v>628870.62</v>
      </c>
      <c r="D62" s="130">
        <f>SUM(D57:D61)</f>
        <v>543406.97</v>
      </c>
      <c r="E62" s="130">
        <f>SUM(E57:E61)</f>
        <v>103475.13</v>
      </c>
      <c r="F62" s="130">
        <f>SUM(F57:F61)</f>
        <v>44329.39</v>
      </c>
      <c r="G62" s="130">
        <f>SUM(G57:G61)</f>
        <v>147894.13</v>
      </c>
      <c r="H62"/>
      <c r="I62"/>
    </row>
    <row r="63" spans="1:9" ht="12" thickTop="1" x14ac:dyDescent="0.2">
      <c r="A63" s="29" t="s">
        <v>175</v>
      </c>
      <c r="B63" s="6"/>
      <c r="C63" s="22">
        <f>C56+C62</f>
        <v>36543059.619999997</v>
      </c>
      <c r="D63" s="22">
        <f>D56+D62</f>
        <v>543406.97</v>
      </c>
      <c r="E63" s="22">
        <f>E56+E62</f>
        <v>103475.13</v>
      </c>
      <c r="F63" s="22">
        <f>F56+F62</f>
        <v>44329.39</v>
      </c>
      <c r="G63" s="22">
        <f>G56+G62</f>
        <v>147894.13</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7584611</v>
      </c>
      <c r="D66" s="24" t="s">
        <v>288</v>
      </c>
      <c r="E66" s="24" t="s">
        <v>288</v>
      </c>
      <c r="F66" s="24" t="s">
        <v>288</v>
      </c>
      <c r="G66" s="24" t="s">
        <v>288</v>
      </c>
      <c r="H66"/>
      <c r="I66"/>
    </row>
    <row r="67" spans="1:9" x14ac:dyDescent="0.2">
      <c r="A67" s="1" t="s">
        <v>770</v>
      </c>
      <c r="B67" s="6">
        <v>3112</v>
      </c>
      <c r="C67" s="95">
        <f>'DOE25'!F118</f>
        <v>6267625</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24744.54</v>
      </c>
      <c r="D69" s="95">
        <f>'DOE25'!G120</f>
        <v>0</v>
      </c>
      <c r="E69" s="95">
        <f>'DOE25'!H120</f>
        <v>0</v>
      </c>
      <c r="F69" s="95">
        <f>'DOE25'!I120</f>
        <v>0</v>
      </c>
      <c r="G69" s="95">
        <f>'DOE25'!J120</f>
        <v>0</v>
      </c>
      <c r="H69"/>
      <c r="I69"/>
    </row>
    <row r="70" spans="1:9" ht="12" thickTop="1" x14ac:dyDescent="0.2">
      <c r="A70" s="29" t="s">
        <v>252</v>
      </c>
      <c r="B70" s="2"/>
      <c r="C70" s="139">
        <f>SUM(C66:C69)</f>
        <v>13876980.539999999</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278631.90000000002</v>
      </c>
      <c r="D72" s="24" t="s">
        <v>288</v>
      </c>
      <c r="E72" s="24" t="s">
        <v>288</v>
      </c>
      <c r="F72" s="95">
        <f>'DOE25'!I123</f>
        <v>7820381.9699999997</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480565.57</v>
      </c>
      <c r="D75" s="24" t="s">
        <v>288</v>
      </c>
      <c r="E75" s="24" t="s">
        <v>288</v>
      </c>
      <c r="F75" s="24" t="s">
        <v>288</v>
      </c>
      <c r="G75" s="24" t="s">
        <v>288</v>
      </c>
      <c r="H75"/>
      <c r="I75"/>
    </row>
    <row r="76" spans="1:9" x14ac:dyDescent="0.2">
      <c r="A76" s="1" t="s">
        <v>257</v>
      </c>
      <c r="B76" s="6" t="s">
        <v>179</v>
      </c>
      <c r="C76" s="95">
        <f>SUM('DOE25'!F127:F130)</f>
        <v>154163.81</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18368.63</v>
      </c>
      <c r="E77" s="95">
        <f>SUM('DOE25'!H131:H135)</f>
        <v>0</v>
      </c>
      <c r="F77" s="95">
        <f>SUM('DOE25'!I131:I135)</f>
        <v>0</v>
      </c>
      <c r="G77" s="95">
        <f>SUM('DOE25'!J131:J135)</f>
        <v>0</v>
      </c>
      <c r="H77"/>
      <c r="I77"/>
    </row>
    <row r="78" spans="1:9" ht="12.75" thickTop="1" thickBot="1" x14ac:dyDescent="0.25">
      <c r="A78" s="29" t="s">
        <v>259</v>
      </c>
      <c r="B78" s="6"/>
      <c r="C78" s="130">
        <f>SUM(C72:C77)</f>
        <v>913361.28</v>
      </c>
      <c r="D78" s="130">
        <f>SUM(D72:D77)</f>
        <v>18368.63</v>
      </c>
      <c r="E78" s="130">
        <f>SUM(E72:E77)</f>
        <v>0</v>
      </c>
      <c r="F78" s="130">
        <f>SUM(F72:F77)</f>
        <v>7820381.9699999997</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14790341.819999998</v>
      </c>
      <c r="D81" s="130">
        <f>SUM(D79:D80)+D78+D70</f>
        <v>18368.63</v>
      </c>
      <c r="E81" s="130">
        <f>SUM(E79:E80)+E78+E70</f>
        <v>0</v>
      </c>
      <c r="F81" s="130">
        <f>SUM(F79:F80)+F78+F70</f>
        <v>7820381.9699999997</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41494.67</v>
      </c>
      <c r="D88" s="341">
        <f>SUM('DOE25'!G153:G162)</f>
        <v>321792.31</v>
      </c>
      <c r="E88" s="341">
        <f>SUM('DOE25'!H153:H162)</f>
        <v>2294995.85</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41494.67</v>
      </c>
      <c r="D91" s="131">
        <f>SUM(D85:D90)</f>
        <v>321792.31</v>
      </c>
      <c r="E91" s="131">
        <f>SUM(E85:E90)</f>
        <v>2294995.85</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222487.02</v>
      </c>
      <c r="E96" s="95">
        <f>'DOE25'!H180</f>
        <v>0</v>
      </c>
      <c r="F96" s="95">
        <f>'DOE25'!I180</f>
        <v>0</v>
      </c>
      <c r="G96" s="95">
        <f>'DOE25'!J180</f>
        <v>100000</v>
      </c>
    </row>
    <row r="97" spans="1:7" x14ac:dyDescent="0.2">
      <c r="A97" t="s">
        <v>754</v>
      </c>
      <c r="B97" s="32" t="s">
        <v>188</v>
      </c>
      <c r="C97" s="95">
        <f>SUM('DOE25'!F181:F182)</f>
        <v>56387.41</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56387.41</v>
      </c>
      <c r="D103" s="86">
        <f>SUM(D93:D102)</f>
        <v>222487.02</v>
      </c>
      <c r="E103" s="86">
        <f>SUM(E93:E102)</f>
        <v>0</v>
      </c>
      <c r="F103" s="86">
        <f>SUM(F93:F102)</f>
        <v>0</v>
      </c>
      <c r="G103" s="86">
        <f>SUM(G93:G102)</f>
        <v>100000</v>
      </c>
    </row>
    <row r="104" spans="1:7" ht="12.75" thickTop="1" thickBot="1" x14ac:dyDescent="0.25">
      <c r="A104" s="33" t="s">
        <v>761</v>
      </c>
      <c r="C104" s="86">
        <f>C63+C81+C91+C103</f>
        <v>51431283.519999996</v>
      </c>
      <c r="D104" s="86">
        <f>D63+D81+D91+D103</f>
        <v>1106054.93</v>
      </c>
      <c r="E104" s="86">
        <f>E63+E81+E91+E103</f>
        <v>2398470.98</v>
      </c>
      <c r="F104" s="86">
        <f>F63+F81+F91+F103</f>
        <v>7864711.3599999994</v>
      </c>
      <c r="G104" s="86">
        <f>G63+G81+G103</f>
        <v>247894.13</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19031943.490000002</v>
      </c>
      <c r="D109" s="24" t="s">
        <v>288</v>
      </c>
      <c r="E109" s="95">
        <f>('DOE25'!L277)+('DOE25'!L296)+('DOE25'!L315)</f>
        <v>702130.08000000007</v>
      </c>
      <c r="F109" s="24" t="s">
        <v>288</v>
      </c>
      <c r="G109" s="24" t="s">
        <v>288</v>
      </c>
    </row>
    <row r="110" spans="1:7" x14ac:dyDescent="0.2">
      <c r="A110" t="s">
        <v>198</v>
      </c>
      <c r="B110" s="32" t="s">
        <v>199</v>
      </c>
      <c r="C110" s="95">
        <f>('DOE25'!L199)+('DOE25'!L217)+('DOE25'!L235)</f>
        <v>7355891.0600000005</v>
      </c>
      <c r="D110" s="24" t="s">
        <v>288</v>
      </c>
      <c r="E110" s="95">
        <f>('DOE25'!L278)+('DOE25'!L297)+('DOE25'!L316)</f>
        <v>948284.24</v>
      </c>
      <c r="F110" s="24" t="s">
        <v>288</v>
      </c>
      <c r="G110" s="24" t="s">
        <v>288</v>
      </c>
    </row>
    <row r="111" spans="1:7" x14ac:dyDescent="0.2">
      <c r="A111" t="s">
        <v>200</v>
      </c>
      <c r="B111" s="32" t="s">
        <v>165</v>
      </c>
      <c r="C111" s="95">
        <f>('DOE25'!L200)+('DOE25'!L218)+('DOE25'!L236)</f>
        <v>1681386.91</v>
      </c>
      <c r="D111" s="24" t="s">
        <v>288</v>
      </c>
      <c r="E111" s="95">
        <f>('DOE25'!L279)+('DOE25'!L298)+('DOE25'!L317)</f>
        <v>283150.13999999996</v>
      </c>
      <c r="F111" s="24" t="s">
        <v>288</v>
      </c>
      <c r="G111" s="24" t="s">
        <v>288</v>
      </c>
    </row>
    <row r="112" spans="1:7" x14ac:dyDescent="0.2">
      <c r="A112" t="s">
        <v>201</v>
      </c>
      <c r="B112" s="32" t="s">
        <v>167</v>
      </c>
      <c r="C112" s="95">
        <f>('DOE25'!L201)+('DOE25'!L219)+('DOE25'!L237)</f>
        <v>578732.93000000005</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82481.319999999992</v>
      </c>
      <c r="F114" s="24" t="s">
        <v>288</v>
      </c>
      <c r="G114" s="24" t="s">
        <v>288</v>
      </c>
    </row>
    <row r="115" spans="1:7" ht="12.75" thickTop="1" thickBot="1" x14ac:dyDescent="0.25">
      <c r="A115" s="33" t="s">
        <v>205</v>
      </c>
      <c r="C115" s="86">
        <f>SUM(C109:C114)</f>
        <v>28647954.390000004</v>
      </c>
      <c r="D115" s="86">
        <f>SUM(D109:D114)</f>
        <v>0</v>
      </c>
      <c r="E115" s="86">
        <f>SUM(E109:E114)</f>
        <v>2016045.78</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4668907.8899999997</v>
      </c>
      <c r="D118" s="24" t="s">
        <v>288</v>
      </c>
      <c r="E118" s="95">
        <f>+('DOE25'!L282)+('DOE25'!L301)+('DOE25'!L320)</f>
        <v>84669.3</v>
      </c>
      <c r="F118" s="24" t="s">
        <v>288</v>
      </c>
      <c r="G118" s="24" t="s">
        <v>288</v>
      </c>
    </row>
    <row r="119" spans="1:7" x14ac:dyDescent="0.2">
      <c r="A119" t="s">
        <v>208</v>
      </c>
      <c r="B119" s="32" t="s">
        <v>209</v>
      </c>
      <c r="C119" s="95">
        <f>('DOE25'!L204)+('DOE25'!L222)+('DOE25'!L240)</f>
        <v>1576296.9500000002</v>
      </c>
      <c r="D119" s="24" t="s">
        <v>288</v>
      </c>
      <c r="E119" s="95">
        <f>+('DOE25'!L283)+('DOE25'!L302)+('DOE25'!L321)</f>
        <v>336658.39</v>
      </c>
      <c r="F119" s="24" t="s">
        <v>288</v>
      </c>
      <c r="G119" s="24" t="s">
        <v>288</v>
      </c>
    </row>
    <row r="120" spans="1:7" x14ac:dyDescent="0.2">
      <c r="A120" t="s">
        <v>210</v>
      </c>
      <c r="B120" s="32" t="s">
        <v>211</v>
      </c>
      <c r="C120" s="95">
        <f>('DOE25'!L205)+('DOE25'!L223)+('DOE25'!L241)</f>
        <v>909840.79</v>
      </c>
      <c r="D120" s="24" t="s">
        <v>288</v>
      </c>
      <c r="E120" s="95">
        <f>+('DOE25'!L284)+('DOE25'!L303)+('DOE25'!L322)</f>
        <v>0</v>
      </c>
      <c r="F120" s="24" t="s">
        <v>288</v>
      </c>
      <c r="G120" s="24" t="s">
        <v>288</v>
      </c>
    </row>
    <row r="121" spans="1:7" x14ac:dyDescent="0.2">
      <c r="A121" t="s">
        <v>212</v>
      </c>
      <c r="B121" s="32" t="s">
        <v>213</v>
      </c>
      <c r="C121" s="95">
        <f>('DOE25'!L206)+('DOE25'!L224)+('DOE25'!L242)</f>
        <v>3146806.9299999997</v>
      </c>
      <c r="D121" s="24" t="s">
        <v>288</v>
      </c>
      <c r="E121" s="95">
        <f>+('DOE25'!L285)+('DOE25'!L304)+('DOE25'!L323)</f>
        <v>0</v>
      </c>
      <c r="F121" s="24" t="s">
        <v>288</v>
      </c>
      <c r="G121" s="24" t="s">
        <v>288</v>
      </c>
    </row>
    <row r="122" spans="1:7" x14ac:dyDescent="0.2">
      <c r="A122" t="s">
        <v>214</v>
      </c>
      <c r="B122" s="32" t="s">
        <v>215</v>
      </c>
      <c r="C122" s="95">
        <f>('DOE25'!L207)+('DOE25'!L225)+('DOE25'!L243)</f>
        <v>1070699.22</v>
      </c>
      <c r="D122" s="24" t="s">
        <v>288</v>
      </c>
      <c r="E122" s="95">
        <f>+('DOE25'!L286)+('DOE25'!L305)+('DOE25'!L324)</f>
        <v>0</v>
      </c>
      <c r="F122" s="24" t="s">
        <v>288</v>
      </c>
      <c r="G122" s="24" t="s">
        <v>288</v>
      </c>
    </row>
    <row r="123" spans="1:7" x14ac:dyDescent="0.2">
      <c r="A123" t="s">
        <v>216</v>
      </c>
      <c r="B123" s="32" t="s">
        <v>217</v>
      </c>
      <c r="C123" s="95">
        <f>('DOE25'!L208)+('DOE25'!L226)+('DOE25'!L244)</f>
        <v>6295538.1600000001</v>
      </c>
      <c r="D123" s="24" t="s">
        <v>288</v>
      </c>
      <c r="E123" s="95">
        <f>+('DOE25'!L287)+('DOE25'!L306)+('DOE25'!L325)</f>
        <v>6692.97</v>
      </c>
      <c r="F123" s="24" t="s">
        <v>288</v>
      </c>
      <c r="G123" s="24" t="s">
        <v>288</v>
      </c>
    </row>
    <row r="124" spans="1:7" x14ac:dyDescent="0.2">
      <c r="A124" t="s">
        <v>218</v>
      </c>
      <c r="B124" s="32" t="s">
        <v>219</v>
      </c>
      <c r="C124" s="95">
        <f>('DOE25'!L209)+('DOE25'!L227)+('DOE25'!L245+'DOE25'!L255)</f>
        <v>2169204.41</v>
      </c>
      <c r="D124" s="24" t="s">
        <v>288</v>
      </c>
      <c r="E124" s="95">
        <f>+('DOE25'!L288)+('DOE25'!L307)+('DOE25'!L326)</f>
        <v>0</v>
      </c>
      <c r="F124" s="24" t="s">
        <v>288</v>
      </c>
      <c r="G124" s="24" t="s">
        <v>288</v>
      </c>
    </row>
    <row r="125" spans="1:7" x14ac:dyDescent="0.2">
      <c r="A125" t="s">
        <v>220</v>
      </c>
      <c r="B125" s="32" t="s">
        <v>221</v>
      </c>
      <c r="C125" s="95">
        <f>('DOE25'!L210)+('DOE25'!L228)+('DOE25'!L246)</f>
        <v>396614.6</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1133361.3500000001</v>
      </c>
      <c r="E127" s="24" t="s">
        <v>288</v>
      </c>
      <c r="F127" s="24" t="s">
        <v>288</v>
      </c>
      <c r="G127" s="24" t="s">
        <v>288</v>
      </c>
    </row>
    <row r="128" spans="1:7" ht="12.75" thickTop="1" thickBot="1" x14ac:dyDescent="0.25">
      <c r="A128" s="33" t="s">
        <v>226</v>
      </c>
      <c r="C128" s="86">
        <f>SUM(C118:C127)</f>
        <v>20233908.949999999</v>
      </c>
      <c r="D128" s="86">
        <f>SUM(D118:D127)</f>
        <v>1133361.3500000001</v>
      </c>
      <c r="E128" s="86">
        <f>SUM(E118:E127)</f>
        <v>428020.66</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246740</v>
      </c>
      <c r="D130" s="24" t="s">
        <v>288</v>
      </c>
      <c r="E130" s="129">
        <f>'DOE25'!L337</f>
        <v>0</v>
      </c>
      <c r="F130" s="129">
        <f>SUM('DOE25'!L375:'DOE25'!L381)</f>
        <v>13692009.030000001</v>
      </c>
      <c r="G130" s="24" t="s">
        <v>288</v>
      </c>
    </row>
    <row r="131" spans="1:7" x14ac:dyDescent="0.2">
      <c r="A131" t="s">
        <v>229</v>
      </c>
      <c r="B131" s="32">
        <v>5110</v>
      </c>
      <c r="C131" s="95">
        <f>'DOE25'!L261</f>
        <v>1112800</v>
      </c>
      <c r="D131" s="24" t="s">
        <v>288</v>
      </c>
      <c r="E131" s="129">
        <f>'DOE25'!L342</f>
        <v>0</v>
      </c>
      <c r="F131" s="24" t="s">
        <v>288</v>
      </c>
      <c r="G131" s="24" t="s">
        <v>288</v>
      </c>
    </row>
    <row r="132" spans="1:7" x14ac:dyDescent="0.2">
      <c r="A132" t="s">
        <v>230</v>
      </c>
      <c r="B132" s="32">
        <v>5120</v>
      </c>
      <c r="C132" s="95">
        <f>'DOE25'!L262</f>
        <v>377075.06</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222487.02</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247894.13</v>
      </c>
      <c r="D138" s="24" t="s">
        <v>288</v>
      </c>
      <c r="E138" s="24" t="s">
        <v>288</v>
      </c>
      <c r="F138" s="24" t="s">
        <v>288</v>
      </c>
      <c r="G138" s="24" t="s">
        <v>288</v>
      </c>
    </row>
    <row r="139" spans="1:7" x14ac:dyDescent="0.2">
      <c r="A139" t="s">
        <v>239</v>
      </c>
      <c r="B139" s="32">
        <v>5252</v>
      </c>
      <c r="C139" s="95">
        <f>'DOE25'!L402</f>
        <v>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-147894.13</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2059102.08</v>
      </c>
      <c r="D144" s="141">
        <f>SUM(D130:D143)</f>
        <v>0</v>
      </c>
      <c r="E144" s="141">
        <f>SUM(E130:E143)</f>
        <v>0</v>
      </c>
      <c r="F144" s="141">
        <f>SUM(F130:F143)</f>
        <v>13692009.030000001</v>
      </c>
      <c r="G144" s="141">
        <f>SUM(G130:G143)</f>
        <v>0</v>
      </c>
    </row>
    <row r="145" spans="1:9" ht="12.75" thickTop="1" thickBot="1" x14ac:dyDescent="0.25">
      <c r="A145" s="33" t="s">
        <v>244</v>
      </c>
      <c r="C145" s="86">
        <f>(C115+C128+C144)</f>
        <v>50940965.420000002</v>
      </c>
      <c r="D145" s="86">
        <f>(D115+D128+D144)</f>
        <v>1133361.3500000001</v>
      </c>
      <c r="E145" s="86">
        <f>(E115+E128+E144)</f>
        <v>2444066.44</v>
      </c>
      <c r="F145" s="86">
        <f>(F115+F128+F144)</f>
        <v>13692009.030000001</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12</v>
      </c>
      <c r="C151" s="153">
        <f>'DOE25'!G491</f>
        <v>20</v>
      </c>
      <c r="D151" s="153">
        <f>'DOE25'!H491</f>
        <v>0</v>
      </c>
      <c r="E151" s="153">
        <f>'DOE25'!I491</f>
        <v>0</v>
      </c>
      <c r="F151" s="153">
        <f>'DOE25'!J491</f>
        <v>0</v>
      </c>
      <c r="G151" s="24" t="s">
        <v>288</v>
      </c>
    </row>
    <row r="152" spans="1:9" x14ac:dyDescent="0.2">
      <c r="A152" s="136" t="s">
        <v>28</v>
      </c>
      <c r="B152" s="152" t="str">
        <f>'DOE25'!F492</f>
        <v>8/09</v>
      </c>
      <c r="C152" s="152" t="str">
        <f>'DOE25'!G492</f>
        <v>2/19</v>
      </c>
      <c r="D152" s="152">
        <f>'DOE25'!H492</f>
        <v>0</v>
      </c>
      <c r="E152" s="152">
        <f>'DOE25'!I492</f>
        <v>0</v>
      </c>
      <c r="F152" s="152">
        <f>'DOE25'!J492</f>
        <v>0</v>
      </c>
      <c r="G152" s="24" t="s">
        <v>288</v>
      </c>
    </row>
    <row r="153" spans="1:9" x14ac:dyDescent="0.2">
      <c r="A153" s="136" t="s">
        <v>29</v>
      </c>
      <c r="B153" s="152" t="str">
        <f>'DOE25'!F493</f>
        <v>6/21</v>
      </c>
      <c r="C153" s="152" t="str">
        <f>'DOE25'!G493</f>
        <v>2/39</v>
      </c>
      <c r="D153" s="152">
        <f>'DOE25'!H493</f>
        <v>0</v>
      </c>
      <c r="E153" s="152">
        <f>'DOE25'!I493</f>
        <v>0</v>
      </c>
      <c r="F153" s="152">
        <f>'DOE25'!J493</f>
        <v>0</v>
      </c>
      <c r="G153" s="24" t="s">
        <v>288</v>
      </c>
    </row>
    <row r="154" spans="1:9" x14ac:dyDescent="0.2">
      <c r="A154" s="136" t="s">
        <v>30</v>
      </c>
      <c r="B154" s="137">
        <f>'DOE25'!F494</f>
        <v>8220000</v>
      </c>
      <c r="C154" s="137">
        <f>'DOE25'!G494</f>
        <v>7685800</v>
      </c>
      <c r="D154" s="137">
        <f>'DOE25'!H494</f>
        <v>0</v>
      </c>
      <c r="E154" s="137">
        <f>'DOE25'!I494</f>
        <v>0</v>
      </c>
      <c r="F154" s="137">
        <f>'DOE25'!J494</f>
        <v>0</v>
      </c>
      <c r="G154" s="24" t="s">
        <v>288</v>
      </c>
    </row>
    <row r="155" spans="1:9" x14ac:dyDescent="0.2">
      <c r="A155" s="136" t="s">
        <v>31</v>
      </c>
      <c r="B155" s="137">
        <f>'DOE25'!F495</f>
        <v>2.7</v>
      </c>
      <c r="C155" s="137">
        <f>'DOE25'!G495</f>
        <v>5.0999999999999996</v>
      </c>
      <c r="D155" s="137">
        <f>'DOE25'!H495</f>
        <v>0</v>
      </c>
      <c r="E155" s="137">
        <f>'DOE25'!I495</f>
        <v>0</v>
      </c>
      <c r="F155" s="137">
        <f>'DOE25'!J495</f>
        <v>0</v>
      </c>
      <c r="G155" s="24" t="s">
        <v>288</v>
      </c>
    </row>
    <row r="156" spans="1:9" x14ac:dyDescent="0.2">
      <c r="A156" s="22" t="s">
        <v>32</v>
      </c>
      <c r="B156" s="137">
        <f>'DOE25'!F496</f>
        <v>1445000</v>
      </c>
      <c r="C156" s="137">
        <f>'DOE25'!G496</f>
        <v>7685800</v>
      </c>
      <c r="D156" s="137">
        <f>'DOE25'!H496</f>
        <v>0</v>
      </c>
      <c r="E156" s="137">
        <f>'DOE25'!I496</f>
        <v>0</v>
      </c>
      <c r="F156" s="137">
        <f>'DOE25'!J496</f>
        <v>0</v>
      </c>
      <c r="G156" s="138">
        <f>SUM(B156:F156)</f>
        <v>9130800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715000</v>
      </c>
      <c r="C159" s="137">
        <f>'DOE25'!G499</f>
        <v>7303000</v>
      </c>
      <c r="D159" s="137">
        <f>'DOE25'!H499</f>
        <v>0</v>
      </c>
      <c r="E159" s="137">
        <f>'DOE25'!I499</f>
        <v>0</v>
      </c>
      <c r="F159" s="137">
        <f>'DOE25'!J499</f>
        <v>0</v>
      </c>
      <c r="G159" s="138">
        <f t="shared" si="0"/>
        <v>8018000</v>
      </c>
    </row>
    <row r="160" spans="1:9" x14ac:dyDescent="0.2">
      <c r="A160" s="22" t="s">
        <v>36</v>
      </c>
      <c r="B160" s="137">
        <f>'DOE25'!F500</f>
        <v>17125</v>
      </c>
      <c r="C160" s="137">
        <f>'DOE25'!G500</f>
        <v>2805989.64</v>
      </c>
      <c r="D160" s="137">
        <f>'DOE25'!H500</f>
        <v>0</v>
      </c>
      <c r="E160" s="137">
        <f>'DOE25'!I500</f>
        <v>0</v>
      </c>
      <c r="F160" s="137">
        <f>'DOE25'!J500</f>
        <v>0</v>
      </c>
      <c r="G160" s="138">
        <f t="shared" si="0"/>
        <v>2823114.64</v>
      </c>
    </row>
    <row r="161" spans="1:7" x14ac:dyDescent="0.2">
      <c r="A161" s="22" t="s">
        <v>37</v>
      </c>
      <c r="B161" s="137">
        <f>'DOE25'!F501</f>
        <v>732125</v>
      </c>
      <c r="C161" s="137">
        <f>'DOE25'!G501</f>
        <v>10108989.640000001</v>
      </c>
      <c r="D161" s="137">
        <f>'DOE25'!H501</f>
        <v>0</v>
      </c>
      <c r="E161" s="137">
        <f>'DOE25'!I501</f>
        <v>0</v>
      </c>
      <c r="F161" s="137">
        <f>'DOE25'!J501</f>
        <v>0</v>
      </c>
      <c r="G161" s="138">
        <f t="shared" si="0"/>
        <v>10841114.640000001</v>
      </c>
    </row>
    <row r="162" spans="1:7" x14ac:dyDescent="0.2">
      <c r="A162" s="22" t="s">
        <v>38</v>
      </c>
      <c r="B162" s="137">
        <f>'DOE25'!F502</f>
        <v>715000</v>
      </c>
      <c r="C162" s="137">
        <f>'DOE25'!G502</f>
        <v>385000</v>
      </c>
      <c r="D162" s="137">
        <f>'DOE25'!H502</f>
        <v>0</v>
      </c>
      <c r="E162" s="137">
        <f>'DOE25'!I502</f>
        <v>0</v>
      </c>
      <c r="F162" s="137">
        <f>'DOE25'!J502</f>
        <v>0</v>
      </c>
      <c r="G162" s="138">
        <f t="shared" si="0"/>
        <v>1100000</v>
      </c>
    </row>
    <row r="163" spans="1:7" x14ac:dyDescent="0.2">
      <c r="A163" s="22" t="s">
        <v>39</v>
      </c>
      <c r="B163" s="137">
        <f>'DOE25'!F503</f>
        <v>17125</v>
      </c>
      <c r="C163" s="137">
        <f>'DOE25'!G503</f>
        <v>308616.76</v>
      </c>
      <c r="D163" s="137">
        <f>'DOE25'!H503</f>
        <v>0</v>
      </c>
      <c r="E163" s="137">
        <f>'DOE25'!I503</f>
        <v>0</v>
      </c>
      <c r="F163" s="137">
        <f>'DOE25'!J503</f>
        <v>0</v>
      </c>
      <c r="G163" s="138">
        <f t="shared" si="0"/>
        <v>325741.76</v>
      </c>
    </row>
    <row r="164" spans="1:7" x14ac:dyDescent="0.2">
      <c r="A164" s="22" t="s">
        <v>246</v>
      </c>
      <c r="B164" s="137">
        <f>'DOE25'!F504</f>
        <v>732125</v>
      </c>
      <c r="C164" s="137">
        <f>'DOE25'!G504</f>
        <v>693616.76</v>
      </c>
      <c r="D164" s="137">
        <f>'DOE25'!H504</f>
        <v>0</v>
      </c>
      <c r="E164" s="137">
        <f>'DOE25'!I504</f>
        <v>0</v>
      </c>
      <c r="F164" s="137">
        <f>'DOE25'!J504</f>
        <v>0</v>
      </c>
      <c r="G164" s="138">
        <f t="shared" si="0"/>
        <v>1425741.76</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F5" sqref="F5"/>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Hudson School District - SAU #81</v>
      </c>
    </row>
    <row r="3" spans="1:4" x14ac:dyDescent="0.2">
      <c r="B3" s="188" t="s">
        <v>1587</v>
      </c>
    </row>
    <row r="4" spans="1:4" x14ac:dyDescent="0.2">
      <c r="B4" t="s">
        <v>61</v>
      </c>
      <c r="C4" s="179">
        <f>IF('DOE25'!F666+'DOE25'!F671=0,0,ROUND('DOE25'!F673,0))</f>
        <v>15425</v>
      </c>
    </row>
    <row r="5" spans="1:4" x14ac:dyDescent="0.2">
      <c r="B5" t="s">
        <v>700</v>
      </c>
      <c r="C5" s="179">
        <f>IF('DOE25'!G666+'DOE25'!G671=0,0,ROUND('DOE25'!G673,0))</f>
        <v>14641</v>
      </c>
    </row>
    <row r="6" spans="1:4" x14ac:dyDescent="0.2">
      <c r="B6" t="s">
        <v>62</v>
      </c>
      <c r="C6" s="179">
        <f>IF('DOE25'!H666+'DOE25'!H671=0,0,ROUND('DOE25'!H673,0))</f>
        <v>15988</v>
      </c>
    </row>
    <row r="7" spans="1:4" x14ac:dyDescent="0.2">
      <c r="B7" t="s">
        <v>701</v>
      </c>
      <c r="C7" s="179">
        <f>IF('DOE25'!I666+'DOE25'!I671=0,0,ROUND('DOE25'!I673,0))</f>
        <v>15432</v>
      </c>
    </row>
    <row r="9" spans="1:4" x14ac:dyDescent="0.2">
      <c r="A9" s="187" t="s">
        <v>94</v>
      </c>
      <c r="B9" s="188" t="s">
        <v>1588</v>
      </c>
      <c r="C9" s="181" t="s">
        <v>720</v>
      </c>
      <c r="D9" s="181" t="s">
        <v>721</v>
      </c>
    </row>
    <row r="10" spans="1:4" x14ac:dyDescent="0.2">
      <c r="A10">
        <v>1100</v>
      </c>
      <c r="B10" t="s">
        <v>702</v>
      </c>
      <c r="C10" s="179">
        <f>ROUND('DOE25'!L198+'DOE25'!L216+'DOE25'!L234+'DOE25'!L277+'DOE25'!L296+'DOE25'!L315,0)</f>
        <v>19734074</v>
      </c>
      <c r="D10" s="182">
        <f>ROUND((C10/$C$28)*100,1)</f>
        <v>37.700000000000003</v>
      </c>
    </row>
    <row r="11" spans="1:4" x14ac:dyDescent="0.2">
      <c r="A11">
        <v>1200</v>
      </c>
      <c r="B11" t="s">
        <v>703</v>
      </c>
      <c r="C11" s="179">
        <f>ROUND('DOE25'!L199+'DOE25'!L217+'DOE25'!L235+'DOE25'!L278+'DOE25'!L297+'DOE25'!L316,0)</f>
        <v>8304175</v>
      </c>
      <c r="D11" s="182">
        <f>ROUND((C11/$C$28)*100,1)</f>
        <v>15.9</v>
      </c>
    </row>
    <row r="12" spans="1:4" x14ac:dyDescent="0.2">
      <c r="A12">
        <v>1300</v>
      </c>
      <c r="B12" t="s">
        <v>704</v>
      </c>
      <c r="C12" s="179">
        <f>ROUND('DOE25'!L200+'DOE25'!L218+'DOE25'!L236+'DOE25'!L279+'DOE25'!L298+'DOE25'!L317,0)</f>
        <v>1964537</v>
      </c>
      <c r="D12" s="182">
        <f>ROUND((C12/$C$28)*100,1)</f>
        <v>3.8</v>
      </c>
    </row>
    <row r="13" spans="1:4" x14ac:dyDescent="0.2">
      <c r="A13">
        <v>1400</v>
      </c>
      <c r="B13" t="s">
        <v>705</v>
      </c>
      <c r="C13" s="179">
        <f>ROUND('DOE25'!L201+'DOE25'!L219+'DOE25'!L237+'DOE25'!L280+'DOE25'!L299+'DOE25'!L318,0)</f>
        <v>578733</v>
      </c>
      <c r="D13" s="182">
        <f>ROUND((C13/$C$28)*100,1)</f>
        <v>1.1000000000000001</v>
      </c>
    </row>
    <row r="14" spans="1:4" x14ac:dyDescent="0.2">
      <c r="D14" s="182"/>
    </row>
    <row r="15" spans="1:4" x14ac:dyDescent="0.2">
      <c r="A15">
        <v>2100</v>
      </c>
      <c r="B15" t="s">
        <v>706</v>
      </c>
      <c r="C15" s="179">
        <f>ROUND('DOE25'!L203+'DOE25'!L221+'DOE25'!L239+'DOE25'!L282+'DOE25'!L301+'DOE25'!L320,0)</f>
        <v>4753577</v>
      </c>
      <c r="D15" s="182">
        <f t="shared" ref="D15:D27" si="0">ROUND((C15/$C$28)*100,1)</f>
        <v>9.1</v>
      </c>
    </row>
    <row r="16" spans="1:4" x14ac:dyDescent="0.2">
      <c r="A16">
        <v>2200</v>
      </c>
      <c r="B16" t="s">
        <v>707</v>
      </c>
      <c r="C16" s="179">
        <f>ROUND('DOE25'!L204+'DOE25'!L222+'DOE25'!L240+'DOE25'!L283+'DOE25'!L302+'DOE25'!L321,0)</f>
        <v>1912955</v>
      </c>
      <c r="D16" s="182">
        <f t="shared" si="0"/>
        <v>3.7</v>
      </c>
    </row>
    <row r="17" spans="1:4" x14ac:dyDescent="0.2">
      <c r="A17" s="183" t="s">
        <v>723</v>
      </c>
      <c r="B17" t="s">
        <v>738</v>
      </c>
      <c r="C17" s="179">
        <f>ROUND('DOE25'!L205+'DOE25'!L210+'DOE25'!L223+'DOE25'!L228+'DOE25'!L241+'DOE25'!L246+'DOE25'!L284+'DOE25'!L289+'DOE25'!L303+'DOE25'!L308+'DOE25'!L322+'DOE25'!L327,0)</f>
        <v>1306455</v>
      </c>
      <c r="D17" s="182">
        <f t="shared" si="0"/>
        <v>2.5</v>
      </c>
    </row>
    <row r="18" spans="1:4" x14ac:dyDescent="0.2">
      <c r="A18">
        <v>2400</v>
      </c>
      <c r="B18" t="s">
        <v>711</v>
      </c>
      <c r="C18" s="179">
        <f>ROUND('DOE25'!L206+'DOE25'!L224+'DOE25'!L242+'DOE25'!L285+'DOE25'!L304+'DOE25'!L323,0)</f>
        <v>3146807</v>
      </c>
      <c r="D18" s="182">
        <f t="shared" si="0"/>
        <v>6</v>
      </c>
    </row>
    <row r="19" spans="1:4" x14ac:dyDescent="0.2">
      <c r="A19">
        <v>2500</v>
      </c>
      <c r="B19" t="s">
        <v>708</v>
      </c>
      <c r="C19" s="179">
        <f>ROUND('DOE25'!L207+'DOE25'!L225+'DOE25'!L243+'DOE25'!L286+'DOE25'!L305+'DOE25'!L324,0)</f>
        <v>1070699</v>
      </c>
      <c r="D19" s="182">
        <f t="shared" si="0"/>
        <v>2</v>
      </c>
    </row>
    <row r="20" spans="1:4" x14ac:dyDescent="0.2">
      <c r="A20">
        <v>2600</v>
      </c>
      <c r="B20" t="s">
        <v>709</v>
      </c>
      <c r="C20" s="179">
        <f>ROUND('DOE25'!L208+'DOE25'!L226+'DOE25'!L244+'DOE25'!L287+'DOE25'!L306+'DOE25'!L325,0)</f>
        <v>6302231</v>
      </c>
      <c r="D20" s="182">
        <f t="shared" si="0"/>
        <v>12.1</v>
      </c>
    </row>
    <row r="21" spans="1:4" x14ac:dyDescent="0.2">
      <c r="A21">
        <v>2700</v>
      </c>
      <c r="B21" t="s">
        <v>710</v>
      </c>
      <c r="C21" s="179">
        <f>ROUND('DOE25'!L209+'DOE25'!L227+'DOE25'!L245+'DOE25'!L288+'DOE25'!L307+'DOE25'!L326,0)</f>
        <v>2169204</v>
      </c>
      <c r="D21" s="182">
        <f t="shared" si="0"/>
        <v>4.0999999999999996</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82481</v>
      </c>
      <c r="D24" s="182">
        <f t="shared" si="0"/>
        <v>0.2</v>
      </c>
    </row>
    <row r="25" spans="1:4" x14ac:dyDescent="0.2">
      <c r="A25">
        <v>5120</v>
      </c>
      <c r="B25" t="s">
        <v>716</v>
      </c>
      <c r="C25" s="179">
        <f>ROUND('DOE25'!L262+'DOE25'!L343,0)</f>
        <v>377075</v>
      </c>
      <c r="D25" s="182">
        <f t="shared" si="0"/>
        <v>0.7</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590714.24000000011</v>
      </c>
      <c r="D27" s="182">
        <f t="shared" si="0"/>
        <v>1.1000000000000001</v>
      </c>
    </row>
    <row r="28" spans="1:4" x14ac:dyDescent="0.2">
      <c r="B28" s="187" t="s">
        <v>719</v>
      </c>
      <c r="C28" s="180">
        <f>SUM(C10:C27)</f>
        <v>52293717.240000002</v>
      </c>
      <c r="D28" s="184">
        <f>ROUND(SUM(D10:D27),0)</f>
        <v>100</v>
      </c>
    </row>
    <row r="29" spans="1:4" x14ac:dyDescent="0.2">
      <c r="A29">
        <v>4000</v>
      </c>
      <c r="B29" t="s">
        <v>724</v>
      </c>
      <c r="C29" s="179">
        <f>ROUND('DOE25'!L256+'DOE25'!L337+'DOE25'!L375+'DOE25'!L376+'DOE25'!L377+'DOE25'!L378+'DOE25'!L379+'DOE25'!L380+'DOE25'!L381,0)</f>
        <v>13938749</v>
      </c>
    </row>
    <row r="30" spans="1:4" x14ac:dyDescent="0.2">
      <c r="B30" s="187" t="s">
        <v>725</v>
      </c>
      <c r="C30" s="180">
        <f>SUM(C28:C29)</f>
        <v>66232466.240000002</v>
      </c>
    </row>
    <row r="31" spans="1:4" x14ac:dyDescent="0.2">
      <c r="B31" s="33"/>
      <c r="C31" s="180"/>
    </row>
    <row r="32" spans="1:4" x14ac:dyDescent="0.2">
      <c r="A32">
        <v>5100</v>
      </c>
      <c r="B32" s="33" t="s">
        <v>726</v>
      </c>
      <c r="C32" s="180">
        <f>ROUND('DOE25'!L261+'DOE25'!L342,0)</f>
        <v>1112800</v>
      </c>
    </row>
    <row r="34" spans="1:4" x14ac:dyDescent="0.2">
      <c r="A34" s="187" t="s">
        <v>94</v>
      </c>
      <c r="B34" s="188" t="s">
        <v>1589</v>
      </c>
      <c r="C34" s="181" t="s">
        <v>720</v>
      </c>
      <c r="D34" s="181" t="s">
        <v>721</v>
      </c>
    </row>
    <row r="35" spans="1:4" x14ac:dyDescent="0.2">
      <c r="A35">
        <v>1100</v>
      </c>
      <c r="B35" s="185" t="s">
        <v>727</v>
      </c>
      <c r="C35" s="179">
        <f>ROUND('DOE25'!F60+'DOE25'!G60+'DOE25'!H60+'DOE25'!I60+'DOE25'!J60,0)</f>
        <v>35914189</v>
      </c>
      <c r="D35" s="182">
        <f t="shared" ref="D35:D40" si="1">ROUND((C35/$C$41)*100,1)</f>
        <v>57.8</v>
      </c>
    </row>
    <row r="36" spans="1:4" x14ac:dyDescent="0.2">
      <c r="B36" s="185" t="s">
        <v>739</v>
      </c>
      <c r="C36" s="179">
        <f>SUM('DOE25'!F112:J112)-SUM('DOE25'!G97:G110)+('DOE25'!F175+'DOE25'!F176+'DOE25'!I175+'DOE25'!I176)-C35</f>
        <v>925329.48000001162</v>
      </c>
      <c r="D36" s="182">
        <f t="shared" si="1"/>
        <v>1.5</v>
      </c>
    </row>
    <row r="37" spans="1:4" x14ac:dyDescent="0.2">
      <c r="A37" s="183" t="s">
        <v>835</v>
      </c>
      <c r="B37" s="185" t="s">
        <v>728</v>
      </c>
      <c r="C37" s="179">
        <f>ROUND('DOE25'!F117+'DOE25'!F118,0)</f>
        <v>13852236</v>
      </c>
      <c r="D37" s="182">
        <f t="shared" si="1"/>
        <v>22.3</v>
      </c>
    </row>
    <row r="38" spans="1:4" x14ac:dyDescent="0.2">
      <c r="A38" s="183" t="s">
        <v>734</v>
      </c>
      <c r="B38" s="185" t="s">
        <v>729</v>
      </c>
      <c r="C38" s="179">
        <f>ROUND(SUM('DOE25'!F140:J140)-SUM('DOE25'!F117:F119),0)</f>
        <v>8776856</v>
      </c>
      <c r="D38" s="182">
        <f t="shared" si="1"/>
        <v>14.1</v>
      </c>
    </row>
    <row r="39" spans="1:4" x14ac:dyDescent="0.2">
      <c r="A39">
        <v>4000</v>
      </c>
      <c r="B39" s="185" t="s">
        <v>730</v>
      </c>
      <c r="C39" s="179">
        <f>ROUND('DOE25'!F170+'DOE25'!G170+'DOE25'!H170+'DOE25'!I170,0)</f>
        <v>2658283</v>
      </c>
      <c r="D39" s="182">
        <f t="shared" si="1"/>
        <v>4.3</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62126893.480000012</v>
      </c>
      <c r="D41" s="184">
        <f>SUM(D35:D40)</f>
        <v>99.999999999999986</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Hudson School District - SAU #81</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c r="B4" s="219"/>
      <c r="C4" s="355"/>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2020-09-28T17:42:35Z</cp:lastPrinted>
  <dcterms:created xsi:type="dcterms:W3CDTF">1997-12-04T19:04:30Z</dcterms:created>
  <dcterms:modified xsi:type="dcterms:W3CDTF">2020-12-11T15:12:11Z</dcterms:modified>
</cp:coreProperties>
</file>