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2020" windowHeight="1146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E110" i="2" s="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H140" i="1" s="1"/>
  <c r="I121" i="1"/>
  <c r="I136" i="1"/>
  <c r="J121" i="1"/>
  <c r="J136" i="1"/>
  <c r="F147" i="1"/>
  <c r="F170" i="1"/>
  <c r="G147" i="1"/>
  <c r="H147" i="1"/>
  <c r="H170" i="1"/>
  <c r="I147" i="1"/>
  <c r="C12" i="10"/>
  <c r="C13" i="10"/>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3"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J258" i="1" s="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572" i="1"/>
  <c r="I170" i="1"/>
  <c r="J140" i="1"/>
  <c r="A40" i="12" l="1"/>
  <c r="D50" i="2"/>
  <c r="H477" i="1"/>
  <c r="H625" i="1" s="1"/>
  <c r="J625" i="1" s="1"/>
  <c r="L402" i="1"/>
  <c r="C139" i="2" s="1"/>
  <c r="H409" i="1"/>
  <c r="H645" i="1" s="1"/>
  <c r="H462" i="1"/>
  <c r="H642" i="1" s="1"/>
  <c r="J642" i="1" s="1"/>
  <c r="J656" i="1"/>
  <c r="J652" i="1"/>
  <c r="G553" i="1"/>
  <c r="A31" i="12"/>
  <c r="G663" i="1"/>
  <c r="C119" i="2"/>
  <c r="E13" i="13"/>
  <c r="C13" i="13" s="1"/>
  <c r="D6" i="13"/>
  <c r="C6" i="13" s="1"/>
  <c r="F258" i="1"/>
  <c r="F272" i="1" s="1"/>
  <c r="K339" i="1"/>
  <c r="K353" i="1" s="1"/>
  <c r="C110" i="2"/>
  <c r="C120" i="2"/>
  <c r="C121" i="2"/>
  <c r="E124" i="2"/>
  <c r="E121" i="2"/>
  <c r="E120" i="2"/>
  <c r="G339" i="1"/>
  <c r="G353" i="1" s="1"/>
  <c r="E119" i="2"/>
  <c r="C11" i="10"/>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D103" i="2"/>
  <c r="I140" i="1"/>
  <c r="A22" i="12"/>
  <c r="G50" i="2"/>
  <c r="J653" i="1"/>
  <c r="G572" i="1"/>
  <c r="I435" i="1"/>
  <c r="G435" i="1"/>
  <c r="I664" i="1"/>
  <c r="I663" i="1" l="1"/>
  <c r="H661" i="1"/>
  <c r="G36" i="14"/>
  <c r="H36" i="14" s="1"/>
  <c r="I36" i="14" s="1"/>
  <c r="G24" i="14"/>
  <c r="H24" i="14" s="1"/>
  <c r="I24" i="14" s="1"/>
  <c r="E51" i="2"/>
  <c r="H665" i="1"/>
  <c r="H668" i="1" s="1"/>
  <c r="E128" i="2"/>
  <c r="E145" i="2" s="1"/>
  <c r="H649" i="1"/>
  <c r="J649" i="1" s="1"/>
  <c r="F661" i="1"/>
  <c r="F665" i="1" s="1"/>
  <c r="F668" i="1" s="1"/>
  <c r="F194" i="1"/>
  <c r="G628" i="1" s="1"/>
  <c r="J628" i="1"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<sst xmlns="http://schemas.openxmlformats.org/spreadsheetml/2006/main" count="5545" uniqueCount="1643">
  <si>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</si>
  <si>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</si>
  <si>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</si>
  <si>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</si>
  <si>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</si>
  <si>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</si>
  <si>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</si>
  <si>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</si>
  <si>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</si>
  <si>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</si>
  <si>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</si>
  <si>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</si>
  <si>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</si>
  <si>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</si>
  <si>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</si>
  <si>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</si>
  <si>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</si>
  <si>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</si>
  <si>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</si>
  <si>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</si>
  <si>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</si>
  <si>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</si>
  <si>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</si>
  <si>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</si>
  <si>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</si>
  <si>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</si>
  <si>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</si>
  <si>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</si>
  <si>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</si>
  <si>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</si>
  <si>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</si>
  <si>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</si>
  <si>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</si>
  <si>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</si>
  <si>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</si>
  <si>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</si>
  <si>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</si>
  <si>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</si>
  <si>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</si>
  <si>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</si>
  <si>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</si>
  <si>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</si>
  <si>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</si>
  <si>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</si>
  <si>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</si>
  <si>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</si>
  <si>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</si>
  <si>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</si>
  <si>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</si>
  <si>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</si>
  <si>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</si>
  <si>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</si>
  <si>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</si>
  <si>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</si>
  <si>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</si>
  <si>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</si>
  <si>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</si>
  <si>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</si>
  <si>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</si>
  <si>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</si>
  <si>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</si>
  <si>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</si>
  <si>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</si>
  <si>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</si>
  <si>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</si>
  <si>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</si>
  <si>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</si>
  <si>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</si>
  <si>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</si>
  <si>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</si>
  <si>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</si>
  <si>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</si>
  <si>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</si>
  <si>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</si>
  <si>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</si>
  <si>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</si>
  <si>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</si>
  <si>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</si>
  <si>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</si>
  <si>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</si>
  <si>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</si>
  <si>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</si>
  <si>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</si>
  <si>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</si>
  <si>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</si>
  <si>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</si>
  <si>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</si>
  <si>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</si>
  <si>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</si>
  <si>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</si>
  <si>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</si>
  <si>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</si>
  <si>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</si>
  <si>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</si>
  <si>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</si>
  <si>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</si>
  <si>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</si>
  <si>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</si>
  <si>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</si>
  <si>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</si>
  <si>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</si>
  <si>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</si>
  <si>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</si>
  <si>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</si>
  <si>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</si>
  <si>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</si>
  <si>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</si>
  <si>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</si>
  <si>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</si>
  <si>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</si>
  <si>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</si>
  <si>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</si>
  <si>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</si>
  <si>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</si>
  <si>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</si>
  <si>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</si>
  <si>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</si>
  <si>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</si>
  <si>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</si>
  <si>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</si>
  <si>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</si>
  <si>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</si>
  <si>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</si>
  <si>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</si>
  <si>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</si>
  <si>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</si>
  <si>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</si>
  <si>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</si>
  <si>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</si>
  <si>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</si>
  <si>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</si>
  <si>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</si>
  <si>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</si>
  <si>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</si>
  <si>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</si>
  <si>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</si>
  <si>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</si>
  <si>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</si>
  <si>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</si>
  <si>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</si>
  <si>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</si>
  <si>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</si>
  <si>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</si>
  <si>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</si>
  <si>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</si>
  <si>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</si>
  <si>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</si>
  <si>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</si>
  <si>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</si>
  <si>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</si>
  <si>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</si>
  <si>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</si>
  <si>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</si>
  <si>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</si>
  <si>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</si>
  <si>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</si>
  <si>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</si>
  <si>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</si>
  <si>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</si>
  <si>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</si>
  <si>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</si>
  <si>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</si>
  <si>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</si>
  <si>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</si>
  <si>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</si>
  <si>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</si>
  <si>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</si>
  <si>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</si>
  <si>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</si>
  <si>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</si>
  <si>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</si>
  <si>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</si>
  <si>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</si>
  <si>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</si>
  <si>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</si>
  <si>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</si>
  <si>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</si>
  <si>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</si>
  <si>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</si>
  <si>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</si>
  <si>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</si>
  <si>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</si>
  <si>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</si>
  <si>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</si>
  <si>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</si>
  <si>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</si>
  <si>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</si>
  <si>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</si>
  <si>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</si>
  <si>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</si>
  <si>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</si>
  <si>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</si>
  <si>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</si>
  <si>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</si>
  <si>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</si>
  <si>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</si>
  <si>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</si>
  <si>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</si>
  <si>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</si>
  <si>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</si>
  <si>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</si>
  <si>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</si>
  <si>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</si>
  <si>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</si>
  <si>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</si>
  <si>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</si>
  <si>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</si>
  <si>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</si>
  <si>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</si>
  <si>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</si>
  <si>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</si>
  <si>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</si>
  <si>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</si>
  <si>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</si>
  <si>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</si>
  <si>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</si>
  <si>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</si>
  <si>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</si>
  <si>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</si>
  <si>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</si>
  <si>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</si>
  <si>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</si>
  <si>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</si>
  <si>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</si>
  <si>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</si>
  <si>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</si>
  <si>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</si>
  <si>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</si>
  <si>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</si>
  <si>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</si>
  <si>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</si>
  <si>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</si>
  <si>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</si>
  <si>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</si>
  <si>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</si>
  <si>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</si>
  <si>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</si>
  <si>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</si>
  <si>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</si>
  <si>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</si>
  <si>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</si>
  <si>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</si>
  <si>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</si>
  <si>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</si>
  <si>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</si>
  <si>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</si>
  <si>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</si>
  <si>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</si>
  <si>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</si>
  <si>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</si>
  <si>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</si>
  <si>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</si>
  <si>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</si>
  <si>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</si>
  <si>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</si>
  <si>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</si>
  <si>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</si>
  <si>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</si>
  <si>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</si>
  <si>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</si>
  <si>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</si>
  <si>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</si>
  <si>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</si>
  <si>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</si>
  <si>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</si>
  <si>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</si>
  <si>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</si>
  <si>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</si>
  <si>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</si>
  <si>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</si>
  <si>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</si>
  <si>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</si>
  <si>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</si>
  <si>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</si>
  <si>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</si>
  <si>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</si>
  <si>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</si>
  <si>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</si>
  <si>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</si>
  <si>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</si>
  <si>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</si>
  <si>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</si>
  <si>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</si>
  <si>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</si>
  <si>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</si>
  <si>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</si>
  <si>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</si>
  <si>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</si>
  <si>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</si>
  <si>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</si>
  <si>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</si>
  <si>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</si>
  <si>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</si>
  <si>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</si>
  <si>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</si>
  <si>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</si>
  <si>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</si>
  <si>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</si>
  <si>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</si>
  <si>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</si>
  <si>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</si>
  <si>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</si>
  <si>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</si>
  <si>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</si>
  <si>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</si>
  <si>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</si>
  <si>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</si>
  <si>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</si>
  <si>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</si>
  <si>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</si>
  <si>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</si>
  <si>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</si>
  <si>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</si>
  <si>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</si>
  <si>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</si>
  <si>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</si>
  <si>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</si>
  <si>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</si>
  <si>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</si>
  <si>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</si>
  <si>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</si>
  <si>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</si>
  <si>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</si>
  <si>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</si>
  <si>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</si>
  <si>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</si>
  <si>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</si>
  <si>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</si>
  <si>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</si>
  <si>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</si>
  <si>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</si>
  <si>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</si>
  <si>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</si>
  <si>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</si>
  <si>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</si>
  <si>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</si>
  <si>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</si>
  <si>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</si>
  <si>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</si>
  <si>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</si>
  <si>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</si>
  <si>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</si>
  <si>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</si>
  <si>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</si>
  <si>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</si>
  <si>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</si>
  <si>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</si>
  <si>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</si>
  <si>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</si>
  <si>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</si>
  <si>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</si>
  <si>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</si>
  <si>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</si>
  <si>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</si>
  <si>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</si>
  <si>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</si>
  <si>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</si>
  <si>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</si>
  <si>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</si>
  <si>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</si>
  <si>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</si>
  <si>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</si>
  <si>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</si>
  <si>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</si>
  <si>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</si>
  <si>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</si>
  <si>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</si>
  <si>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</si>
  <si>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</si>
  <si>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</si>
  <si>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</si>
  <si>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</si>
  <si>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</si>
  <si>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</si>
  <si>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</si>
  <si>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</si>
  <si>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</si>
  <si>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</si>
  <si>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</si>
  <si>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</si>
  <si>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</si>
  <si>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</si>
  <si>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</si>
  <si>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</si>
  <si>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</si>
  <si>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</si>
  <si>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</si>
  <si>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</si>
  <si>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</si>
  <si>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</si>
  <si>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</si>
  <si>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</si>
  <si>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</si>
  <si>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</si>
  <si>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</si>
  <si>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</si>
  <si>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</si>
  <si>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</si>
  <si>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</si>
  <si>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</si>
  <si>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</si>
  <si>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</si>
  <si>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</si>
  <si>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</si>
  <si>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</si>
  <si>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</si>
  <si>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</si>
  <si>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</si>
  <si>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</si>
  <si>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</si>
  <si>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</si>
  <si>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</si>
  <si>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</si>
  <si>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</si>
  <si>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</si>
  <si>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</si>
  <si>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</si>
  <si>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</si>
  <si>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</si>
  <si>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</si>
  <si>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</si>
  <si>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</si>
  <si>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</si>
  <si>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</si>
  <si>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</si>
  <si>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</si>
  <si>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</si>
  <si>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</si>
  <si>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</si>
  <si>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</si>
  <si>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</si>
  <si>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</si>
  <si>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</si>
  <si>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</si>
  <si>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</si>
  <si>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</si>
  <si>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</si>
  <si>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</si>
  <si>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</si>
  <si>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</si>
  <si>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</si>
  <si>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</si>
  <si>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</si>
  <si>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</si>
  <si>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</si>
  <si>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</si>
  <si>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</si>
  <si>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</si>
  <si>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</si>
  <si>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</si>
  <si>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</si>
  <si>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</si>
  <si>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</si>
  <si>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</si>
  <si>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</si>
  <si>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</si>
  <si>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</si>
  <si>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</si>
  <si>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</si>
  <si>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</si>
  <si>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</si>
  <si>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</si>
  <si>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</si>
  <si>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</si>
  <si>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</si>
  <si>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</si>
  <si>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</si>
  <si>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</si>
  <si>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</si>
  <si>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</si>
  <si>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</si>
  <si>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</si>
  <si>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</si>
  <si>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</si>
  <si>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</si>
  <si>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</si>
  <si>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</si>
  <si>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</si>
  <si>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</si>
  <si>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</si>
  <si>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</si>
  <si>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</si>
  <si>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</si>
  <si>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</si>
  <si>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</si>
  <si>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</si>
  <si>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</si>
  <si>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</si>
  <si>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</si>
  <si>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</si>
  <si>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</si>
  <si>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</si>
  <si>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</si>
  <si>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</si>
  <si>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</si>
  <si>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</si>
  <si>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</si>
  <si>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</si>
  <si>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</si>
  <si>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</si>
  <si>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</si>
  <si>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</si>
  <si>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</si>
  <si>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</si>
  <si>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</si>
  <si>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</si>
  <si>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</si>
  <si>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</si>
  <si>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</si>
  <si>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</si>
  <si>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</si>
  <si>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</si>
  <si>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</si>
  <si>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</si>
  <si>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</si>
  <si>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</si>
  <si>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</si>
  <si>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</si>
  <si>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</si>
  <si>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</si>
  <si>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</si>
  <si>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</si>
  <si>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</si>
  <si>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</si>
  <si>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</si>
  <si>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</si>
  <si>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</si>
  <si>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</si>
  <si>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</si>
  <si>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</si>
  <si>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</si>
  <si>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</si>
  <si>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</si>
  <si>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</si>
  <si>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</si>
  <si>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</si>
  <si>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</si>
  <si>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</si>
  <si>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</si>
  <si>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</si>
  <si>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</si>
  <si>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</si>
  <si>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</si>
  <si>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</si>
  <si>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</si>
  <si>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</si>
  <si>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</si>
  <si>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</si>
  <si>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</si>
  <si>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</si>
  <si>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</si>
  <si>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</si>
  <si>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</si>
  <si>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</si>
  <si>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</si>
  <si>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</si>
  <si>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</si>
  <si>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</si>
  <si>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</si>
  <si>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</si>
  <si>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</si>
  <si>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</si>
  <si>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</si>
  <si>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</si>
  <si>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</si>
  <si>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</si>
  <si>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</si>
  <si>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</si>
  <si>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</si>
  <si>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</si>
  <si>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</si>
  <si>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</si>
  <si>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</si>
  <si>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</si>
  <si>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</si>
  <si>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</si>
  <si>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</si>
  <si>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</si>
  <si>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</si>
  <si>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</si>
  <si>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</si>
  <si>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</si>
  <si>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</si>
  <si>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</si>
  <si>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</si>
  <si>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</si>
  <si>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</si>
  <si>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</si>
  <si>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</si>
  <si>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</si>
  <si>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</si>
  <si>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</si>
  <si>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</si>
  <si>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</si>
  <si>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</si>
  <si>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</si>
  <si>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</si>
  <si>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</si>
  <si>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</si>
  <si>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</si>
  <si>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</si>
  <si>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</si>
  <si>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</si>
  <si>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</si>
  <si>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</si>
  <si>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</si>
  <si>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</si>
  <si>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</si>
  <si>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</si>
  <si>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</si>
  <si>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</si>
  <si>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</si>
  <si>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</si>
  <si>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</si>
  <si>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</si>
  <si>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</si>
  <si>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</si>
  <si>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</si>
  <si>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</si>
  <si>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</si>
  <si>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</si>
  <si>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</si>
  <si>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</si>
  <si>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</si>
  <si>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</si>
  <si>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</si>
  <si>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</si>
  <si>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</si>
  <si>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</si>
  <si>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</si>
  <si>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</si>
  <si>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</si>
  <si>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</si>
  <si>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</si>
  <si>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</si>
  <si>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</si>
  <si>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</si>
  <si>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</si>
  <si>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</si>
  <si>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</si>
  <si>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</si>
  <si>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</si>
  <si>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</si>
  <si>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</si>
  <si>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</si>
  <si>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</si>
  <si>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</si>
  <si>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</si>
  <si>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</si>
  <si>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</si>
  <si>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</si>
  <si>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</si>
  <si>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</si>
  <si>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</si>
  <si>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</si>
  <si>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</si>
  <si>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</si>
  <si>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</si>
  <si>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</si>
  <si>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</si>
  <si>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</si>
  <si>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</si>
  <si>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</si>
  <si>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</si>
  <si>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</si>
  <si>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</si>
  <si>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</si>
  <si>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</si>
  <si>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</si>
  <si>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</si>
  <si>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</si>
  <si>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</si>
  <si>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</si>
  <si>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</si>
  <si>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</si>
  <si>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</si>
  <si>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</si>
  <si>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</si>
  <si>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</si>
  <si>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</si>
  <si>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</si>
  <si>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</si>
  <si>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</si>
  <si>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</si>
  <si>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</si>
  <si>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</si>
  <si>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</si>
  <si>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</si>
  <si>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</si>
  <si>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</si>
  <si>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</si>
  <si>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</si>
  <si>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</si>
  <si>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</si>
  <si>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</si>
  <si>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</si>
  <si>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</si>
  <si>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</si>
  <si>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</si>
  <si>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</si>
  <si>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</si>
  <si>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</si>
  <si>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</si>
  <si>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</si>
  <si>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</si>
  <si>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</si>
  <si>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</si>
  <si>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</si>
  <si>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</si>
  <si>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</si>
  <si>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</si>
  <si>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</si>
  <si>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</si>
  <si>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</si>
  <si>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</si>
  <si>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</si>
  <si>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</si>
  <si>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</si>
  <si>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</si>
  <si>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</si>
  <si>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</si>
  <si>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</si>
  <si>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</si>
  <si>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</si>
  <si>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</si>
  <si>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</si>
  <si>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</si>
  <si>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</si>
  <si>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</si>
  <si>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</si>
  <si>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</si>
  <si>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</si>
  <si>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</si>
  <si>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</si>
  <si>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</si>
  <si>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</si>
  <si>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</si>
  <si>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</si>
  <si>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</si>
  <si>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</si>
  <si>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</si>
  <si>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</si>
  <si>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</si>
  <si>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</si>
  <si>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</si>
  <si>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</si>
  <si>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</si>
  <si>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</si>
  <si>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</si>
  <si>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</si>
  <si>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</si>
  <si>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</si>
  <si>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</si>
  <si>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</si>
  <si>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</si>
  <si>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</si>
  <si>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</si>
  <si>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</si>
  <si>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</si>
  <si>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</si>
  <si>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</si>
  <si>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</si>
  <si>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</si>
  <si>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</si>
  <si>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</si>
  <si>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</si>
  <si>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</si>
  <si>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</si>
  <si>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</si>
  <si>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</si>
  <si>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</si>
  <si>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</si>
  <si>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</si>
  <si>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</si>
  <si>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</si>
  <si>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</si>
  <si>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</si>
  <si>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</si>
  <si>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</si>
  <si>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</si>
  <si>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</si>
  <si>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</si>
  <si>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</si>
  <si>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</si>
  <si>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</si>
  <si>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</si>
  <si>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</si>
  <si>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</si>
  <si>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</si>
  <si>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</si>
  <si>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</si>
  <si>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</si>
  <si>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</si>
  <si>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</si>
  <si>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</si>
  <si>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</si>
  <si>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</si>
  <si>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</si>
  <si>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</si>
  <si>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</si>
  <si>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</si>
  <si>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</si>
  <si>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</si>
  <si>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</si>
  <si>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</si>
  <si>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</si>
  <si>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</si>
  <si>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</si>
  <si>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</si>
  <si>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</si>
  <si>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</si>
  <si>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</si>
  <si>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</si>
  <si>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</si>
  <si>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</si>
  <si>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</si>
  <si>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</si>
  <si>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</si>
  <si>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</si>
  <si>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</si>
  <si>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</si>
  <si>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</si>
  <si>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</si>
  <si>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</si>
  <si>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</si>
  <si>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</si>
  <si>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</si>
  <si>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</si>
  <si>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</si>
  <si>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</si>
  <si>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</si>
  <si>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</si>
  <si>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</si>
  <si>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</si>
  <si>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</si>
  <si>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</si>
  <si>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</si>
  <si>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</si>
  <si>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</si>
  <si>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</si>
  <si>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</si>
  <si>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</si>
  <si>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</si>
  <si>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</si>
  <si>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</si>
  <si>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</si>
  <si>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</si>
  <si>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</si>
  <si>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</si>
  <si>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</si>
  <si>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</si>
  <si>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</si>
  <si>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</si>
  <si>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</si>
  <si>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</si>
  <si>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</si>
  <si>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</si>
  <si>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</si>
  <si>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</si>
  <si>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</si>
  <si>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</si>
  <si>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</si>
  <si>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</si>
  <si>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</si>
  <si>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</si>
  <si>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</si>
  <si>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</si>
  <si>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</si>
  <si>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</si>
  <si>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</si>
  <si>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</si>
  <si>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</si>
  <si>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</si>
  <si>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</si>
  <si>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</si>
  <si>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</si>
  <si>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</si>
  <si>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</si>
  <si>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</si>
  <si>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</si>
  <si>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</si>
  <si>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</si>
  <si>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</si>
  <si>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</si>
  <si>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</si>
  <si>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</si>
  <si>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</si>
  <si>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</si>
  <si>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</si>
  <si>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</si>
  <si>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</si>
  <si>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</si>
  <si>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</si>
  <si>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</si>
  <si>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</si>
  <si>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</si>
  <si>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</si>
  <si>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</si>
  <si>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</si>
  <si>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</si>
  <si>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</si>
  <si>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</si>
  <si>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</si>
  <si>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</si>
  <si>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</si>
  <si>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</si>
  <si>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</si>
  <si>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</si>
  <si>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</si>
  <si>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</si>
  <si>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</si>
  <si>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</si>
  <si>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</si>
  <si>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</si>
  <si>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</si>
  <si>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</si>
  <si>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</si>
  <si>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</si>
  <si>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</si>
  <si>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</si>
  <si>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</si>
  <si>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</si>
  <si>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</si>
  <si>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</si>
  <si>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</si>
  <si>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</si>
  <si>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</si>
  <si>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</si>
  <si>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</si>
  <si>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</si>
  <si>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</si>
  <si>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</si>
  <si>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</si>
  <si>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</si>
  <si>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</si>
  <si>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</si>
  <si>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</si>
  <si>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</si>
  <si>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</si>
  <si>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</si>
  <si>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</si>
  <si>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</si>
  <si>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</si>
  <si>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</si>
  <si>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</si>
  <si>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</si>
  <si>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</si>
  <si>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</si>
  <si>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</si>
  <si>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</si>
  <si>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</si>
  <si>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</si>
  <si>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</si>
  <si>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</si>
  <si>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</si>
  <si>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</si>
  <si>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</si>
  <si>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</si>
  <si>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</si>
  <si>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</si>
  <si>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</si>
  <si>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</si>
  <si>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</si>
  <si>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</si>
  <si>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</si>
  <si>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</si>
  <si>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</si>
  <si>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</si>
  <si>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</si>
  <si>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</si>
  <si>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</si>
  <si>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</si>
  <si>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</si>
  <si>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</si>
  <si>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</si>
  <si>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</si>
  <si>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</si>
  <si>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</si>
  <si>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</si>
  <si>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</si>
  <si>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</si>
  <si>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</si>
  <si>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</si>
  <si>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</si>
  <si>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</si>
  <si>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</si>
  <si>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</si>
  <si>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</si>
  <si>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</si>
  <si>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</si>
  <si>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</si>
  <si>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</si>
  <si>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</si>
  <si>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</si>
  <si>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</si>
  <si>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</si>
  <si>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</si>
  <si>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</si>
  <si>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</si>
  <si>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</si>
  <si>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</si>
  <si>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</si>
  <si>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</si>
  <si>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</si>
  <si>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</si>
  <si>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</si>
  <si>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</si>
  <si>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</si>
  <si>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</si>
  <si>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</si>
  <si>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</si>
  <si>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</si>
  <si>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</si>
  <si>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</si>
  <si>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</si>
  <si>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</si>
  <si>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</si>
  <si>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</si>
  <si>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</si>
  <si>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</si>
  <si>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</si>
  <si>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</si>
  <si>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</si>
  <si>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</si>
  <si>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</si>
  <si>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</si>
  <si>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</si>
  <si>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</si>
  <si>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</si>
  <si>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</si>
  <si>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</si>
  <si>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</si>
  <si>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</si>
  <si>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</si>
  <si>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</si>
  <si>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</si>
  <si>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</si>
  <si>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</si>
  <si>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</si>
  <si>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</si>
  <si>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</si>
  <si>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</si>
  <si>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</si>
  <si>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</si>
  <si>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</si>
  <si>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</si>
  <si>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</si>
  <si>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</si>
  <si>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</si>
  <si>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</si>
  <si>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</si>
  <si>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</si>
  <si>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</si>
  <si>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</si>
  <si>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</si>
  <si>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</si>
  <si>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</si>
  <si>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</si>
  <si>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</si>
  <si>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</si>
  <si>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</si>
  <si>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</si>
  <si>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</si>
  <si>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</si>
  <si>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</si>
  <si>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</si>
  <si>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</si>
  <si>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</si>
  <si>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</si>
  <si>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</si>
  <si>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</si>
  <si>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</si>
  <si>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</si>
  <si>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</si>
  <si>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</si>
  <si>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</si>
  <si>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</si>
  <si>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</si>
  <si>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</si>
  <si>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</si>
  <si>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</si>
  <si>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</si>
  <si>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</si>
  <si>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</si>
  <si>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</si>
  <si>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</si>
  <si>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</si>
  <si>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</si>
  <si>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</si>
  <si>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</si>
  <si>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</si>
  <si>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</si>
  <si>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</si>
  <si>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</si>
  <si>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</si>
  <si>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</si>
  <si>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</si>
  <si>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</si>
  <si>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</si>
  <si>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</si>
  <si>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</si>
  <si>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</si>
  <si>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</si>
  <si>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</si>
  <si>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</si>
  <si>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</si>
  <si>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</si>
  <si>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</si>
  <si>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</si>
  <si>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</si>
  <si>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</si>
  <si>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</si>
  <si>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</si>
  <si>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</si>
  <si>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</si>
  <si>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</si>
  <si>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</si>
  <si>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</si>
  <si>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</si>
  <si>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</si>
  <si>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</si>
  <si>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</si>
  <si>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</si>
  <si>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</si>
  <si>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</si>
  <si>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</si>
  <si>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</si>
  <si>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</si>
  <si>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</si>
  <si>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</si>
  <si>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</si>
  <si>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</si>
  <si>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</si>
  <si>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</si>
  <si>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</si>
  <si>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</si>
  <si>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</si>
  <si>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</si>
  <si>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</si>
  <si>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</si>
  <si>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</si>
  <si>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</si>
  <si>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</si>
  <si>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</si>
  <si>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</si>
  <si>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</si>
  <si>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</si>
  <si>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</si>
  <si>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</si>
  <si>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</si>
  <si>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</si>
  <si>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</si>
  <si>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</si>
  <si>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</si>
  <si>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</si>
  <si>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</si>
  <si>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</si>
  <si>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</si>
  <si>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</si>
  <si>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</si>
  <si>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</si>
  <si>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</si>
  <si>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</si>
  <si>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</si>
  <si>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</si>
  <si>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</si>
  <si>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</si>
  <si>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</si>
  <si>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</si>
  <si>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</si>
  <si>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</si>
  <si>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</si>
  <si>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</si>
  <si>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</si>
  <si>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</si>
  <si>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</si>
  <si>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</si>
  <si>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</si>
  <si>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</si>
  <si>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</si>
  <si>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</si>
  <si>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</si>
  <si>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</si>
  <si>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</si>
  <si>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</si>
  <si>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</si>
  <si>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</si>
  <si>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</si>
  <si>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</si>
  <si>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</si>
  <si>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</si>
  <si>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</si>
  <si>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</si>
  <si>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</si>
  <si>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</si>
  <si>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</si>
  <si>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</si>
  <si>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</si>
  <si>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</si>
  <si>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</si>
  <si>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</si>
  <si>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</si>
  <si>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</si>
  <si>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</si>
  <si>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</si>
  <si>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</si>
  <si>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</si>
  <si>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</si>
  <si>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</si>
  <si>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</si>
  <si>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</si>
  <si>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</si>
  <si>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</si>
  <si>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</si>
  <si>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</si>
  <si>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</si>
  <si>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</si>
  <si>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</si>
  <si>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</si>
  <si>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</si>
  <si>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</si>
  <si>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</si>
  <si>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</si>
  <si>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</si>
  <si>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</si>
  <si>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</si>
  <si>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</si>
  <si>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</si>
  <si>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</si>
  <si>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</si>
  <si>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</si>
  <si>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</si>
  <si>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</si>
  <si>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</si>
  <si>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</si>
  <si>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</si>
  <si>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</si>
  <si>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</si>
  <si>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</si>
  <si>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</si>
  <si>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</si>
  <si>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</si>
  <si>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</si>
  <si>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</si>
  <si>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</si>
  <si>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</si>
  <si>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</si>
  <si>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</si>
  <si>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</si>
  <si>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</si>
  <si>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</si>
  <si>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</si>
  <si>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</si>
  <si>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</si>
  <si>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</si>
  <si>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</si>
  <si>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</si>
  <si>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</si>
  <si>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</si>
  <si>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</si>
  <si>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</si>
  <si>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</si>
  <si>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</si>
  <si>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</si>
  <si>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</si>
  <si>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</si>
  <si>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</si>
  <si>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</si>
  <si>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</si>
  <si>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</si>
  <si>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</si>
  <si>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</si>
  <si>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</si>
  <si>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</si>
  <si>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</si>
  <si>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</si>
  <si>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</si>
  <si>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</si>
  <si>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</si>
  <si>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</si>
  <si>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</si>
  <si>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</si>
  <si>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</si>
  <si>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</si>
  <si>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</si>
  <si>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</si>
  <si>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</si>
  <si>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</si>
  <si>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</si>
  <si>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</si>
  <si>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</si>
  <si>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</si>
  <si>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</si>
  <si>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</si>
  <si>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</si>
  <si>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</si>
  <si>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</si>
  <si>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</si>
  <si>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</si>
  <si>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</si>
  <si>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</si>
  <si>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</si>
  <si>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</si>
  <si>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</si>
  <si>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</si>
  <si>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</si>
  <si>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</si>
  <si>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</si>
  <si>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</si>
  <si>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</si>
  <si>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</si>
  <si>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</si>
  <si>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</si>
  <si>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</si>
  <si>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</si>
  <si>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</si>
  <si>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</si>
  <si>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</si>
  <si>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</si>
  <si>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</si>
  <si>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</si>
  <si>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</si>
  <si>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</si>
  <si>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</si>
  <si>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</si>
  <si>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</si>
  <si>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</si>
  <si>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</si>
  <si>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</si>
  <si>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</si>
  <si>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</si>
  <si>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</si>
  <si>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</si>
  <si>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</si>
  <si>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</si>
  <si>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</si>
  <si>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</si>
  <si>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</si>
  <si>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</si>
  <si>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</si>
  <si>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</si>
  <si>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</si>
  <si>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</si>
  <si>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</si>
  <si>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</si>
  <si>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</si>
  <si>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</si>
  <si>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</si>
  <si>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</si>
  <si>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</si>
  <si>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</si>
  <si>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</si>
  <si>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</si>
  <si>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</si>
  <si>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</si>
  <si>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</si>
  <si>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</si>
  <si>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</si>
  <si>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</si>
  <si>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</si>
  <si>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</si>
  <si>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</si>
  <si>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</si>
  <si>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</si>
  <si>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</si>
  <si>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</si>
  <si>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</si>
  <si>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</si>
  <si>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</si>
  <si>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</si>
  <si>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</si>
  <si>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</si>
  <si>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</si>
  <si>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</si>
  <si>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</si>
  <si>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</si>
  <si>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</si>
  <si>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</si>
  <si>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</si>
  <si>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</si>
  <si>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</si>
  <si>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</si>
  <si>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</si>
  <si>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</si>
  <si>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</si>
  <si>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</si>
  <si>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</si>
  <si>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</si>
  <si>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</si>
  <si>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</si>
  <si>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</si>
  <si>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</si>
  <si>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</si>
  <si>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</si>
  <si>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</si>
  <si>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</si>
  <si>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</si>
  <si>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</si>
  <si>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</si>
  <si>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</si>
  <si>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</si>
  <si>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</si>
  <si>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</si>
  <si>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</si>
  <si>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</si>
  <si>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</si>
  <si>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</si>
  <si>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</si>
  <si>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</si>
  <si>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</si>
  <si>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</si>
  <si>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</si>
  <si>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</si>
  <si>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</si>
  <si>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</si>
  <si>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</si>
  <si>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</si>
  <si>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</si>
  <si>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</si>
  <si>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</si>
  <si>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</si>
  <si>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</si>
  <si>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</si>
  <si>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</si>
  <si>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</si>
  <si>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</si>
  <si>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</si>
  <si>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</si>
  <si>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</si>
  <si>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</si>
  <si>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</si>
  <si>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</si>
  <si>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</si>
  <si>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</si>
  <si>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</si>
  <si>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</si>
  <si>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</si>
  <si>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</si>
  <si>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</si>
  <si>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</si>
  <si>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</si>
  <si>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</si>
  <si>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</si>
  <si>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</si>
  <si>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</si>
  <si>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</si>
  <si>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</si>
  <si>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</si>
  <si>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</si>
  <si>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</si>
  <si>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</si>
  <si>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</si>
  <si>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</si>
  <si>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</si>
  <si>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</si>
  <si>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</si>
  <si>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</si>
  <si>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</si>
  <si>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</si>
  <si>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</si>
  <si>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</si>
  <si>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</si>
  <si>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</si>
  <si>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</si>
  <si>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</si>
  <si>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</si>
  <si>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</si>
  <si>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</si>
  <si>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</si>
  <si>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</si>
  <si>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</si>
  <si>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</si>
  <si>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</si>
  <si>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</si>
  <si>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</si>
  <si>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</si>
  <si>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</si>
  <si>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</si>
  <si>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</si>
  <si>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</si>
  <si>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</si>
  <si>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</si>
  <si>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</si>
  <si>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</si>
  <si>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</si>
  <si>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</si>
  <si>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</si>
  <si>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</si>
  <si>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</si>
  <si>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</si>
  <si>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</si>
  <si>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</si>
  <si>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</si>
  <si>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</si>
  <si>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</si>
  <si>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</si>
  <si>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</si>
  <si>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</si>
  <si>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</si>
  <si>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</si>
  <si>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</si>
  <si>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</si>
  <si>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</si>
  <si>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</si>
  <si>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</si>
  <si>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</si>
  <si>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</si>
  <si>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</si>
  <si>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</si>
  <si>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</si>
  <si>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</si>
  <si>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</si>
  <si>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</si>
  <si>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</si>
  <si>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</si>
  <si>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</si>
  <si>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</si>
  <si>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</si>
  <si>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</si>
  <si>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</si>
  <si>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</si>
  <si>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</si>
  <si>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</si>
  <si>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</si>
  <si>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</si>
  <si>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</si>
  <si>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</si>
  <si>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</si>
  <si>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</si>
  <si>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</si>
  <si>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</si>
  <si>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</si>
  <si>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</si>
  <si>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</si>
  <si>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</si>
  <si>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</si>
  <si>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</si>
  <si>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</si>
  <si>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</si>
  <si>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</si>
  <si>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</si>
  <si>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</si>
  <si>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</si>
  <si>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</si>
  <si>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</si>
  <si>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</si>
  <si>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</si>
  <si>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</si>
  <si>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</si>
  <si>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</si>
  <si>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</si>
  <si>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</si>
  <si>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</si>
  <si>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</si>
  <si>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</si>
  <si>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</si>
  <si>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</si>
  <si>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</si>
  <si>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</si>
  <si>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</si>
  <si>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</si>
  <si>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</si>
  <si>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</si>
  <si>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</si>
  <si>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</si>
  <si>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</si>
  <si>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</si>
  <si>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</si>
  <si>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</si>
  <si>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</si>
  <si>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</si>
  <si>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</si>
  <si>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</si>
  <si>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</si>
  <si>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</si>
  <si>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</si>
  <si>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</si>
  <si>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</si>
  <si>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</si>
  <si>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</si>
  <si>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</si>
  <si>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</si>
  <si>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</si>
  <si>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</si>
  <si>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</si>
  <si>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</si>
  <si>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</si>
  <si>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</si>
  <si>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</si>
  <si>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</si>
  <si>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</si>
  <si>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</si>
  <si>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</si>
  <si>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</si>
  <si>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</si>
  <si>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</si>
  <si>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</si>
  <si>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</si>
  <si>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</si>
  <si>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</si>
  <si>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</si>
  <si>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</si>
  <si>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</si>
  <si>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</si>
  <si>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</si>
  <si>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</si>
  <si>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</si>
  <si>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</si>
  <si>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</si>
  <si>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</si>
  <si>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</si>
  <si>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</si>
  <si>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</si>
  <si>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</si>
  <si>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</si>
  <si>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</si>
  <si>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</si>
  <si>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</si>
  <si>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</si>
  <si>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</si>
  <si>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</si>
  <si>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</si>
  <si>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</si>
  <si>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</si>
  <si>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</si>
  <si>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</si>
  <si>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</si>
  <si>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</si>
  <si>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</si>
  <si>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</si>
  <si>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</si>
  <si>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</si>
  <si>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</si>
  <si>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</si>
  <si>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</si>
  <si>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</si>
  <si>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</si>
  <si>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</si>
  <si>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</si>
  <si>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</si>
  <si>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</si>
  <si>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</si>
  <si>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INTER-LAKES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</si>
</sst>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49"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269</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625917</v>
      </c>
      <c r="G9" s="18"/>
      <c r="H9" s="18"/>
      <c r="I9" s="18">
        <v>3231</v>
      </c>
      <c r="J9" s="67">
        <f>SUM(I440)</f>
        <v>891754</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1961445</v>
      </c>
      <c r="G12" s="18">
        <v>516243</v>
      </c>
      <c r="H12" s="18">
        <v>526708</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13857</v>
      </c>
      <c r="G13" s="18">
        <v>43990</v>
      </c>
      <c r="H13" s="18">
        <v>92030</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3610</v>
      </c>
      <c r="G14" s="18">
        <v>10728</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23519</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2628348</v>
      </c>
      <c r="G19" s="41">
        <f>SUM(G9:G18)</f>
        <v>570961</v>
      </c>
      <c r="H19" s="41">
        <f>SUM(H9:H18)</f>
        <v>618738</v>
      </c>
      <c r="I19" s="41">
        <f>SUM(I9:I18)</f>
        <v>3231</v>
      </c>
      <c r="J19" s="41">
        <f>SUM(J9:J18)</f>
        <v>891754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1499964</v>
      </c>
      <c r="G22" s="18">
        <v>503276</v>
      </c>
      <c r="H22" s="18">
        <v>494245</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2011</v>
      </c>
      <c r="G23" s="18"/>
      <c r="H23" s="18">
        <v>2767</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53007</v>
      </c>
      <c r="G24" s="18"/>
      <c r="H24" s="18">
        <v>8740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24425</v>
      </c>
      <c r="G28" s="18"/>
      <c r="H28" s="18">
        <v>19908</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11359</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80441</v>
      </c>
      <c r="G30" s="18">
        <v>19547</v>
      </c>
      <c r="H30" s="18">
        <v>9404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1671207</v>
      </c>
      <c r="G32" s="41">
        <f>SUM(G22:G31)</f>
        <v>522823</v>
      </c>
      <c r="H32" s="41">
        <f>SUM(H22:H31)</f>
        <v>535064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300000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48138</v>
      </c>
      <c r="H48" s="18">
        <v>83674</v>
      </c>
      <c r="I48" s="18">
        <v>3231</v>
      </c>
      <c r="J48" s="13">
        <f>SUM(I460)</f>
        <v>891754</v>
      </c>
      <c r="K48" s="24" t="s">
        <v>288</v>
      </c>
      <c r="L48" s="24" t="s">
        <v>288</v>
      </c>
      <c r="M48" s="8"/>
      <c r="N48" s="266"/>
    </row>
    <row r="49" spans="1:14" s="3" customFormat="1" ht="12.2" customHeight="1" x14ac:dyDescent="0.15">
      <c r="A49" s="1" t="s">
        <v>859</v>
      </c>
      <c r="B49" s="2" t="s">
        <v>289</v>
      </c>
      <c r="C49" s="6">
        <v>34</v>
      </c>
      <c r="D49" s="2"/>
      <c r="E49" s="6">
        <v>753</v>
      </c>
      <c r="F49" s="18">
        <v>323561</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333580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957141</v>
      </c>
      <c r="G51" s="41">
        <f>SUM(G35:G50)</f>
        <v>48138</v>
      </c>
      <c r="H51" s="41">
        <f>SUM(H35:H50)</f>
        <v>83674</v>
      </c>
      <c r="I51" s="41">
        <f>SUM(I35:I50)</f>
        <v>3231</v>
      </c>
      <c r="J51" s="41">
        <f>SUM(J35:J50)</f>
        <v>891754</v>
      </c>
      <c r="K51" s="45" t="s">
        <v>288</v>
      </c>
      <c r="L51" s="45" t="s">
        <v>288</v>
      </c>
      <c r="N51" s="264"/>
    </row>
    <row r="52" spans="1:14" s="3" customFormat="1" ht="12.2" customHeight="1" thickTop="1" x14ac:dyDescent="0.15">
      <c r="A52" s="38" t="s">
        <v>455</v>
      </c>
      <c r="B52" s="39" t="s">
        <v>289</v>
      </c>
      <c r="C52" s="6">
        <v>37</v>
      </c>
      <c r="D52" s="39" t="s">
        <v>653</v>
      </c>
      <c r="E52" s="39"/>
      <c r="F52" s="41">
        <f>F51+F32</f>
        <v>2628348</v>
      </c>
      <c r="G52" s="41">
        <f>G51+G32</f>
        <v>570961</v>
      </c>
      <c r="H52" s="41">
        <f>H51+H32</f>
        <v>618738</v>
      </c>
      <c r="I52" s="41">
        <f>I51+I32</f>
        <v>3231</v>
      </c>
      <c r="J52" s="41">
        <f>J51+J32</f>
        <v>891754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19629009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19629009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1250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26139</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27389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2292</v>
      </c>
      <c r="G96" s="18"/>
      <c r="H96" s="18"/>
      <c r="I96" s="18"/>
      <c r="J96" s="18">
        <v>13129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157305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5600</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18862</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62030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300</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635</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20053</v>
      </c>
      <c r="G110" s="18"/>
      <c r="H110" s="18">
        <v>20257</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47742</v>
      </c>
      <c r="G111" s="41">
        <f>SUM(G96:G110)</f>
        <v>157305</v>
      </c>
      <c r="H111" s="41">
        <f>SUM(H96:H110)</f>
        <v>82287</v>
      </c>
      <c r="I111" s="41">
        <f>SUM(I96:I110)</f>
        <v>0</v>
      </c>
      <c r="J111" s="41">
        <f>SUM(J96:J110)</f>
        <v>13129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19704140</v>
      </c>
      <c r="G112" s="41">
        <f>G60+G111</f>
        <v>157305</v>
      </c>
      <c r="H112" s="41">
        <f>H60+H79+H94+H111</f>
        <v>82287</v>
      </c>
      <c r="I112" s="41">
        <f>I60+I111</f>
        <v>0</v>
      </c>
      <c r="J112" s="41">
        <f>J60+J111</f>
        <v>13129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5998697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5998697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98947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16754</v>
      </c>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33030</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11439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14978</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6704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134384</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160170</v>
      </c>
      <c r="G136" s="41">
        <f>SUM(G123:G135)</f>
        <v>6704</v>
      </c>
      <c r="H136" s="41">
        <f>SUM(H123:H135)</f>
        <v>149362</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6158867</v>
      </c>
      <c r="G140" s="41">
        <f>G121+SUM(G136:G137)</f>
        <v>6704</v>
      </c>
      <c r="H140" s="41">
        <f>H121+SUM(H136:H139)</f>
        <v>149362</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186774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133619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276213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2896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84926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57048</v>
      </c>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19908</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141974</v>
      </c>
      <c r="G163" s="41">
        <f>SUM(G150:G162)</f>
        <v>276213</v>
      </c>
      <c r="H163" s="41">
        <f>SUM(H150:H162)</f>
        <v>343197</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8293</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150267</v>
      </c>
      <c r="G170" s="41">
        <f>G147+G163+SUM(G164:G169)</f>
        <v>276213</v>
      </c>
      <c r="H170" s="41">
        <f>H147+H163+SUM(H164:H169)</f>
        <v>343197</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145000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145000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145000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26013274</v>
      </c>
      <c r="G194" s="47">
        <f>G112+G140+G170+G193</f>
        <v>440222</v>
      </c>
      <c r="H194" s="47">
        <f>H112+H140+H170+H193</f>
        <v>574846</v>
      </c>
      <c r="I194" s="47">
        <f>I112+I140+I170+I193</f>
        <v>0</v>
      </c>
      <c r="J194" s="47">
        <f>J112+J140+J193</f>
        <v>158129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4526224</v>
      </c>
      <c r="G198" s="18">
        <v>2027647</v>
      </c>
      <c r="H198" s="18">
        <v>35771</v>
      </c>
      <c r="I198" s="18">
        <v>79697</v>
      </c>
      <c r="J198" s="18">
        <v>9852</v>
      </c>
      <c r="K198" s="18">
        <v>135</v>
      </c>
      <c r="L198" s="19">
        <f>SUM(F198:K198)</f>
        <v>6679326</v>
      </c>
      <c r="M198" s="8"/>
      <c r="N198" s="266"/>
    </row>
    <row r="199" spans="1:14" s="3" customFormat="1" ht="12.2" customHeight="1" x14ac:dyDescent="0.15">
      <c r="A199" s="1" t="s">
        <v>439</v>
      </c>
      <c r="B199" s="2" t="s">
        <v>341</v>
      </c>
      <c r="C199" s="2" t="s">
        <v>291</v>
      </c>
      <c r="D199" s="2" t="s">
        <v>431</v>
      </c>
      <c r="E199" s="6">
        <v>1200</v>
      </c>
      <c r="F199" s="18">
        <v>1884082</v>
      </c>
      <c r="G199" s="18">
        <v>783489</v>
      </c>
      <c r="H199" s="18">
        <v>177632</v>
      </c>
      <c r="I199" s="18">
        <v>8721</v>
      </c>
      <c r="J199" s="18"/>
      <c r="K199" s="18"/>
      <c r="L199" s="19">
        <f>SUM(F199:K199)</f>
        <v>2853924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70621</v>
      </c>
      <c r="G201" s="18">
        <v>13200</v>
      </c>
      <c r="H201" s="18">
        <v>680</v>
      </c>
      <c r="I201" s="18">
        <v>4941</v>
      </c>
      <c r="J201" s="18"/>
      <c r="K201" s="18">
        <v>2470</v>
      </c>
      <c r="L201" s="19">
        <f>SUM(F201:K201)</f>
        <v>91912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709765</v>
      </c>
      <c r="G203" s="18">
        <v>345769</v>
      </c>
      <c r="H203" s="18">
        <v>138811</v>
      </c>
      <c r="I203" s="18">
        <v>5725</v>
      </c>
      <c r="J203" s="18">
        <v>648</v>
      </c>
      <c r="K203" s="18">
        <v>275</v>
      </c>
      <c r="L203" s="19">
        <f t="shared" ref="L203:L209" si="0">SUM(F203:K203)</f>
        <v>1200993</v>
      </c>
      <c r="M203" s="8"/>
      <c r="N203" s="266"/>
    </row>
    <row r="204" spans="1:14" s="3" customFormat="1" ht="12.2" customHeight="1" x14ac:dyDescent="0.15">
      <c r="A204" s="1" t="s">
        <v>443</v>
      </c>
      <c r="B204" s="2" t="s">
        <v>341</v>
      </c>
      <c r="C204" s="2" t="s">
        <v>295</v>
      </c>
      <c r="D204" s="2" t="s">
        <v>431</v>
      </c>
      <c r="E204" s="6">
        <v>2200</v>
      </c>
      <c r="F204" s="18">
        <v>412941</v>
      </c>
      <c r="G204" s="18">
        <v>230590</v>
      </c>
      <c r="H204" s="18">
        <v>143633</v>
      </c>
      <c r="I204" s="18">
        <v>159291</v>
      </c>
      <c r="J204" s="18">
        <v>205347</v>
      </c>
      <c r="K204" s="18">
        <v>280</v>
      </c>
      <c r="L204" s="19">
        <f t="shared" si="0"/>
        <v>1152082</v>
      </c>
      <c r="M204" s="8"/>
      <c r="N204" s="266"/>
    </row>
    <row r="205" spans="1:14" s="3" customFormat="1" ht="12.2" customHeight="1" x14ac:dyDescent="0.15">
      <c r="A205" s="1" t="s">
        <v>444</v>
      </c>
      <c r="B205" s="2" t="s">
        <v>341</v>
      </c>
      <c r="C205" s="2" t="s">
        <v>296</v>
      </c>
      <c r="D205" s="2" t="s">
        <v>431</v>
      </c>
      <c r="E205" s="6">
        <v>2300</v>
      </c>
      <c r="F205" s="18">
        <v>8699</v>
      </c>
      <c r="G205" s="18">
        <v>683</v>
      </c>
      <c r="H205" s="18">
        <v>699678</v>
      </c>
      <c r="I205" s="18">
        <v>6194</v>
      </c>
      <c r="J205" s="18"/>
      <c r="K205" s="18">
        <v>6519</v>
      </c>
      <c r="L205" s="19">
        <f t="shared" si="0"/>
        <v>721773</v>
      </c>
      <c r="M205" s="8"/>
      <c r="N205" s="266"/>
    </row>
    <row r="206" spans="1:14" s="3" customFormat="1" ht="12.2" customHeight="1" x14ac:dyDescent="0.15">
      <c r="A206" s="1" t="s">
        <v>445</v>
      </c>
      <c r="B206" s="2" t="s">
        <v>341</v>
      </c>
      <c r="C206" s="2" t="s">
        <v>297</v>
      </c>
      <c r="D206" s="2" t="s">
        <v>431</v>
      </c>
      <c r="E206" s="6">
        <v>2400</v>
      </c>
      <c r="F206" s="18">
        <v>461757</v>
      </c>
      <c r="G206" s="18">
        <v>237204</v>
      </c>
      <c r="H206" s="18">
        <v>38010</v>
      </c>
      <c r="I206" s="18">
        <v>2916</v>
      </c>
      <c r="J206" s="18"/>
      <c r="K206" s="18">
        <v>1328</v>
      </c>
      <c r="L206" s="19">
        <f t="shared" si="0"/>
        <v>741215</v>
      </c>
      <c r="M206" s="8"/>
      <c r="N206" s="266"/>
    </row>
    <row r="207" spans="1:14" s="3" customFormat="1" ht="12.2" customHeight="1" x14ac:dyDescent="0.15">
      <c r="A207" s="1" t="s">
        <v>446</v>
      </c>
      <c r="B207" s="2" t="s">
        <v>341</v>
      </c>
      <c r="C207" s="2" t="s">
        <v>298</v>
      </c>
      <c r="D207" s="2" t="s">
        <v>431</v>
      </c>
      <c r="E207" s="6">
        <v>2500</v>
      </c>
      <c r="F207" s="18">
        <v>8186</v>
      </c>
      <c r="G207" s="18">
        <v>626</v>
      </c>
      <c r="H207" s="18"/>
      <c r="I207" s="18">
        <v>1714</v>
      </c>
      <c r="J207" s="18">
        <v>3883</v>
      </c>
      <c r="K207" s="18"/>
      <c r="L207" s="19">
        <f t="shared" si="0"/>
        <v>14409</v>
      </c>
      <c r="M207" s="8"/>
      <c r="N207" s="266"/>
    </row>
    <row r="208" spans="1:14" s="3" customFormat="1" ht="12.2" customHeight="1" x14ac:dyDescent="0.15">
      <c r="A208" s="1" t="s">
        <v>447</v>
      </c>
      <c r="B208" s="2" t="s">
        <v>341</v>
      </c>
      <c r="C208" s="2" t="s">
        <v>299</v>
      </c>
      <c r="D208" s="2" t="s">
        <v>431</v>
      </c>
      <c r="E208" s="6">
        <v>2600</v>
      </c>
      <c r="F208" s="18">
        <v>417838</v>
      </c>
      <c r="G208" s="18">
        <v>240446</v>
      </c>
      <c r="H208" s="18">
        <v>642775</v>
      </c>
      <c r="I208" s="18">
        <v>271729</v>
      </c>
      <c r="J208" s="18">
        <v>291834</v>
      </c>
      <c r="K208" s="18">
        <v>355</v>
      </c>
      <c r="L208" s="19">
        <f t="shared" si="0"/>
        <v>1864977</v>
      </c>
      <c r="M208" s="8"/>
      <c r="N208" s="266"/>
    </row>
    <row r="209" spans="1:14" s="3" customFormat="1" ht="12.2" customHeight="1" x14ac:dyDescent="0.15">
      <c r="A209" s="1" t="s">
        <v>448</v>
      </c>
      <c r="B209" s="2" t="s">
        <v>341</v>
      </c>
      <c r="C209" s="2" t="s">
        <v>300</v>
      </c>
      <c r="D209" s="2" t="s">
        <v>431</v>
      </c>
      <c r="E209" s="6">
        <v>2700</v>
      </c>
      <c r="F209" s="18"/>
      <c r="G209" s="18"/>
      <c r="H209" s="18">
        <v>763821</v>
      </c>
      <c r="I209" s="18"/>
      <c r="J209" s="18"/>
      <c r="K209" s="18"/>
      <c r="L209" s="19">
        <f t="shared" si="0"/>
        <v>763821</v>
      </c>
      <c r="M209" s="8"/>
      <c r="N209" s="266"/>
    </row>
    <row r="210" spans="1:14" s="3" customFormat="1" ht="12.2" customHeight="1" x14ac:dyDescent="0.15">
      <c r="A210" s="1" t="s">
        <v>449</v>
      </c>
      <c r="B210" s="2" t="s">
        <v>341</v>
      </c>
      <c r="C210" s="2" t="s">
        <v>343</v>
      </c>
      <c r="D210" s="2" t="s">
        <v>431</v>
      </c>
      <c r="E210" s="6">
        <v>2800</v>
      </c>
      <c r="F210" s="18"/>
      <c r="G210" s="18">
        <v>781346</v>
      </c>
      <c r="H210" s="18"/>
      <c r="I210" s="18"/>
      <c r="J210" s="18"/>
      <c r="K210" s="18"/>
      <c r="L210" s="19">
        <f>SUM(F210:K210)</f>
        <v>781346</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8500113</v>
      </c>
      <c r="G212" s="41">
        <f t="shared" si="1"/>
        <v>4661000</v>
      </c>
      <c r="H212" s="41">
        <f t="shared" si="1"/>
        <v>2640811</v>
      </c>
      <c r="I212" s="41">
        <f t="shared" si="1"/>
        <v>540928</v>
      </c>
      <c r="J212" s="41">
        <f t="shared" si="1"/>
        <v>511564</v>
      </c>
      <c r="K212" s="41">
        <f t="shared" si="1"/>
        <v>11362</v>
      </c>
      <c r="L212" s="41">
        <f t="shared" si="1"/>
        <v>16865778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1882836</v>
      </c>
      <c r="G234" s="18">
        <v>844169</v>
      </c>
      <c r="H234" s="18">
        <v>22627</v>
      </c>
      <c r="I234" s="18">
        <v>45474</v>
      </c>
      <c r="J234" s="18">
        <v>12564</v>
      </c>
      <c r="K234" s="18"/>
      <c r="L234" s="19">
        <f>SUM(F234:K234)</f>
        <v>2807670</v>
      </c>
      <c r="M234" s="8"/>
      <c r="N234" s="266"/>
    </row>
    <row r="235" spans="1:14" s="3" customFormat="1" ht="12.2" customHeight="1" x14ac:dyDescent="0.15">
      <c r="A235" s="1" t="s">
        <v>439</v>
      </c>
      <c r="B235" s="2" t="s">
        <v>350</v>
      </c>
      <c r="C235" s="2" t="s">
        <v>291</v>
      </c>
      <c r="D235" s="2" t="s">
        <v>431</v>
      </c>
      <c r="E235" s="6">
        <v>1200</v>
      </c>
      <c r="F235" s="18">
        <v>707636</v>
      </c>
      <c r="G235" s="18">
        <v>288826</v>
      </c>
      <c r="H235" s="18">
        <v>105770</v>
      </c>
      <c r="I235" s="18">
        <v>3697</v>
      </c>
      <c r="J235" s="18"/>
      <c r="K235" s="18"/>
      <c r="L235" s="19">
        <f>SUM(F235:K235)</f>
        <v>1105929</v>
      </c>
      <c r="M235" s="8"/>
      <c r="N235" s="266"/>
    </row>
    <row r="236" spans="1:14" s="3" customFormat="1" ht="12.2" customHeight="1" x14ac:dyDescent="0.15">
      <c r="A236" s="1" t="s">
        <v>440</v>
      </c>
      <c r="B236" s="2" t="s">
        <v>350</v>
      </c>
      <c r="C236" s="2" t="s">
        <v>292</v>
      </c>
      <c r="D236" s="2" t="s">
        <v>431</v>
      </c>
      <c r="E236" s="6">
        <v>1300</v>
      </c>
      <c r="F236" s="18"/>
      <c r="G236" s="18"/>
      <c r="H236" s="18">
        <v>93624</v>
      </c>
      <c r="I236" s="18"/>
      <c r="J236" s="18"/>
      <c r="K236" s="18"/>
      <c r="L236" s="19">
        <f>SUM(F236:K236)</f>
        <v>93624</v>
      </c>
      <c r="M236" s="8"/>
      <c r="N236" s="266"/>
    </row>
    <row r="237" spans="1:14" s="3" customFormat="1" ht="12.2" customHeight="1" x14ac:dyDescent="0.15">
      <c r="A237" s="1" t="s">
        <v>441</v>
      </c>
      <c r="B237" s="2" t="s">
        <v>350</v>
      </c>
      <c r="C237" s="2" t="s">
        <v>293</v>
      </c>
      <c r="D237" s="2" t="s">
        <v>431</v>
      </c>
      <c r="E237" s="6">
        <v>1400</v>
      </c>
      <c r="F237" s="18">
        <v>197690</v>
      </c>
      <c r="G237" s="18">
        <v>46097</v>
      </c>
      <c r="H237" s="18">
        <v>93308</v>
      </c>
      <c r="I237" s="18">
        <v>15075</v>
      </c>
      <c r="J237" s="18">
        <v>4953</v>
      </c>
      <c r="K237" s="18">
        <v>12545</v>
      </c>
      <c r="L237" s="19">
        <f>SUM(F237:K237)</f>
        <v>369668</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315840</v>
      </c>
      <c r="G239" s="18">
        <v>159058</v>
      </c>
      <c r="H239" s="18">
        <v>84004</v>
      </c>
      <c r="I239" s="18">
        <v>6725</v>
      </c>
      <c r="J239" s="18"/>
      <c r="K239" s="18">
        <v>204</v>
      </c>
      <c r="L239" s="19">
        <f t="shared" ref="L239:L245" si="4">SUM(F239:K239)</f>
        <v>565831</v>
      </c>
      <c r="M239" s="8"/>
      <c r="N239" s="266"/>
    </row>
    <row r="240" spans="1:14" s="3" customFormat="1" ht="12.2" customHeight="1" x14ac:dyDescent="0.15">
      <c r="A240" s="1" t="s">
        <v>443</v>
      </c>
      <c r="B240" s="2" t="s">
        <v>350</v>
      </c>
      <c r="C240" s="2" t="s">
        <v>295</v>
      </c>
      <c r="D240" s="2" t="s">
        <v>431</v>
      </c>
      <c r="E240" s="6">
        <v>2200</v>
      </c>
      <c r="F240" s="18">
        <v>236775</v>
      </c>
      <c r="G240" s="18">
        <v>115294</v>
      </c>
      <c r="H240" s="18">
        <v>61658</v>
      </c>
      <c r="I240" s="18">
        <v>76117</v>
      </c>
      <c r="J240" s="18">
        <v>88377</v>
      </c>
      <c r="K240" s="18">
        <v>727</v>
      </c>
      <c r="L240" s="19">
        <f t="shared" si="4"/>
        <v>578948</v>
      </c>
      <c r="M240" s="8"/>
      <c r="N240" s="266"/>
    </row>
    <row r="241" spans="1:14" s="3" customFormat="1" ht="12.2" customHeight="1" x14ac:dyDescent="0.15">
      <c r="A241" s="1" t="s">
        <v>444</v>
      </c>
      <c r="B241" s="2" t="s">
        <v>350</v>
      </c>
      <c r="C241" s="2" t="s">
        <v>296</v>
      </c>
      <c r="D241" s="2" t="s">
        <v>431</v>
      </c>
      <c r="E241" s="6">
        <v>2300</v>
      </c>
      <c r="F241" s="18">
        <v>3734</v>
      </c>
      <c r="G241" s="18">
        <v>293</v>
      </c>
      <c r="H241" s="18">
        <v>300353</v>
      </c>
      <c r="I241" s="18">
        <v>2659</v>
      </c>
      <c r="J241" s="18"/>
      <c r="K241" s="18">
        <v>2798</v>
      </c>
      <c r="L241" s="19">
        <f t="shared" si="4"/>
        <v>309837</v>
      </c>
      <c r="M241" s="8"/>
      <c r="N241" s="266"/>
    </row>
    <row r="242" spans="1:14" s="3" customFormat="1" ht="12.2" customHeight="1" x14ac:dyDescent="0.15">
      <c r="A242" s="1" t="s">
        <v>445</v>
      </c>
      <c r="B242" s="2" t="s">
        <v>350</v>
      </c>
      <c r="C242" s="2" t="s">
        <v>297</v>
      </c>
      <c r="D242" s="2" t="s">
        <v>431</v>
      </c>
      <c r="E242" s="6">
        <v>2400</v>
      </c>
      <c r="F242" s="18">
        <v>447623</v>
      </c>
      <c r="G242" s="18">
        <v>206175</v>
      </c>
      <c r="H242" s="18">
        <v>41012</v>
      </c>
      <c r="I242" s="18">
        <v>4914</v>
      </c>
      <c r="J242" s="18">
        <v>4603</v>
      </c>
      <c r="K242" s="18">
        <v>11419</v>
      </c>
      <c r="L242" s="19">
        <f t="shared" si="4"/>
        <v>715746</v>
      </c>
      <c r="M242" s="8"/>
      <c r="N242" s="266"/>
    </row>
    <row r="243" spans="1:14" s="3" customFormat="1" ht="12.2" customHeight="1" x14ac:dyDescent="0.15">
      <c r="A243" s="1" t="s">
        <v>446</v>
      </c>
      <c r="B243" s="2" t="s">
        <v>350</v>
      </c>
      <c r="C243" s="2" t="s">
        <v>298</v>
      </c>
      <c r="D243" s="2" t="s">
        <v>431</v>
      </c>
      <c r="E243" s="6">
        <v>2500</v>
      </c>
      <c r="F243" s="18">
        <v>3514</v>
      </c>
      <c r="G243" s="18">
        <v>269</v>
      </c>
      <c r="H243" s="18"/>
      <c r="I243" s="18">
        <v>736</v>
      </c>
      <c r="J243" s="18">
        <v>1667</v>
      </c>
      <c r="K243" s="18"/>
      <c r="L243" s="19">
        <f t="shared" si="4"/>
        <v>6186</v>
      </c>
      <c r="M243" s="8"/>
      <c r="N243" s="266"/>
    </row>
    <row r="244" spans="1:14" s="3" customFormat="1" ht="12.2" customHeight="1" x14ac:dyDescent="0.15">
      <c r="A244" s="1" t="s">
        <v>447</v>
      </c>
      <c r="B244" s="2" t="s">
        <v>350</v>
      </c>
      <c r="C244" s="2" t="s">
        <v>299</v>
      </c>
      <c r="D244" s="2" t="s">
        <v>431</v>
      </c>
      <c r="E244" s="6">
        <v>2600</v>
      </c>
      <c r="F244" s="18">
        <v>239261</v>
      </c>
      <c r="G244" s="18">
        <v>174241</v>
      </c>
      <c r="H244" s="18">
        <v>404985</v>
      </c>
      <c r="I244" s="18">
        <v>153989</v>
      </c>
      <c r="J244" s="18">
        <v>62871</v>
      </c>
      <c r="K244" s="18">
        <v>152</v>
      </c>
      <c r="L244" s="19">
        <f t="shared" si="4"/>
        <v>1035499</v>
      </c>
      <c r="M244" s="8"/>
      <c r="N244" s="266"/>
    </row>
    <row r="245" spans="1:14" s="3" customFormat="1" ht="12.2" customHeight="1" x14ac:dyDescent="0.15">
      <c r="A245" s="1" t="s">
        <v>448</v>
      </c>
      <c r="B245" s="2" t="s">
        <v>350</v>
      </c>
      <c r="C245" s="2" t="s">
        <v>300</v>
      </c>
      <c r="D245" s="2" t="s">
        <v>431</v>
      </c>
      <c r="E245" s="6">
        <v>2700</v>
      </c>
      <c r="F245" s="18"/>
      <c r="G245" s="18"/>
      <c r="H245" s="18">
        <v>536709</v>
      </c>
      <c r="I245" s="18"/>
      <c r="J245" s="18"/>
      <c r="K245" s="18"/>
      <c r="L245" s="19">
        <f t="shared" si="4"/>
        <v>536709</v>
      </c>
      <c r="M245" s="8"/>
      <c r="N245" s="266"/>
    </row>
    <row r="246" spans="1:14" s="3" customFormat="1" ht="12.2" customHeight="1" x14ac:dyDescent="0.15">
      <c r="A246" s="1" t="s">
        <v>449</v>
      </c>
      <c r="B246" s="2" t="s">
        <v>350</v>
      </c>
      <c r="C246" s="2" t="s">
        <v>343</v>
      </c>
      <c r="D246" s="2" t="s">
        <v>431</v>
      </c>
      <c r="E246" s="6">
        <v>2800</v>
      </c>
      <c r="F246" s="18"/>
      <c r="G246" s="18">
        <v>335411</v>
      </c>
      <c r="H246" s="18"/>
      <c r="I246" s="18"/>
      <c r="J246" s="18"/>
      <c r="K246" s="18"/>
      <c r="L246" s="19">
        <f>SUM(F246:K246)</f>
        <v>335411</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4034909</v>
      </c>
      <c r="G248" s="41">
        <f t="shared" si="5"/>
        <v>2169833</v>
      </c>
      <c r="H248" s="41">
        <f t="shared" si="5"/>
        <v>1744050</v>
      </c>
      <c r="I248" s="41">
        <f t="shared" si="5"/>
        <v>309386</v>
      </c>
      <c r="J248" s="41">
        <f t="shared" si="5"/>
        <v>175035</v>
      </c>
      <c r="K248" s="41">
        <f t="shared" si="5"/>
        <v>27845</v>
      </c>
      <c r="L248" s="41">
        <f t="shared" si="5"/>
        <v>8461058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12535022</v>
      </c>
      <c r="G258" s="41">
        <f t="shared" si="8"/>
        <v>6830833</v>
      </c>
      <c r="H258" s="41">
        <f t="shared" si="8"/>
        <v>4384861</v>
      </c>
      <c r="I258" s="41">
        <f t="shared" si="8"/>
        <v>850314</v>
      </c>
      <c r="J258" s="41">
        <f t="shared" si="8"/>
        <v>686599</v>
      </c>
      <c r="K258" s="41">
        <f t="shared" si="8"/>
        <v>39207</v>
      </c>
      <c r="L258" s="41">
        <f t="shared" si="8"/>
        <v>25326836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145000</v>
      </c>
      <c r="L267" s="19">
        <f t="shared" si="9"/>
        <v>145000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145000</v>
      </c>
      <c r="L271" s="41">
        <f t="shared" si="9"/>
        <v>145000</v>
      </c>
      <c r="M271" s="8"/>
      <c r="N271" s="266"/>
    </row>
    <row r="272" spans="1:14" s="34" customFormat="1" ht="12.2" customHeight="1" thickTop="1" x14ac:dyDescent="0.2">
      <c r="A272" s="43" t="s">
        <v>464</v>
      </c>
      <c r="B272" s="40">
        <v>10</v>
      </c>
      <c r="C272" s="40">
        <v>18</v>
      </c>
      <c r="D272" s="39" t="s">
        <v>431</v>
      </c>
      <c r="E272" s="40"/>
      <c r="F272" s="42">
        <f t="shared" ref="F272:L272" si="11">F258+F271</f>
        <v>12535022</v>
      </c>
      <c r="G272" s="42">
        <f t="shared" si="11"/>
        <v>6830833</v>
      </c>
      <c r="H272" s="42">
        <f t="shared" si="11"/>
        <v>4384861</v>
      </c>
      <c r="I272" s="42">
        <f t="shared" si="11"/>
        <v>850314</v>
      </c>
      <c r="J272" s="42">
        <f t="shared" si="11"/>
        <v>686599</v>
      </c>
      <c r="K272" s="42">
        <f t="shared" si="11"/>
        <v>184207</v>
      </c>
      <c r="L272" s="42">
        <f t="shared" si="11"/>
        <v>25471836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137598</v>
      </c>
      <c r="G277" s="18">
        <v>64663</v>
      </c>
      <c r="H277" s="18">
        <v>920</v>
      </c>
      <c r="I277" s="18">
        <v>13011</v>
      </c>
      <c r="J277" s="18">
        <v>12654</v>
      </c>
      <c r="K277" s="18"/>
      <c r="L277" s="19">
        <f>SUM(F277:K277)</f>
        <v>228846</v>
      </c>
      <c r="M277" s="8"/>
      <c r="N277" s="266"/>
    </row>
    <row r="278" spans="1:14" s="3" customFormat="1" ht="12.2" customHeight="1" x14ac:dyDescent="0.15">
      <c r="A278" s="1" t="s">
        <v>439</v>
      </c>
      <c r="B278" s="2" t="s">
        <v>357</v>
      </c>
      <c r="C278" s="2" t="s">
        <v>291</v>
      </c>
      <c r="D278" s="2" t="s">
        <v>431</v>
      </c>
      <c r="E278" s="6">
        <v>1200</v>
      </c>
      <c r="F278" s="18">
        <v>16031</v>
      </c>
      <c r="G278" s="18">
        <v>3877</v>
      </c>
      <c r="H278" s="18"/>
      <c r="I278" s="18">
        <v>180</v>
      </c>
      <c r="J278" s="18">
        <v>1847</v>
      </c>
      <c r="K278" s="18"/>
      <c r="L278" s="19">
        <f>SUM(F278:K278)</f>
        <v>21935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31120</v>
      </c>
      <c r="G283" s="18">
        <v>5155</v>
      </c>
      <c r="H283" s="18">
        <v>37092</v>
      </c>
      <c r="I283" s="18">
        <v>1103</v>
      </c>
      <c r="J283" s="18">
        <v>2063</v>
      </c>
      <c r="K283" s="18"/>
      <c r="L283" s="19">
        <f t="shared" si="12"/>
        <v>76533</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16134</v>
      </c>
      <c r="L284" s="19">
        <f t="shared" si="12"/>
        <v>16134</v>
      </c>
      <c r="M284" s="8"/>
      <c r="N284" s="266"/>
    </row>
    <row r="285" spans="1:14" s="3" customFormat="1" ht="12.2" customHeight="1" x14ac:dyDescent="0.15">
      <c r="A285" s="1" t="s">
        <v>445</v>
      </c>
      <c r="B285" s="2" t="s">
        <v>357</v>
      </c>
      <c r="C285" s="2" t="s">
        <v>297</v>
      </c>
      <c r="D285" s="2" t="s">
        <v>431</v>
      </c>
      <c r="E285" s="6">
        <v>2400</v>
      </c>
      <c r="F285" s="18">
        <v>1399</v>
      </c>
      <c r="G285" s="18">
        <v>313</v>
      </c>
      <c r="H285" s="18">
        <v>3269</v>
      </c>
      <c r="I285" s="18"/>
      <c r="J285" s="18"/>
      <c r="K285" s="18"/>
      <c r="L285" s="19">
        <f t="shared" si="12"/>
        <v>4981</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v>94023</v>
      </c>
      <c r="K287" s="18"/>
      <c r="L287" s="19">
        <f t="shared" si="12"/>
        <v>94023</v>
      </c>
      <c r="M287" s="8"/>
      <c r="N287" s="266"/>
    </row>
    <row r="288" spans="1:14" s="3" customFormat="1" ht="12.2" customHeight="1" x14ac:dyDescent="0.15">
      <c r="A288" s="1" t="s">
        <v>448</v>
      </c>
      <c r="B288" s="2" t="s">
        <v>357</v>
      </c>
      <c r="C288" s="2" t="s">
        <v>300</v>
      </c>
      <c r="D288" s="2" t="s">
        <v>431</v>
      </c>
      <c r="E288" s="6">
        <v>2700</v>
      </c>
      <c r="F288" s="18"/>
      <c r="G288" s="18"/>
      <c r="H288" s="18">
        <v>2358</v>
      </c>
      <c r="I288" s="18"/>
      <c r="J288" s="18"/>
      <c r="K288" s="18"/>
      <c r="L288" s="19">
        <f t="shared" si="12"/>
        <v>2358</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186148</v>
      </c>
      <c r="G291" s="42">
        <f t="shared" si="13"/>
        <v>74008</v>
      </c>
      <c r="H291" s="42">
        <f t="shared" si="13"/>
        <v>43639</v>
      </c>
      <c r="I291" s="42">
        <f t="shared" si="13"/>
        <v>14294</v>
      </c>
      <c r="J291" s="42">
        <f t="shared" si="13"/>
        <v>110587</v>
      </c>
      <c r="K291" s="42">
        <f t="shared" si="13"/>
        <v>16134</v>
      </c>
      <c r="L291" s="41">
        <f t="shared" si="13"/>
        <v>444810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647</v>
      </c>
      <c r="G315" s="18"/>
      <c r="H315" s="18">
        <v>3150</v>
      </c>
      <c r="I315" s="18">
        <v>7841</v>
      </c>
      <c r="J315" s="18">
        <v>17177</v>
      </c>
      <c r="K315" s="18"/>
      <c r="L315" s="19">
        <f>SUM(F315:K315)</f>
        <v>28815</v>
      </c>
      <c r="M315" s="8"/>
      <c r="N315" s="266"/>
    </row>
    <row r="316" spans="1:14" s="3" customFormat="1" ht="12.2" customHeight="1" x14ac:dyDescent="0.15">
      <c r="A316" s="1" t="s">
        <v>439</v>
      </c>
      <c r="B316" s="2" t="s">
        <v>359</v>
      </c>
      <c r="C316" s="2" t="s">
        <v>291</v>
      </c>
      <c r="D316" s="2" t="s">
        <v>431</v>
      </c>
      <c r="E316" s="6">
        <v>1200</v>
      </c>
      <c r="F316" s="18"/>
      <c r="G316" s="18"/>
      <c r="H316" s="18"/>
      <c r="I316" s="18">
        <v>77</v>
      </c>
      <c r="J316" s="18">
        <v>793</v>
      </c>
      <c r="K316" s="18"/>
      <c r="L316" s="19">
        <f>SUM(F316:K316)</f>
        <v>870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v>11298</v>
      </c>
      <c r="G321" s="18">
        <v>1852</v>
      </c>
      <c r="H321" s="18">
        <v>15922</v>
      </c>
      <c r="I321" s="18">
        <v>437</v>
      </c>
      <c r="J321" s="18">
        <v>886</v>
      </c>
      <c r="K321" s="18"/>
      <c r="L321" s="19">
        <f t="shared" si="16"/>
        <v>30395</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v>1801</v>
      </c>
      <c r="L322" s="19">
        <f t="shared" si="16"/>
        <v>1801</v>
      </c>
      <c r="M322" s="8"/>
      <c r="N322" s="266"/>
    </row>
    <row r="323" spans="1:14" s="3" customFormat="1" ht="12.2" customHeight="1" x14ac:dyDescent="0.15">
      <c r="A323" s="1" t="s">
        <v>445</v>
      </c>
      <c r="B323" s="2" t="s">
        <v>359</v>
      </c>
      <c r="C323" s="2" t="s">
        <v>297</v>
      </c>
      <c r="D323" s="2" t="s">
        <v>431</v>
      </c>
      <c r="E323" s="6">
        <v>2400</v>
      </c>
      <c r="F323" s="18">
        <v>601</v>
      </c>
      <c r="G323" s="18">
        <v>134</v>
      </c>
      <c r="H323" s="18"/>
      <c r="I323" s="18"/>
      <c r="J323" s="18"/>
      <c r="K323" s="18"/>
      <c r="L323" s="19">
        <f t="shared" si="16"/>
        <v>735</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v>40360</v>
      </c>
      <c r="K325" s="18"/>
      <c r="L325" s="19">
        <f t="shared" si="16"/>
        <v>40360</v>
      </c>
      <c r="M325" s="8"/>
      <c r="N325" s="266"/>
    </row>
    <row r="326" spans="1:14" s="3" customFormat="1" ht="12.2" customHeight="1" x14ac:dyDescent="0.15">
      <c r="A326" s="1" t="s">
        <v>448</v>
      </c>
      <c r="B326" s="2" t="s">
        <v>359</v>
      </c>
      <c r="C326" s="2" t="s">
        <v>300</v>
      </c>
      <c r="D326" s="2" t="s">
        <v>431</v>
      </c>
      <c r="E326" s="6">
        <v>2700</v>
      </c>
      <c r="F326" s="18"/>
      <c r="G326" s="18"/>
      <c r="H326" s="18">
        <v>1012</v>
      </c>
      <c r="I326" s="18"/>
      <c r="J326" s="18"/>
      <c r="K326" s="18"/>
      <c r="L326" s="19">
        <f t="shared" si="16"/>
        <v>1012</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12546</v>
      </c>
      <c r="G329" s="42">
        <f t="shared" si="17"/>
        <v>1986</v>
      </c>
      <c r="H329" s="42">
        <f t="shared" si="17"/>
        <v>20084</v>
      </c>
      <c r="I329" s="42">
        <f t="shared" si="17"/>
        <v>8355</v>
      </c>
      <c r="J329" s="42">
        <f t="shared" si="17"/>
        <v>59216</v>
      </c>
      <c r="K329" s="42">
        <f t="shared" si="17"/>
        <v>1801</v>
      </c>
      <c r="L329" s="41">
        <f t="shared" si="17"/>
        <v>103988</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198694</v>
      </c>
      <c r="G339" s="41">
        <f t="shared" si="20"/>
        <v>75994</v>
      </c>
      <c r="H339" s="41">
        <f t="shared" si="20"/>
        <v>63723</v>
      </c>
      <c r="I339" s="41">
        <f t="shared" si="20"/>
        <v>22649</v>
      </c>
      <c r="J339" s="41">
        <f t="shared" si="20"/>
        <v>169803</v>
      </c>
      <c r="K339" s="41">
        <f t="shared" si="20"/>
        <v>17935</v>
      </c>
      <c r="L339" s="41">
        <f t="shared" si="20"/>
        <v>548798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198694</v>
      </c>
      <c r="G353" s="41">
        <f>G339</f>
        <v>75994</v>
      </c>
      <c r="H353" s="41">
        <f>H339</f>
        <v>63723</v>
      </c>
      <c r="I353" s="41">
        <f>I339</f>
        <v>22649</v>
      </c>
      <c r="J353" s="41">
        <f>J339</f>
        <v>169803</v>
      </c>
      <c r="K353" s="47">
        <f>K339+K352</f>
        <v>17935</v>
      </c>
      <c r="L353" s="41">
        <f>L339+L352</f>
        <v>548798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291184</v>
      </c>
      <c r="I359" s="18"/>
      <c r="J359" s="18"/>
      <c r="K359" s="18">
        <v>2516</v>
      </c>
      <c r="L359" s="13">
        <f>SUM(F359:K359)</f>
        <v>293700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v>124998</v>
      </c>
      <c r="I361" s="18"/>
      <c r="J361" s="18"/>
      <c r="K361" s="18">
        <v>1080</v>
      </c>
      <c r="L361" s="19">
        <f>SUM(F361:K361)</f>
        <v>126078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416182</v>
      </c>
      <c r="I363" s="47">
        <f t="shared" si="22"/>
        <v>0</v>
      </c>
      <c r="J363" s="47">
        <f t="shared" si="22"/>
        <v>0</v>
      </c>
      <c r="K363" s="47">
        <f t="shared" si="22"/>
        <v>3596</v>
      </c>
      <c r="L363" s="47">
        <f t="shared" si="22"/>
        <v>419778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v>20000</v>
      </c>
      <c r="H391" s="18">
        <v>305</v>
      </c>
      <c r="I391" s="18"/>
      <c r="J391" s="24" t="s">
        <v>288</v>
      </c>
      <c r="K391" s="24" t="s">
        <v>288</v>
      </c>
      <c r="L391" s="56">
        <f t="shared" si="25"/>
        <v>20305</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20000</v>
      </c>
      <c r="H394" s="139">
        <f>SUM(H388:H393)</f>
        <v>305</v>
      </c>
      <c r="I394" s="65">
        <f>SUM(I388:I393)</f>
        <v>0</v>
      </c>
      <c r="J394" s="45" t="s">
        <v>288</v>
      </c>
      <c r="K394" s="45" t="s">
        <v>288</v>
      </c>
      <c r="L394" s="47">
        <f>SUM(L388:L393)</f>
        <v>20305</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v>1147</v>
      </c>
      <c r="I396" s="18"/>
      <c r="J396" s="24" t="s">
        <v>288</v>
      </c>
      <c r="K396" s="24" t="s">
        <v>288</v>
      </c>
      <c r="L396" s="56">
        <f t="shared" ref="L396:L401" si="26">SUM(F396:K396)</f>
        <v>1147</v>
      </c>
      <c r="M396" s="8"/>
      <c r="N396" s="266"/>
    </row>
    <row r="397" spans="1:14" s="3" customFormat="1" ht="12.2" customHeight="1" x14ac:dyDescent="0.15">
      <c r="A397" s="79" t="s">
        <v>557</v>
      </c>
      <c r="B397" s="2" t="s">
        <v>381</v>
      </c>
      <c r="C397" s="6">
        <v>9</v>
      </c>
      <c r="D397" s="2" t="s">
        <v>432</v>
      </c>
      <c r="E397" s="6"/>
      <c r="F397" s="18"/>
      <c r="G397" s="18">
        <v>100000</v>
      </c>
      <c r="H397" s="18">
        <v>7838</v>
      </c>
      <c r="I397" s="18"/>
      <c r="J397" s="24" t="s">
        <v>288</v>
      </c>
      <c r="K397" s="24" t="s">
        <v>288</v>
      </c>
      <c r="L397" s="56">
        <f t="shared" si="26"/>
        <v>107838</v>
      </c>
      <c r="M397" s="8"/>
      <c r="N397" s="266"/>
    </row>
    <row r="398" spans="1:14" s="3" customFormat="1" ht="12.2" customHeight="1" x14ac:dyDescent="0.15">
      <c r="A398" s="79" t="s">
        <v>515</v>
      </c>
      <c r="B398" s="2" t="s">
        <v>381</v>
      </c>
      <c r="C398" s="6">
        <v>10</v>
      </c>
      <c r="D398" s="2" t="s">
        <v>432</v>
      </c>
      <c r="E398" s="6"/>
      <c r="F398" s="18"/>
      <c r="G398" s="18">
        <v>25000</v>
      </c>
      <c r="H398" s="18">
        <v>3839</v>
      </c>
      <c r="I398" s="18"/>
      <c r="J398" s="24" t="s">
        <v>288</v>
      </c>
      <c r="K398" s="24" t="s">
        <v>288</v>
      </c>
      <c r="L398" s="56">
        <f t="shared" si="26"/>
        <v>28839</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125000</v>
      </c>
      <c r="H402" s="47">
        <f>SUM(H396:H401)</f>
        <v>12824</v>
      </c>
      <c r="I402" s="47">
        <f>SUM(I396:I401)</f>
        <v>0</v>
      </c>
      <c r="J402" s="45" t="s">
        <v>288</v>
      </c>
      <c r="K402" s="45" t="s">
        <v>288</v>
      </c>
      <c r="L402" s="47">
        <f>SUM(L396:L401)</f>
        <v>137824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145000</v>
      </c>
      <c r="H409" s="47">
        <f>H394+H402+H408</f>
        <v>13129</v>
      </c>
      <c r="I409" s="47">
        <f>I394+I402+I408</f>
        <v>0</v>
      </c>
      <c r="J409" s="24" t="s">
        <v>288</v>
      </c>
      <c r="K409" s="24" t="s">
        <v>288</v>
      </c>
      <c r="L409" s="47">
        <f>L394+L402+L408</f>
        <v>158129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v>891754</v>
      </c>
      <c r="I440" s="56">
        <f t="shared" ref="I440:I446" si="33">SUM(F440:H440)</f>
        <v>891754</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891754</v>
      </c>
      <c r="I447" s="13">
        <f>SUM(I440:I446)</f>
        <v>891754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v>891754</v>
      </c>
      <c r="I460" s="56">
        <f t="shared" si="34"/>
        <v>891754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891754</v>
      </c>
      <c r="I461" s="83">
        <f>SUM(I455:I460)</f>
        <v>891754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891754</v>
      </c>
      <c r="I462" s="42">
        <f>I453+I461</f>
        <v>891754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415703</v>
      </c>
      <c r="G466" s="18">
        <v>27694</v>
      </c>
      <c r="H466" s="18">
        <v>57626</v>
      </c>
      <c r="I466" s="18">
        <v>3231</v>
      </c>
      <c r="J466" s="18">
        <v>733625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26013274</v>
      </c>
      <c r="G469" s="18">
        <v>440222</v>
      </c>
      <c r="H469" s="18">
        <v>574846</v>
      </c>
      <c r="I469" s="18"/>
      <c r="J469" s="18">
        <v>158129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26013274</v>
      </c>
      <c r="G471" s="53">
        <f>SUM(G469:G470)</f>
        <v>440222</v>
      </c>
      <c r="H471" s="53">
        <f>SUM(H469:H470)</f>
        <v>574846</v>
      </c>
      <c r="I471" s="53">
        <f>SUM(I469:I470)</f>
        <v>0</v>
      </c>
      <c r="J471" s="53">
        <f>SUM(J469:J470)</f>
        <v>158129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25471836</v>
      </c>
      <c r="G473" s="18">
        <v>419778</v>
      </c>
      <c r="H473" s="18">
        <v>548798</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25471836</v>
      </c>
      <c r="G475" s="53">
        <f>SUM(G473:G474)</f>
        <v>419778</v>
      </c>
      <c r="H475" s="53">
        <f>SUM(H473:H474)</f>
        <v>548798</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957141</v>
      </c>
      <c r="G477" s="53">
        <f>(G466+G471)- G475</f>
        <v>48138</v>
      </c>
      <c r="H477" s="53">
        <f>(H466+H471)- H475</f>
        <v>83674</v>
      </c>
      <c r="I477" s="53">
        <f>(I466+I471)- I475</f>
        <v>3231</v>
      </c>
      <c r="J477" s="53">
        <f>(J466+J471)- J475</f>
        <v>891754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1900114</v>
      </c>
      <c r="G522" s="18">
        <v>787366</v>
      </c>
      <c r="H522" s="18">
        <v>177632</v>
      </c>
      <c r="I522" s="18">
        <v>8901</v>
      </c>
      <c r="J522" s="18">
        <v>1847</v>
      </c>
      <c r="K522" s="18">
        <v>0</v>
      </c>
      <c r="L522" s="88">
        <f>SUM(F522:K522)</f>
        <v>2875860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v>707636</v>
      </c>
      <c r="G524" s="18">
        <v>288826</v>
      </c>
      <c r="H524" s="18">
        <v>105770</v>
      </c>
      <c r="I524" s="18">
        <v>3739</v>
      </c>
      <c r="J524" s="18">
        <v>429</v>
      </c>
      <c r="K524" s="18"/>
      <c r="L524" s="88">
        <f>SUM(F524:K524)</f>
        <v>1106400</v>
      </c>
      <c r="N524" s="265"/>
    </row>
    <row r="525" spans="1:14" s="52" customFormat="1" ht="12.2" customHeight="1" thickTop="1" x14ac:dyDescent="0.2">
      <c r="A525" s="139" t="s">
        <v>63</v>
      </c>
      <c r="B525" s="107">
        <v>21</v>
      </c>
      <c r="C525" s="195">
        <v>4</v>
      </c>
      <c r="D525" s="196" t="s">
        <v>432</v>
      </c>
      <c r="E525" s="195"/>
      <c r="F525" s="108">
        <f>SUM(F522:F524)</f>
        <v>2607750</v>
      </c>
      <c r="G525" s="108">
        <f t="shared" ref="G525:L525" si="36">SUM(G522:G524)</f>
        <v>1076192</v>
      </c>
      <c r="H525" s="108">
        <f t="shared" si="36"/>
        <v>283402</v>
      </c>
      <c r="I525" s="108">
        <f t="shared" si="36"/>
        <v>12640</v>
      </c>
      <c r="J525" s="108">
        <f t="shared" si="36"/>
        <v>2276</v>
      </c>
      <c r="K525" s="108">
        <f t="shared" si="36"/>
        <v>0</v>
      </c>
      <c r="L525" s="89">
        <f t="shared" si="36"/>
        <v>3982260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426191</v>
      </c>
      <c r="G527" s="18">
        <v>217929</v>
      </c>
      <c r="H527" s="18">
        <v>138455</v>
      </c>
      <c r="I527" s="18">
        <v>4798</v>
      </c>
      <c r="J527" s="18">
        <v>0</v>
      </c>
      <c r="K527" s="18">
        <v>110</v>
      </c>
      <c r="L527" s="88">
        <f>SUM(F527:K527)</f>
        <v>787483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v>187415</v>
      </c>
      <c r="G529" s="18">
        <v>97803</v>
      </c>
      <c r="H529" s="18">
        <v>73796</v>
      </c>
      <c r="I529" s="18">
        <v>3415</v>
      </c>
      <c r="J529" s="18"/>
      <c r="K529" s="18">
        <v>82</v>
      </c>
      <c r="L529" s="88">
        <f>SUM(F529:K529)</f>
        <v>362511</v>
      </c>
      <c r="M529" s="8"/>
      <c r="N529" s="266"/>
    </row>
    <row r="530" spans="1:14" s="3" customFormat="1" ht="12.2" customHeight="1" thickTop="1" x14ac:dyDescent="0.15">
      <c r="A530" s="139" t="s">
        <v>65</v>
      </c>
      <c r="B530" s="107">
        <v>21</v>
      </c>
      <c r="C530" s="107">
        <v>8</v>
      </c>
      <c r="D530" s="158" t="s">
        <v>432</v>
      </c>
      <c r="E530" s="107"/>
      <c r="F530" s="89">
        <f>SUM(F527:F529)</f>
        <v>613606</v>
      </c>
      <c r="G530" s="89">
        <f t="shared" ref="G530:L530" si="37">SUM(G527:G529)</f>
        <v>315732</v>
      </c>
      <c r="H530" s="89">
        <f t="shared" si="37"/>
        <v>212251</v>
      </c>
      <c r="I530" s="89">
        <f t="shared" si="37"/>
        <v>8213</v>
      </c>
      <c r="J530" s="89">
        <f t="shared" si="37"/>
        <v>0</v>
      </c>
      <c r="K530" s="89">
        <f t="shared" si="37"/>
        <v>192</v>
      </c>
      <c r="L530" s="89">
        <f t="shared" si="37"/>
        <v>1149994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85216</v>
      </c>
      <c r="I532" s="18"/>
      <c r="J532" s="18"/>
      <c r="K532" s="18"/>
      <c r="L532" s="88">
        <f>SUM(F532:K532)</f>
        <v>85216</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36581</v>
      </c>
      <c r="I534" s="18"/>
      <c r="J534" s="18"/>
      <c r="K534" s="18"/>
      <c r="L534" s="88">
        <f>SUM(F534:K534)</f>
        <v>36581</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121797</v>
      </c>
      <c r="I535" s="89">
        <f t="shared" si="38"/>
        <v>0</v>
      </c>
      <c r="J535" s="89">
        <f t="shared" si="38"/>
        <v>0</v>
      </c>
      <c r="K535" s="89">
        <f t="shared" si="38"/>
        <v>0</v>
      </c>
      <c r="L535" s="89">
        <f t="shared" si="38"/>
        <v>121797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3038</v>
      </c>
      <c r="I537" s="18"/>
      <c r="J537" s="18"/>
      <c r="K537" s="18"/>
      <c r="L537" s="88">
        <f>SUM(F537:K537)</f>
        <v>3038</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v>1304</v>
      </c>
      <c r="I539" s="18"/>
      <c r="J539" s="18"/>
      <c r="K539" s="18"/>
      <c r="L539" s="88">
        <f>SUM(F539:K539)</f>
        <v>1304</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4342</v>
      </c>
      <c r="I540" s="89">
        <f t="shared" si="39"/>
        <v>0</v>
      </c>
      <c r="J540" s="89">
        <f t="shared" si="39"/>
        <v>0</v>
      </c>
      <c r="K540" s="89">
        <f t="shared" si="39"/>
        <v>0</v>
      </c>
      <c r="L540" s="89">
        <f t="shared" si="39"/>
        <v>4342</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143267</v>
      </c>
      <c r="I542" s="18"/>
      <c r="J542" s="18"/>
      <c r="K542" s="18"/>
      <c r="L542" s="88">
        <f>SUM(F542:K542)</f>
        <v>143267</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172571</v>
      </c>
      <c r="I544" s="18"/>
      <c r="J544" s="18"/>
      <c r="K544" s="18"/>
      <c r="L544" s="88">
        <f>SUM(F544:K544)</f>
        <v>172571</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315838</v>
      </c>
      <c r="I545" s="193">
        <f t="shared" si="40"/>
        <v>0</v>
      </c>
      <c r="J545" s="193">
        <f t="shared" si="40"/>
        <v>0</v>
      </c>
      <c r="K545" s="193">
        <f t="shared" si="40"/>
        <v>0</v>
      </c>
      <c r="L545" s="193">
        <f t="shared" si="40"/>
        <v>315838</v>
      </c>
      <c r="M545" s="8"/>
      <c r="N545" s="266"/>
    </row>
    <row r="546" spans="1:14" s="3" customFormat="1" ht="12.2" customHeight="1" thickTop="1" x14ac:dyDescent="0.15">
      <c r="A546" s="98" t="s">
        <v>72</v>
      </c>
      <c r="B546" s="107">
        <v>21</v>
      </c>
      <c r="C546" s="107">
        <v>21</v>
      </c>
      <c r="D546" s="158" t="s">
        <v>432</v>
      </c>
      <c r="E546" s="107"/>
      <c r="F546" s="89">
        <f>F525+F530+F535+F540+F545</f>
        <v>3221356</v>
      </c>
      <c r="G546" s="89">
        <f t="shared" ref="G546:L546" si="41">G525+G530+G535+G540+G545</f>
        <v>1391924</v>
      </c>
      <c r="H546" s="89">
        <f t="shared" si="41"/>
        <v>937630</v>
      </c>
      <c r="I546" s="89">
        <f t="shared" si="41"/>
        <v>20853</v>
      </c>
      <c r="J546" s="89">
        <f t="shared" si="41"/>
        <v>2276</v>
      </c>
      <c r="K546" s="89">
        <f t="shared" si="41"/>
        <v>192</v>
      </c>
      <c r="L546" s="89">
        <f t="shared" si="41"/>
        <v>5574231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2875860</v>
      </c>
      <c r="G550" s="87">
        <f>L527</f>
        <v>787483</v>
      </c>
      <c r="H550" s="87">
        <f>L532</f>
        <v>85216</v>
      </c>
      <c r="I550" s="87">
        <f>L537</f>
        <v>3038</v>
      </c>
      <c r="J550" s="87">
        <f>L542</f>
        <v>143267</v>
      </c>
      <c r="K550" s="87">
        <f>SUM(F550:J550)</f>
        <v>3894864</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1106400</v>
      </c>
      <c r="G552" s="87">
        <f>L529</f>
        <v>362511</v>
      </c>
      <c r="H552" s="87">
        <f>L534</f>
        <v>36581</v>
      </c>
      <c r="I552" s="87">
        <f>L539</f>
        <v>1304</v>
      </c>
      <c r="J552" s="87">
        <f>L544</f>
        <v>172571</v>
      </c>
      <c r="K552" s="87">
        <f>SUM(F552:J552)</f>
        <v>1679367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3982260</v>
      </c>
      <c r="G553" s="89">
        <f t="shared" si="42"/>
        <v>1149994</v>
      </c>
      <c r="H553" s="89">
        <f t="shared" si="42"/>
        <v>121797</v>
      </c>
      <c r="I553" s="89">
        <f t="shared" si="42"/>
        <v>4342</v>
      </c>
      <c r="J553" s="89">
        <f t="shared" si="42"/>
        <v>315838</v>
      </c>
      <c r="K553" s="89">
        <f t="shared" si="42"/>
        <v>5574231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34751</v>
      </c>
      <c r="G563" s="18">
        <v>12537</v>
      </c>
      <c r="H563" s="18">
        <v>31</v>
      </c>
      <c r="I563" s="18">
        <v>426</v>
      </c>
      <c r="J563" s="18"/>
      <c r="K563" s="18"/>
      <c r="L563" s="88">
        <f>SUM(F563:K563)</f>
        <v>47745</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v>14918</v>
      </c>
      <c r="G565" s="18">
        <v>5382</v>
      </c>
      <c r="H565" s="18">
        <v>14</v>
      </c>
      <c r="I565" s="18">
        <v>183</v>
      </c>
      <c r="J565" s="18"/>
      <c r="K565" s="18"/>
      <c r="L565" s="88">
        <f>SUM(F565:K565)</f>
        <v>20497</v>
      </c>
      <c r="M565" s="8"/>
      <c r="N565" s="266"/>
    </row>
    <row r="566" spans="1:14" s="3" customFormat="1" ht="12.2" customHeight="1" thickTop="1" x14ac:dyDescent="0.15">
      <c r="A566" s="139" t="s">
        <v>65</v>
      </c>
      <c r="B566" s="107">
        <v>22</v>
      </c>
      <c r="C566" s="107">
        <v>8</v>
      </c>
      <c r="D566" s="196" t="s">
        <v>432</v>
      </c>
      <c r="E566" s="107"/>
      <c r="F566" s="89">
        <f t="shared" ref="F566:L566" si="44">SUM(F563:F565)</f>
        <v>49669</v>
      </c>
      <c r="G566" s="89">
        <f t="shared" si="44"/>
        <v>17919</v>
      </c>
      <c r="H566" s="89">
        <f t="shared" si="44"/>
        <v>45</v>
      </c>
      <c r="I566" s="89">
        <f t="shared" si="44"/>
        <v>609</v>
      </c>
      <c r="J566" s="89">
        <f t="shared" si="44"/>
        <v>0</v>
      </c>
      <c r="K566" s="89">
        <f t="shared" si="44"/>
        <v>0</v>
      </c>
      <c r="L566" s="89">
        <f t="shared" si="44"/>
        <v>68242</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49669</v>
      </c>
      <c r="G572" s="89">
        <f t="shared" ref="G572:L572" si="46">G561+G566+G571</f>
        <v>17919</v>
      </c>
      <c r="H572" s="89">
        <f t="shared" si="46"/>
        <v>45</v>
      </c>
      <c r="I572" s="89">
        <f t="shared" si="46"/>
        <v>609</v>
      </c>
      <c r="J572" s="89">
        <f t="shared" si="46"/>
        <v>0</v>
      </c>
      <c r="K572" s="89">
        <f t="shared" si="46"/>
        <v>0</v>
      </c>
      <c r="L572" s="89">
        <f t="shared" si="46"/>
        <v>68242</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2082</v>
      </c>
      <c r="I576" s="87">
        <f>SUM(F576:H576)</f>
        <v>2082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36879</v>
      </c>
      <c r="I580" s="87">
        <f t="shared" si="47"/>
        <v>36879</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88885</v>
      </c>
      <c r="G583" s="18"/>
      <c r="H583" s="18">
        <v>40100</v>
      </c>
      <c r="I583" s="87">
        <f t="shared" si="47"/>
        <v>128985</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93624</v>
      </c>
      <c r="I585" s="87">
        <f t="shared" si="47"/>
        <v>93624</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578126</v>
      </c>
      <c r="I592" s="18"/>
      <c r="J592" s="18">
        <v>248174</v>
      </c>
      <c r="K592" s="104">
        <f t="shared" ref="K592:K598" si="48">SUM(H592:J592)</f>
        <v>826300</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143266</v>
      </c>
      <c r="I593" s="18"/>
      <c r="J593" s="18">
        <v>172571</v>
      </c>
      <c r="K593" s="104">
        <f t="shared" si="48"/>
        <v>315837</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56249</v>
      </c>
      <c r="K594" s="104">
        <f t="shared" si="48"/>
        <v>56249</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v>51269</v>
      </c>
      <c r="K595" s="104">
        <f t="shared" si="48"/>
        <v>51269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17843</v>
      </c>
      <c r="I596" s="18"/>
      <c r="J596" s="18">
        <v>3195</v>
      </c>
      <c r="K596" s="104">
        <f t="shared" si="48"/>
        <v>21038</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24586</v>
      </c>
      <c r="I598" s="18"/>
      <c r="J598" s="18">
        <v>5251</v>
      </c>
      <c r="K598" s="104">
        <f t="shared" si="48"/>
        <v>29837</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763821</v>
      </c>
      <c r="I599" s="108">
        <f>SUM(I592:I598)</f>
        <v>0</v>
      </c>
      <c r="J599" s="108">
        <f>SUM(J592:J598)</f>
        <v>536709</v>
      </c>
      <c r="K599" s="108">
        <f>SUM(K592:K598)</f>
        <v>1300530</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622150</v>
      </c>
      <c r="I605" s="18"/>
      <c r="J605" s="18">
        <v>234252</v>
      </c>
      <c r="K605" s="104">
        <f>SUM(H605:J605)</f>
        <v>856402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622150</v>
      </c>
      <c r="I606" s="108">
        <f>SUM(I603:I605)</f>
        <v>0</v>
      </c>
      <c r="J606" s="108">
        <f>SUM(J603:J605)</f>
        <v>234252</v>
      </c>
      <c r="K606" s="108">
        <f>SUM(K603:K605)</f>
        <v>856402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80206</v>
      </c>
      <c r="G612" s="18">
        <v>17789</v>
      </c>
      <c r="H612" s="18">
        <v>3035</v>
      </c>
      <c r="I612" s="18">
        <v>479</v>
      </c>
      <c r="J612" s="18"/>
      <c r="K612" s="18"/>
      <c r="L612" s="88">
        <f>SUM(F612:K612)</f>
        <v>101509</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v>3820</v>
      </c>
      <c r="G614" s="18">
        <v>972</v>
      </c>
      <c r="H614" s="18"/>
      <c r="I614" s="18"/>
      <c r="J614" s="18"/>
      <c r="K614" s="18"/>
      <c r="L614" s="88">
        <f>SUM(F614:K614)</f>
        <v>4792</v>
      </c>
      <c r="M614" s="8"/>
      <c r="N614" s="266"/>
    </row>
    <row r="615" spans="1:14" s="3" customFormat="1" ht="12.2" customHeight="1" thickTop="1" x14ac:dyDescent="0.15">
      <c r="A615" s="98" t="s">
        <v>340</v>
      </c>
      <c r="B615" s="107">
        <v>23</v>
      </c>
      <c r="C615" s="107">
        <v>16</v>
      </c>
      <c r="D615" s="39" t="s">
        <v>432</v>
      </c>
      <c r="E615" s="107"/>
      <c r="F615" s="108">
        <f t="shared" ref="F615:L615" si="49">SUM(F612:F614)</f>
        <v>84026</v>
      </c>
      <c r="G615" s="108">
        <f t="shared" si="49"/>
        <v>18761</v>
      </c>
      <c r="H615" s="108">
        <f t="shared" si="49"/>
        <v>3035</v>
      </c>
      <c r="I615" s="108">
        <f t="shared" si="49"/>
        <v>479</v>
      </c>
      <c r="J615" s="108">
        <f t="shared" si="49"/>
        <v>0</v>
      </c>
      <c r="K615" s="108">
        <f t="shared" si="49"/>
        <v>0</v>
      </c>
      <c r="L615" s="89">
        <f t="shared" si="49"/>
        <v>106301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2628348</v>
      </c>
      <c r="H618" s="109">
        <f>SUM(F52)</f>
        <v>2628348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570961</v>
      </c>
      <c r="H619" s="109">
        <f>SUM(G52)</f>
        <v>570961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618738</v>
      </c>
      <c r="H620" s="109">
        <f>SUM(H52)</f>
        <v>618738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3231</v>
      </c>
      <c r="H621" s="109">
        <f>SUM(I52)</f>
        <v>3231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891754</v>
      </c>
      <c r="H622" s="109">
        <f>SUM(J52)</f>
        <v>891754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957141</v>
      </c>
      <c r="H623" s="109">
        <f>F477</f>
        <v>957141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48138</v>
      </c>
      <c r="H624" s="109">
        <f>G477</f>
        <v>48138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83674</v>
      </c>
      <c r="H625" s="109">
        <f>H477</f>
        <v>83674</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3231</v>
      </c>
      <c r="H626" s="109">
        <f>I477</f>
        <v>3231</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891754</v>
      </c>
      <c r="H627" s="109">
        <f>J477</f>
        <v>891754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26013274</v>
      </c>
      <c r="H628" s="104">
        <f>SUM(F469)</f>
        <v>26013274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440222</v>
      </c>
      <c r="H629" s="104">
        <f>SUM(G469)</f>
        <v>440222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574846</v>
      </c>
      <c r="H630" s="104">
        <f>SUM(H469)</f>
        <v>574846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158129</v>
      </c>
      <c r="H632" s="104">
        <f>SUM(J469)</f>
        <v>158129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25471836</v>
      </c>
      <c r="H633" s="104">
        <f>SUM(F473)</f>
        <v>25471836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548798</v>
      </c>
      <c r="H634" s="104">
        <f>SUM(H473)</f>
        <v>548798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419778</v>
      </c>
      <c r="H636" s="104">
        <f>SUM(G473)</f>
        <v>419778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158129</v>
      </c>
      <c r="H638" s="164">
        <f>SUM(J469)</f>
        <v>158129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891754</v>
      </c>
      <c r="H642" s="104">
        <f>SUM(H462)</f>
        <v>891754</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891754</v>
      </c>
      <c r="H643" s="104">
        <f>SUM(I462)</f>
        <v>891754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13129</v>
      </c>
      <c r="H645" s="104">
        <f>H409</f>
        <v>13129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145000</v>
      </c>
      <c r="H646" s="104">
        <f>G409</f>
        <v>145000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158129</v>
      </c>
      <c r="H647" s="104">
        <f>L409</f>
        <v>158129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1300530</v>
      </c>
      <c r="H648" s="104">
        <f>L209+L227+L245</f>
        <v>1300530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856402</v>
      </c>
      <c r="H649" s="104">
        <f>(J258+J339)-(J256+J337)</f>
        <v>856402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763821</v>
      </c>
      <c r="H650" s="104">
        <f>H599</f>
        <v>763821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536709</v>
      </c>
      <c r="H652" s="104">
        <f>J599</f>
        <v>536709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145000</v>
      </c>
      <c r="H656" s="104">
        <f>K267+K348</f>
        <v>145000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17604288</v>
      </c>
      <c r="G661" s="19">
        <f>(L230+L310+L360)</f>
        <v>0</v>
      </c>
      <c r="H661" s="19">
        <f>(L248+L329+L361)</f>
        <v>8691124</v>
      </c>
      <c r="I661" s="19">
        <f>SUM(F661:H661)</f>
        <v>26295412</v>
      </c>
      <c r="J661" s="13"/>
      <c r="K661" s="13"/>
      <c r="L661" s="13"/>
      <c r="M661" s="9"/>
    </row>
    <row r="662" spans="1:13" s="3" customFormat="1" ht="12.2" customHeight="1" x14ac:dyDescent="0.2">
      <c r="A662" s="1" t="s">
        <v>127</v>
      </c>
      <c r="F662" s="19">
        <f>(L359/IF(SUM(L359:L361)=0,1,SUM(L359:L361))*(SUM(G97:G110)))</f>
        <v>110059.31349427556</v>
      </c>
      <c r="G662" s="19">
        <f>(L360/IF(SUM(L359:L361)=0,1,SUM(L359:L361))*(SUM(G97:G110)))</f>
        <v>0</v>
      </c>
      <c r="H662" s="19">
        <f>(L361/IF(SUM(L359:L361)=0,1,SUM(L359:L361))*(SUM(G97:G110)))</f>
        <v>47245.686505724458</v>
      </c>
      <c r="I662" s="19">
        <f>SUM(F662:H662)</f>
        <v>157305</v>
      </c>
      <c r="J662"/>
      <c r="K662" s="13"/>
      <c r="L662" s="13"/>
      <c r="M662" s="8"/>
    </row>
    <row r="663" spans="1:13" s="3" customFormat="1" ht="12.2" customHeight="1" x14ac:dyDescent="0.2">
      <c r="A663" s="1" t="s">
        <v>128</v>
      </c>
      <c r="F663" s="19">
        <f>(L209+L288)-(J209+J288)</f>
        <v>766179</v>
      </c>
      <c r="G663" s="19">
        <f>(L227+L307)-(J227+J307)</f>
        <v>0</v>
      </c>
      <c r="H663" s="19">
        <f>(L245+L326)-(J245+J326)</f>
        <v>537721</v>
      </c>
      <c r="I663" s="19">
        <f>SUM(F663:H663)</f>
        <v>1303900</v>
      </c>
      <c r="J663"/>
      <c r="K663" s="13"/>
      <c r="L663" s="13"/>
      <c r="M663" s="9"/>
    </row>
    <row r="664" spans="1:13" s="3" customFormat="1" ht="12.2" customHeight="1" x14ac:dyDescent="0.15">
      <c r="A664" s="198" t="s">
        <v>129</v>
      </c>
      <c r="B664" s="169"/>
      <c r="C664" s="169"/>
      <c r="D664" s="169"/>
      <c r="E664" s="169"/>
      <c r="F664" s="199">
        <f>SUM(F576:F588)+SUM(H603:H605)+SUM(L612)</f>
        <v>812544</v>
      </c>
      <c r="G664" s="199">
        <f>SUM(G576:G588)+SUM(I603:I605)+L613</f>
        <v>0</v>
      </c>
      <c r="H664" s="199">
        <f>SUM(H576:H588)+SUM(J603:J605)+L614</f>
        <v>411729</v>
      </c>
      <c r="I664" s="19">
        <f>SUM(F664:H664)</f>
        <v>1224273</v>
      </c>
      <c r="J664" s="13"/>
      <c r="K664" s="13"/>
      <c r="L664" s="13"/>
      <c r="M664" s="9"/>
    </row>
    <row r="665" spans="1:13" s="3" customFormat="1" ht="12.2" customHeight="1" x14ac:dyDescent="0.15">
      <c r="A665" s="1" t="s">
        <v>130</v>
      </c>
      <c r="F665" s="19">
        <f>F661-SUM(F662:F664)</f>
        <v>15915505.686505724</v>
      </c>
      <c r="G665" s="19">
        <f>G661-SUM(G662:G664)</f>
        <v>0</v>
      </c>
      <c r="H665" s="19">
        <f>H661-SUM(H662:H664)</f>
        <v>7694428.3134942753</v>
      </c>
      <c r="I665" s="19">
        <f>I661-SUM(I662:I664)</f>
        <v>23609934</v>
      </c>
      <c r="J665" s="13"/>
      <c r="K665" s="13"/>
      <c r="L665" s="13"/>
      <c r="M665" s="8"/>
    </row>
    <row r="666" spans="1:13" s="3" customFormat="1" ht="12.2" customHeight="1" x14ac:dyDescent="0.2">
      <c r="A666" s="1" t="s">
        <v>131</v>
      </c>
      <c r="F666" s="246">
        <f>5.89+69.39+453.73+162.12</f>
        <v>691.13</v>
      </c>
      <c r="G666" s="247"/>
      <c r="H666" s="247">
        <v>298.32</v>
      </c>
      <c r="I666" s="19">
        <f>SUM(F666:H666)</f>
        <v>989.45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23028.240000000002</v>
      </c>
      <c r="G668" s="19" t="e">
        <f>ROUND(G665/G666,2)</f>
        <v>#DIV/0!</v>
      </c>
      <c r="H668" s="19">
        <f>ROUND(H665/H666,2)</f>
        <v>25792.53</v>
      </c>
      <c r="I668" s="19">
        <f>ROUND(I665/I666,2)</f>
        <v>23861.67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-9.66</v>
      </c>
      <c r="I671" s="19">
        <f>SUM(F671:H671)</f>
        <v>-9.66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23028.240000000002</v>
      </c>
      <c r="G673" s="19" t="e">
        <f>ROUND((G665+G670)/(G666+G671),2)</f>
        <v>#DIV/0!</v>
      </c>
      <c r="H673" s="19">
        <f>ROUND((H665+H670)/(H666+H671),2)</f>
        <v>26655.68</v>
      </c>
      <c r="I673" s="19">
        <f>ROUND((I665+I670)/(I666+I671),2)</f>
        <v>24096.93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INTER-LAKES SCHOOL DISTRICT</v>
      </c>
      <c r="C5" s="344"/>
      <c r="D5" s="344"/>
      <c r="E5" s="344"/>
      <c r="F5" s="344"/>
    </row>
    <row r="8" spans="1:9" ht="18" x14ac:dyDescent="0.25">
      <c r="A8" s="323" t="s">
        <v>1591</v>
      </c>
      <c r="F8" s="330" t="s">
        <v>1609</v>
      </c>
    </row>
    <row r="9" spans="1:9" ht="15" x14ac:dyDescent="0.2">
      <c r="A9" s="321" t="s">
        <v>1592</v>
      </c>
      <c r="B9" s="324">
        <f>'DOE25'!G97</f>
        <v>157305</v>
      </c>
      <c r="F9" s="321" t="s">
        <v>1605</v>
      </c>
    </row>
    <row r="10" spans="1:9" ht="15" x14ac:dyDescent="0.2">
      <c r="A10" s="321" t="s">
        <v>1593</v>
      </c>
      <c r="B10" s="324">
        <f>'DOE25'!G112-'DOE25'!G97</f>
        <v>0</v>
      </c>
      <c r="F10" s="321" t="s">
        <v>1606</v>
      </c>
    </row>
    <row r="11" spans="1:9" ht="15" x14ac:dyDescent="0.2">
      <c r="A11" s="321" t="s">
        <v>1594</v>
      </c>
      <c r="B11" s="324">
        <f>'DOE25'!G140</f>
        <v>6704</v>
      </c>
      <c r="F11" s="321" t="s">
        <v>1607</v>
      </c>
    </row>
    <row r="12" spans="1:9" ht="15" x14ac:dyDescent="0.2">
      <c r="A12" s="321" t="s">
        <v>1595</v>
      </c>
      <c r="B12" s="324">
        <f>'DOE25'!G170</f>
        <v>276213</v>
      </c>
      <c r="F12" s="321" t="s">
        <v>1608</v>
      </c>
    </row>
    <row r="13" spans="1:9" ht="15" x14ac:dyDescent="0.2">
      <c r="A13" s="321" t="s">
        <v>1596</v>
      </c>
      <c r="B13" s="324">
        <f>'DOE25'!G193-'DOE25'!G180</f>
        <v>0</v>
      </c>
      <c r="F13" s="321" t="s">
        <v>1618</v>
      </c>
    </row>
    <row r="14" spans="1:9" ht="18" x14ac:dyDescent="0.25">
      <c r="A14" s="323" t="s">
        <v>732</v>
      </c>
      <c r="B14" s="325">
        <f>SUM(B9:B13)</f>
        <v>440222</v>
      </c>
    </row>
    <row r="16" spans="1:9" ht="18" x14ac:dyDescent="0.25">
      <c r="A16" s="323" t="s">
        <v>786</v>
      </c>
      <c r="F16" s="330" t="s">
        <v>1610</v>
      </c>
    </row>
    <row r="17" spans="1:6" ht="15" x14ac:dyDescent="0.2">
      <c r="A17" s="321" t="s">
        <v>1597</v>
      </c>
      <c r="B17" s="324">
        <f>'DOE25'!L363-'DOE25'!L362</f>
        <v>419778</v>
      </c>
      <c r="F17" s="321" t="s">
        <v>1611</v>
      </c>
    </row>
    <row r="18" spans="1:6" ht="15" x14ac:dyDescent="0.2">
      <c r="A18" s="321" t="s">
        <v>1598</v>
      </c>
      <c r="B18" s="338"/>
      <c r="F18" s="330" t="s">
        <v>1637</v>
      </c>
    </row>
    <row r="19" spans="1:6" ht="18" x14ac:dyDescent="0.25">
      <c r="A19" s="323" t="s">
        <v>725</v>
      </c>
      <c r="B19" s="325">
        <f>SUM(B17:B18)</f>
        <v>419778</v>
      </c>
    </row>
    <row r="21" spans="1:6" ht="18.75" thickBot="1" x14ac:dyDescent="0.3">
      <c r="A21" s="323" t="s">
        <v>1599</v>
      </c>
    </row>
    <row r="22" spans="1:6" ht="18.75" thickTop="1" x14ac:dyDescent="0.25">
      <c r="A22" s="323" t="s">
        <v>1600</v>
      </c>
      <c r="B22" s="329">
        <f>B14-B19</f>
        <v>20444</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27694</v>
      </c>
      <c r="F31" s="321" t="s">
        <v>1615</v>
      </c>
    </row>
    <row r="33" spans="1:6" ht="15" x14ac:dyDescent="0.2">
      <c r="A33" s="321" t="s">
        <v>1641</v>
      </c>
      <c r="B33" s="324">
        <f>'DOE25'!G477</f>
        <v>48138</v>
      </c>
      <c r="F33" s="321" t="s">
        <v>1616</v>
      </c>
    </row>
    <row r="36" spans="1:6" ht="15" x14ac:dyDescent="0.2">
      <c r="A36" s="321" t="s">
        <v>1602</v>
      </c>
      <c r="B36" s="339">
        <v>33761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INTER-LAKES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6547305</v>
      </c>
      <c r="C9" s="229">
        <f>'DOE25'!G198+'DOE25'!G216+'DOE25'!G234+'DOE25'!G277+'DOE25'!G296+'DOE25'!G315</f>
        <v>2936479</v>
      </c>
    </row>
    <row r="10" spans="1:3" x14ac:dyDescent="0.2">
      <c r="A10" t="s">
        <v>775</v>
      </c>
      <c r="B10" s="240">
        <v>6129917</v>
      </c>
      <c r="C10" s="240">
        <v>2835127</v>
      </c>
    </row>
    <row r="11" spans="1:3" x14ac:dyDescent="0.2">
      <c r="A11" t="s">
        <v>776</v>
      </c>
      <c r="B11" s="240">
        <v>205773</v>
      </c>
      <c r="C11" s="240">
        <v>85163</v>
      </c>
    </row>
    <row r="12" spans="1:3" x14ac:dyDescent="0.2">
      <c r="A12" t="s">
        <v>777</v>
      </c>
      <c r="B12" s="240">
        <v>211615</v>
      </c>
      <c r="C12" s="240">
        <v>16189</v>
      </c>
    </row>
    <row r="13" spans="1:3" x14ac:dyDescent="0.2">
      <c r="A13" t="str">
        <f>IF(B9=B13,IF(C9=C13,"Check Total OK","Check Total Error"),"Check Total Error")</f>
        <v>Check Total OK</v>
      </c>
      <c r="B13" s="231">
        <f>SUM(B10:B12)</f>
        <v>6547305</v>
      </c>
      <c r="C13" s="231">
        <f>SUM(C10:C12)</f>
        <v>2936479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2607749</v>
      </c>
      <c r="C18" s="229">
        <f>'DOE25'!G199+'DOE25'!G217+'DOE25'!G235+'DOE25'!G278+'DOE25'!G297+'DOE25'!G316</f>
        <v>1076192</v>
      </c>
    </row>
    <row r="19" spans="1:3" x14ac:dyDescent="0.2">
      <c r="A19" t="s">
        <v>775</v>
      </c>
      <c r="B19" s="240">
        <v>1164839</v>
      </c>
      <c r="C19" s="240">
        <v>484643</v>
      </c>
    </row>
    <row r="20" spans="1:3" x14ac:dyDescent="0.2">
      <c r="A20" t="s">
        <v>776</v>
      </c>
      <c r="B20" s="240">
        <v>1415390</v>
      </c>
      <c r="C20" s="240">
        <v>589444</v>
      </c>
    </row>
    <row r="21" spans="1:3" x14ac:dyDescent="0.2">
      <c r="A21" t="s">
        <v>777</v>
      </c>
      <c r="B21" s="240">
        <v>27520</v>
      </c>
      <c r="C21" s="240">
        <v>2105</v>
      </c>
    </row>
    <row r="22" spans="1:3" x14ac:dyDescent="0.2">
      <c r="A22" t="str">
        <f>IF(B18=B22,IF(C18=C22,"Check Total OK","Check Total Error"),"Check Total Error")</f>
        <v>Check Total OK</v>
      </c>
      <c r="B22" s="231">
        <f>SUM(B19:B21)</f>
        <v>2607749</v>
      </c>
      <c r="C22" s="231">
        <f>SUM(C19:C21)</f>
        <v>1076192</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268311</v>
      </c>
      <c r="C36" s="235">
        <f>'DOE25'!G201+'DOE25'!G219+'DOE25'!G237+'DOE25'!G280+'DOE25'!G299+'DOE25'!G318</f>
        <v>59297</v>
      </c>
    </row>
    <row r="37" spans="1:3" x14ac:dyDescent="0.2">
      <c r="A37" t="s">
        <v>775</v>
      </c>
      <c r="B37" s="240"/>
      <c r="C37" s="240"/>
    </row>
    <row r="38" spans="1:3" x14ac:dyDescent="0.2">
      <c r="A38" t="s">
        <v>776</v>
      </c>
      <c r="B38" s="240"/>
      <c r="C38" s="240"/>
    </row>
    <row r="39" spans="1:3" x14ac:dyDescent="0.2">
      <c r="A39" t="s">
        <v>777</v>
      </c>
      <c r="B39" s="240">
        <v>268311</v>
      </c>
      <c r="C39" s="240">
        <v>59297</v>
      </c>
    </row>
    <row r="40" spans="1:3" x14ac:dyDescent="0.2">
      <c r="A40" t="str">
        <f>IF(B36=B40,IF(C36=C40,"Check Total OK","Check Total Error"),"Check Total Error")</f>
        <v>Check Total OK</v>
      </c>
      <c r="B40" s="231">
        <f>SUM(B37:B39)</f>
        <v>268311</v>
      </c>
      <c r="C40" s="231">
        <f>SUM(C37:C39)</f>
        <v>59297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INTER-LAKES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14002053</v>
      </c>
      <c r="D5" s="20">
        <f>SUM('DOE25'!L198:L201)+SUM('DOE25'!L216:L219)+SUM('DOE25'!L234:L237)-F5-G5-H5</f>
        <v>13938535</v>
      </c>
      <c r="E5" s="243"/>
      <c r="F5" s="244">
        <v>20999</v>
      </c>
      <c r="G5" s="53">
        <f>SUM('DOE25'!J198:J201)+SUM('DOE25'!J216:J219)+SUM('DOE25'!J234:J237)</f>
        <v>27369</v>
      </c>
      <c r="H5" s="53">
        <f>SUM('DOE25'!K198:K201)+SUM('DOE25'!K216:K219)+SUM('DOE25'!K234:K237)</f>
        <v>15150</v>
      </c>
      <c r="I5" s="256"/>
    </row>
    <row r="6" spans="1:9" x14ac:dyDescent="0.2">
      <c r="A6" s="32">
        <v>2100</v>
      </c>
      <c r="B6" t="s">
        <v>796</v>
      </c>
      <c r="C6" s="276">
        <f t="shared" si="0"/>
        <v>1766824</v>
      </c>
      <c r="D6" s="20">
        <f>'DOE25'!L203+'DOE25'!L221+'DOE25'!L239-F6-G6-H6</f>
        <v>1661160</v>
      </c>
      <c r="E6" s="243"/>
      <c r="F6" s="244">
        <v>104537</v>
      </c>
      <c r="G6" s="53">
        <f>'DOE25'!J203+'DOE25'!J221+'DOE25'!J239</f>
        <v>648</v>
      </c>
      <c r="H6" s="53">
        <f>'DOE25'!K203+'DOE25'!K221+'DOE25'!K239</f>
        <v>479</v>
      </c>
      <c r="I6" s="256"/>
    </row>
    <row r="7" spans="1:9" x14ac:dyDescent="0.2">
      <c r="A7" s="32">
        <v>2200</v>
      </c>
      <c r="B7" t="s">
        <v>821</v>
      </c>
      <c r="C7" s="276">
        <f t="shared" si="0"/>
        <v>1731030</v>
      </c>
      <c r="D7" s="20">
        <f>'DOE25'!L204+'DOE25'!L222+'DOE25'!L240-F7-G7-H7</f>
        <v>1399014</v>
      </c>
      <c r="E7" s="243"/>
      <c r="F7" s="244">
        <v>37285</v>
      </c>
      <c r="G7" s="53">
        <f>'DOE25'!J204+'DOE25'!J222+'DOE25'!J240</f>
        <v>293724</v>
      </c>
      <c r="H7" s="53">
        <f>'DOE25'!K204+'DOE25'!K222+'DOE25'!K240</f>
        <v>1007</v>
      </c>
      <c r="I7" s="256"/>
    </row>
    <row r="8" spans="1:9" x14ac:dyDescent="0.2">
      <c r="A8" s="32">
        <v>2300</v>
      </c>
      <c r="B8" t="s">
        <v>797</v>
      </c>
      <c r="C8" s="276">
        <f t="shared" si="0"/>
        <v>-381612</v>
      </c>
      <c r="D8" s="243"/>
      <c r="E8" s="20">
        <f>'DOE25'!L205+'DOE25'!L223+'DOE25'!L241-F8-G8-H8-D9-D11</f>
        <v>-390929</v>
      </c>
      <c r="F8" s="244"/>
      <c r="G8" s="53">
        <f>'DOE25'!J205+'DOE25'!J223+'DOE25'!J241</f>
        <v>0</v>
      </c>
      <c r="H8" s="53">
        <f>'DOE25'!K205+'DOE25'!K223+'DOE25'!K241</f>
        <v>9317</v>
      </c>
      <c r="I8" s="256"/>
    </row>
    <row r="9" spans="1:9" ht="14.25" x14ac:dyDescent="0.2">
      <c r="A9" s="32">
        <v>2310</v>
      </c>
      <c r="B9" s="185" t="s">
        <v>890</v>
      </c>
      <c r="C9" s="276">
        <f t="shared" si="0"/>
        <v>1031610</v>
      </c>
      <c r="D9" s="244">
        <v>1031610</v>
      </c>
      <c r="E9" s="243"/>
      <c r="F9" s="253"/>
      <c r="G9" s="253"/>
      <c r="H9" s="253"/>
      <c r="I9" s="256"/>
    </row>
    <row r="10" spans="1:9" ht="14.25" x14ac:dyDescent="0.2">
      <c r="A10" s="32">
        <v>2317</v>
      </c>
      <c r="B10" s="185" t="s">
        <v>891</v>
      </c>
      <c r="C10" s="276">
        <f t="shared" si="0"/>
        <v>17000</v>
      </c>
      <c r="D10" s="243"/>
      <c r="E10" s="244">
        <v>17000</v>
      </c>
      <c r="F10" s="253"/>
      <c r="G10" s="253"/>
      <c r="H10" s="253"/>
      <c r="I10" s="256"/>
    </row>
    <row r="11" spans="1:9" ht="14.25" x14ac:dyDescent="0.2">
      <c r="A11" s="32">
        <v>2321</v>
      </c>
      <c r="B11" s="185" t="s">
        <v>892</v>
      </c>
      <c r="C11" s="276">
        <f t="shared" si="0"/>
        <v>381612</v>
      </c>
      <c r="D11" s="244">
        <v>381612</v>
      </c>
      <c r="E11" s="243"/>
      <c r="F11" s="253"/>
      <c r="G11" s="253"/>
      <c r="H11" s="253"/>
      <c r="I11" s="256"/>
    </row>
    <row r="12" spans="1:9" x14ac:dyDescent="0.2">
      <c r="A12" s="32">
        <v>2400</v>
      </c>
      <c r="B12" t="s">
        <v>711</v>
      </c>
      <c r="C12" s="276">
        <f t="shared" si="0"/>
        <v>1456961</v>
      </c>
      <c r="D12" s="20">
        <f>'DOE25'!L206+'DOE25'!L224+'DOE25'!L242-F12-G12-H12</f>
        <v>1439611</v>
      </c>
      <c r="E12" s="243"/>
      <c r="F12" s="244"/>
      <c r="G12" s="53">
        <f>'DOE25'!J206+'DOE25'!J224+'DOE25'!J242</f>
        <v>4603</v>
      </c>
      <c r="H12" s="53">
        <f>'DOE25'!K206+'DOE25'!K224+'DOE25'!K242</f>
        <v>12747</v>
      </c>
      <c r="I12" s="256"/>
    </row>
    <row r="13" spans="1:9" x14ac:dyDescent="0.2">
      <c r="A13" s="32">
        <v>2500</v>
      </c>
      <c r="B13" t="s">
        <v>798</v>
      </c>
      <c r="C13" s="276">
        <f t="shared" si="0"/>
        <v>20595</v>
      </c>
      <c r="D13" s="243"/>
      <c r="E13" s="20">
        <f>'DOE25'!L207+'DOE25'!L225+'DOE25'!L243-F13-G13-H13</f>
        <v>15045</v>
      </c>
      <c r="F13" s="244"/>
      <c r="G13" s="53">
        <f>'DOE25'!J207+'DOE25'!J225+'DOE25'!J243</f>
        <v>5550</v>
      </c>
      <c r="H13" s="53">
        <f>'DOE25'!K207+'DOE25'!K225+'DOE25'!K243</f>
        <v>0</v>
      </c>
      <c r="I13" s="256"/>
    </row>
    <row r="14" spans="1:9" x14ac:dyDescent="0.2">
      <c r="A14" s="32">
        <v>2600</v>
      </c>
      <c r="B14" t="s">
        <v>819</v>
      </c>
      <c r="C14" s="276">
        <f t="shared" si="0"/>
        <v>2900476</v>
      </c>
      <c r="D14" s="20">
        <f>'DOE25'!L208+'DOE25'!L226+'DOE25'!L244-F14-G14-H14</f>
        <v>2195989</v>
      </c>
      <c r="E14" s="243"/>
      <c r="F14" s="244">
        <v>349275</v>
      </c>
      <c r="G14" s="53">
        <f>'DOE25'!J208+'DOE25'!J226+'DOE25'!J244</f>
        <v>354705</v>
      </c>
      <c r="H14" s="53">
        <f>'DOE25'!K208+'DOE25'!K226+'DOE25'!K244</f>
        <v>507</v>
      </c>
      <c r="I14" s="256"/>
    </row>
    <row r="15" spans="1:9" x14ac:dyDescent="0.2">
      <c r="A15" s="32">
        <v>2700</v>
      </c>
      <c r="B15" t="s">
        <v>799</v>
      </c>
      <c r="C15" s="276">
        <f t="shared" si="0"/>
        <v>1300530</v>
      </c>
      <c r="D15" s="20">
        <f>'DOE25'!L209+'DOE25'!L227+'DOE25'!L245-F15-G15-H15</f>
        <v>499230</v>
      </c>
      <c r="E15" s="243"/>
      <c r="F15" s="244">
        <v>801300</v>
      </c>
      <c r="G15" s="53">
        <f>'DOE25'!J209+'DOE25'!J227+'DOE25'!J245</f>
        <v>0</v>
      </c>
      <c r="H15" s="53">
        <f>'DOE25'!K209+'DOE25'!K227+'DOE25'!K245</f>
        <v>0</v>
      </c>
      <c r="I15" s="256"/>
    </row>
    <row r="16" spans="1:9" x14ac:dyDescent="0.2">
      <c r="A16" s="32">
        <v>2800</v>
      </c>
      <c r="B16" t="s">
        <v>800</v>
      </c>
      <c r="C16" s="276">
        <f t="shared" si="0"/>
        <v>1116757</v>
      </c>
      <c r="D16" s="243"/>
      <c r="E16" s="20">
        <f>'DOE25'!L210+'DOE25'!L228+'DOE25'!L246-F16-G16-H16</f>
        <v>1116757</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419778</v>
      </c>
      <c r="D29" s="284">
        <f>'DOE25'!L359+'DOE25'!L360+'DOE25'!L361-'DOE25'!I368-F29-G29-H29</f>
        <v>25000</v>
      </c>
      <c r="E29" s="243"/>
      <c r="F29" s="244">
        <v>391182</v>
      </c>
      <c r="G29" s="53">
        <f>'DOE25'!J359+'DOE25'!J360+'DOE25'!J361</f>
        <v>0</v>
      </c>
      <c r="H29" s="53">
        <f>'DOE25'!K359+'DOE25'!K360+'DOE25'!K361</f>
        <v>3596</v>
      </c>
      <c r="I29" s="256"/>
    </row>
    <row r="30" spans="1:9" x14ac:dyDescent="0.2">
      <c r="A30" s="32"/>
      <c r="C30" s="277"/>
      <c r="D30" s="20"/>
      <c r="E30" s="281"/>
      <c r="F30" s="271"/>
      <c r="G30" s="53"/>
      <c r="H30" s="53"/>
      <c r="I30" s="256"/>
    </row>
    <row r="31" spans="1:9" x14ac:dyDescent="0.2">
      <c r="A31" s="32" t="s">
        <v>818</v>
      </c>
      <c r="B31" t="s">
        <v>817</v>
      </c>
      <c r="C31" s="276">
        <f>SUM(D31:I31)</f>
        <v>548798</v>
      </c>
      <c r="D31" s="20">
        <f>'DOE25'!L291+'DOE25'!L310+'DOE25'!L329+'DOE25'!L334+'DOE25'!L335+'DOE25'!L336-F31-G31-H31</f>
        <v>361060</v>
      </c>
      <c r="E31" s="243"/>
      <c r="F31" s="244"/>
      <c r="G31" s="53">
        <f>'DOE25'!J291+'DOE25'!J310+'DOE25'!J329+'DOE25'!J334+'DOE25'!J335+'DOE25'!J336</f>
        <v>169803</v>
      </c>
      <c r="H31" s="53">
        <f>'DOE25'!K291+'DOE25'!K310+'DOE25'!K329+'DOE25'!K334+'DOE25'!K335+'DOE25'!K336</f>
        <v>17935</v>
      </c>
      <c r="I31" s="256"/>
    </row>
    <row r="32" spans="1:9" ht="12" thickBot="1" x14ac:dyDescent="0.25">
      <c r="C32" s="277"/>
      <c r="G32" s="251"/>
      <c r="H32" s="251"/>
      <c r="I32" s="258"/>
    </row>
    <row r="33" spans="1:9" ht="12" thickTop="1" x14ac:dyDescent="0.2">
      <c r="B33" t="s">
        <v>809</v>
      </c>
      <c r="D33" s="245">
        <f t="shared" ref="D33:I33" si="1">SUM(D5:D31)</f>
        <v>22932821</v>
      </c>
      <c r="E33" s="245">
        <f t="shared" si="1"/>
        <v>757873</v>
      </c>
      <c r="F33" s="245">
        <f t="shared" si="1"/>
        <v>1704578</v>
      </c>
      <c r="G33" s="245">
        <f t="shared" si="1"/>
        <v>856402</v>
      </c>
      <c r="H33" s="245">
        <f t="shared" si="1"/>
        <v>60738</v>
      </c>
      <c r="I33" s="245">
        <f t="shared" si="1"/>
        <v>0</v>
      </c>
    </row>
    <row r="35" spans="1:9" ht="12" thickBot="1" x14ac:dyDescent="0.25">
      <c r="B35" s="251" t="s">
        <v>831</v>
      </c>
      <c r="D35" s="252">
        <f>E33</f>
        <v>757873</v>
      </c>
      <c r="E35" s="248"/>
    </row>
    <row r="36" spans="1:9" ht="12" thickTop="1" x14ac:dyDescent="0.2">
      <c r="B36" t="s">
        <v>810</v>
      </c>
      <c r="D36" s="20">
        <f>D33</f>
        <v>22932821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130" zoomScaleNormal="130" workbookViewId="0">
      <selection activeCell="D40" sqref="D4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INTER-LAKES SCHOOL DISTRICT</v>
      </c>
      <c r="B2" s="126">
        <f>'DOE25'!B2</f>
        <v>269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17310588</v>
      </c>
      <c r="G4" s="303">
        <f>'DOE25'!L212+'DOE25'!L291</f>
        <v>17310588</v>
      </c>
      <c r="H4" s="337">
        <f>F4-G4</f>
        <v>0</v>
      </c>
      <c r="I4" s="309" t="str">
        <f>IF(H4=0,"","Does not match DOE25 page 7 and 11 Totals!!")</f>
        <v/>
      </c>
      <c r="N4"/>
    </row>
    <row r="5" spans="1:18" x14ac:dyDescent="0.2">
      <c r="A5" s="21" t="s">
        <v>1142</v>
      </c>
      <c r="B5" s="304">
        <f>IFERROR(VLOOKUP(A5,'School Tables'!$C$3:$D$365,2,FALSE),"")</f>
        <v>29200</v>
      </c>
      <c r="C5" s="297" t="str">
        <f>IFERROR(INDEX('School Tables'!$B$3:$B$365,MATCH('School Level Expenditures'!B5,'School Tables'!$D$3:$D$365,0)),"")</f>
        <v>Inter-Lakes Cooperative</v>
      </c>
      <c r="D5" s="294">
        <v>14733600</v>
      </c>
      <c r="E5" s="294">
        <v>410148</v>
      </c>
      <c r="F5" s="312">
        <f>D5+E5</f>
        <v>15143748</v>
      </c>
      <c r="G5" s="297"/>
      <c r="H5" s="297"/>
      <c r="I5" s="126"/>
      <c r="N5"/>
    </row>
    <row r="6" spans="1:18" x14ac:dyDescent="0.2">
      <c r="A6" s="21" t="s">
        <v>1145</v>
      </c>
      <c r="B6" s="304">
        <f>IFERROR(VLOOKUP(A6,'School Tables'!$C$3:$D$365,2,FALSE),"")</f>
        <v>20040</v>
      </c>
      <c r="C6" s="297" t="str">
        <f>IFERROR(INDEX('School Tables'!$B$3:$B$365,MATCH('School Level Expenditures'!B6,'School Tables'!$D$3:$D$365,0)),"")</f>
        <v>Inter-Lakes Cooperative</v>
      </c>
      <c r="D6" s="294">
        <v>2132178</v>
      </c>
      <c r="E6" s="294">
        <v>34662</v>
      </c>
      <c r="F6" s="307">
        <f t="shared" ref="F6:F20" si="0">D6+E6</f>
        <v>2166840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23.2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8565046</v>
      </c>
      <c r="G36" s="303">
        <f>'DOE25'!L248+'DOE25'!L329</f>
        <v>8565046</v>
      </c>
      <c r="H36" s="337">
        <f>F36-G36</f>
        <v>0</v>
      </c>
      <c r="I36" s="309" t="str">
        <f>IF(H36=0,"","Does not match DOE25 page 9 and 13 Totals!!")</f>
        <v/>
      </c>
      <c r="N36"/>
    </row>
    <row r="37" spans="1:14" x14ac:dyDescent="0.2">
      <c r="A37" s="21" t="s">
        <v>1144</v>
      </c>
      <c r="B37" s="304">
        <f>IFERROR(VLOOKUP(A37,'School Tables'!$O$3:$P$118,2,FALSE),"")</f>
        <v>20035</v>
      </c>
      <c r="C37" s="297" t="str">
        <f t="array" ref="C37">IFERROR(INDEX('School Tables'!$N$3:$N$118,MATCH('School Level Expenditures'!B37,'School Tables'!$P$3:$P$118,0)),"")</f>
        <v>Inter-Lakes Cooperative</v>
      </c>
      <c r="D37" s="294">
        <v>8461058</v>
      </c>
      <c r="E37" s="294">
        <v>103988</v>
      </c>
      <c r="F37" s="307">
        <f>D37+E37</f>
        <v>8565046</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L14" sqref="L1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INTER-LAKES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625917</v>
      </c>
      <c r="D8" s="95">
        <f>'DOE25'!G9</f>
        <v>0</v>
      </c>
      <c r="E8" s="95">
        <f>'DOE25'!H9</f>
        <v>0</v>
      </c>
      <c r="F8" s="95">
        <f>'DOE25'!I9</f>
        <v>3231</v>
      </c>
      <c r="G8" s="95">
        <f>'DOE25'!J9</f>
        <v>891754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1961445</v>
      </c>
      <c r="D11" s="95">
        <f>'DOE25'!G12</f>
        <v>516243</v>
      </c>
      <c r="E11" s="95">
        <f>'DOE25'!H12</f>
        <v>526708</v>
      </c>
      <c r="F11" s="95">
        <f>'DOE25'!I12</f>
        <v>0</v>
      </c>
      <c r="G11" s="95">
        <f>'DOE25'!J12</f>
        <v>0</v>
      </c>
      <c r="H11" s="124"/>
      <c r="I11" s="124"/>
    </row>
    <row r="12" spans="1:9" x14ac:dyDescent="0.2">
      <c r="A12" s="1" t="s">
        <v>143</v>
      </c>
      <c r="B12" s="6">
        <v>140</v>
      </c>
      <c r="C12" s="95">
        <f>'DOE25'!F13</f>
        <v>13857</v>
      </c>
      <c r="D12" s="95">
        <f>'DOE25'!G13</f>
        <v>43990</v>
      </c>
      <c r="E12" s="95">
        <f>'DOE25'!H13</f>
        <v>92030</v>
      </c>
      <c r="F12" s="95">
        <f>'DOE25'!I13</f>
        <v>0</v>
      </c>
      <c r="G12" s="95">
        <f>'DOE25'!J13</f>
        <v>0</v>
      </c>
      <c r="H12" s="124"/>
      <c r="I12" s="124"/>
    </row>
    <row r="13" spans="1:9" x14ac:dyDescent="0.2">
      <c r="A13" s="1" t="s">
        <v>144</v>
      </c>
      <c r="B13" s="6">
        <v>150</v>
      </c>
      <c r="C13" s="95">
        <f>'DOE25'!F14</f>
        <v>3610</v>
      </c>
      <c r="D13" s="95">
        <f>'DOE25'!G14</f>
        <v>10728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23519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2628348</v>
      </c>
      <c r="D18" s="41">
        <f>SUM(D8:D17)</f>
        <v>570961</v>
      </c>
      <c r="E18" s="41">
        <f>SUM(E8:E17)</f>
        <v>618738</v>
      </c>
      <c r="F18" s="41">
        <f>SUM(F8:F17)</f>
        <v>3231</v>
      </c>
      <c r="G18" s="41">
        <f>SUM(G8:G17)</f>
        <v>891754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1499964</v>
      </c>
      <c r="D21" s="95">
        <f>'DOE25'!G22</f>
        <v>503276</v>
      </c>
      <c r="E21" s="95">
        <f>'DOE25'!H22</f>
        <v>494245</v>
      </c>
      <c r="F21" s="95">
        <f>'DOE25'!I22</f>
        <v>0</v>
      </c>
      <c r="G21" s="95">
        <f>'DOE25'!J22</f>
        <v>0</v>
      </c>
      <c r="H21" s="124"/>
      <c r="I21" s="124"/>
    </row>
    <row r="22" spans="1:9" x14ac:dyDescent="0.2">
      <c r="A22" s="1" t="s">
        <v>151</v>
      </c>
      <c r="B22" s="6">
        <v>410</v>
      </c>
      <c r="C22" s="95">
        <f>'DOE25'!F23</f>
        <v>2011</v>
      </c>
      <c r="D22" s="95">
        <f>'DOE25'!G23</f>
        <v>0</v>
      </c>
      <c r="E22" s="95">
        <f>'DOE25'!H23</f>
        <v>2767</v>
      </c>
      <c r="F22" s="95">
        <f>'DOE25'!I23</f>
        <v>0</v>
      </c>
      <c r="G22" s="95">
        <f>'DOE25'!J23</f>
        <v>0</v>
      </c>
      <c r="H22" s="124"/>
      <c r="I22" s="124"/>
    </row>
    <row r="23" spans="1:9" x14ac:dyDescent="0.2">
      <c r="A23" s="1" t="s">
        <v>152</v>
      </c>
      <c r="B23" s="6">
        <v>420</v>
      </c>
      <c r="C23" s="95">
        <f>'DOE25'!F24</f>
        <v>53007</v>
      </c>
      <c r="D23" s="95">
        <f>'DOE25'!G24</f>
        <v>0</v>
      </c>
      <c r="E23" s="95">
        <f>'DOE25'!H24</f>
        <v>8740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24425</v>
      </c>
      <c r="D27" s="95">
        <f>'DOE25'!G28</f>
        <v>0</v>
      </c>
      <c r="E27" s="95">
        <f>'DOE25'!H28</f>
        <v>19908</v>
      </c>
      <c r="F27" s="95">
        <f>'DOE25'!I28</f>
        <v>0</v>
      </c>
      <c r="G27" s="24" t="s">
        <v>288</v>
      </c>
      <c r="H27" s="124"/>
      <c r="I27" s="124"/>
    </row>
    <row r="28" spans="1:9" x14ac:dyDescent="0.2">
      <c r="A28" s="1" t="s">
        <v>157</v>
      </c>
      <c r="B28" s="6">
        <v>470</v>
      </c>
      <c r="C28" s="95">
        <f>'DOE25'!F29</f>
        <v>11359</v>
      </c>
      <c r="D28" s="95">
        <f>'DOE25'!G29</f>
        <v>0</v>
      </c>
      <c r="E28" s="95">
        <f>'DOE25'!H29</f>
        <v>0</v>
      </c>
      <c r="F28" s="95">
        <f>'DOE25'!I29</f>
        <v>0</v>
      </c>
      <c r="G28" s="24" t="s">
        <v>288</v>
      </c>
      <c r="H28" s="124"/>
      <c r="I28" s="124"/>
    </row>
    <row r="29" spans="1:9" x14ac:dyDescent="0.2">
      <c r="A29" s="1" t="s">
        <v>158</v>
      </c>
      <c r="B29" s="6">
        <v>480</v>
      </c>
      <c r="C29" s="95">
        <f>'DOE25'!F30</f>
        <v>80441</v>
      </c>
      <c r="D29" s="95">
        <f>'DOE25'!G30</f>
        <v>19547</v>
      </c>
      <c r="E29" s="95">
        <f>'DOE25'!H30</f>
        <v>9404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1671207</v>
      </c>
      <c r="D31" s="41">
        <f>SUM(D21:D30)</f>
        <v>522823</v>
      </c>
      <c r="E31" s="41">
        <f>SUM(E21:E30)</f>
        <v>535064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48138</v>
      </c>
      <c r="E47" s="95">
        <f>'DOE25'!H48</f>
        <v>83674</v>
      </c>
      <c r="F47" s="95">
        <f>'DOE25'!I48</f>
        <v>3231</v>
      </c>
      <c r="G47" s="95">
        <f>'DOE25'!J48</f>
        <v>891754</v>
      </c>
      <c r="H47" s="124"/>
      <c r="I47" s="124"/>
    </row>
    <row r="48" spans="1:9" x14ac:dyDescent="0.2">
      <c r="A48" s="1" t="s">
        <v>882</v>
      </c>
      <c r="B48" s="6">
        <v>753</v>
      </c>
      <c r="C48" s="95">
        <f>'DOE25'!F49</f>
        <v>323561</v>
      </c>
      <c r="D48" s="95">
        <f>'DOE25'!G49</f>
        <v>0</v>
      </c>
      <c r="E48" s="95">
        <f>'DOE25'!H49</f>
        <v>0</v>
      </c>
      <c r="F48" s="95">
        <f>'DOE25'!I49</f>
        <v>0</v>
      </c>
      <c r="G48" s="95">
        <f>'DOE25'!J49</f>
        <v>0</v>
      </c>
      <c r="H48" s="124"/>
      <c r="I48" s="124"/>
    </row>
    <row r="49" spans="1:9" ht="12" thickBot="1" x14ac:dyDescent="0.25">
      <c r="A49" s="29" t="s">
        <v>883</v>
      </c>
      <c r="B49" s="71">
        <v>770</v>
      </c>
      <c r="C49" s="95">
        <f>'DOE25'!F50</f>
        <v>333580</v>
      </c>
      <c r="D49" s="24" t="s">
        <v>288</v>
      </c>
      <c r="E49" s="24" t="s">
        <v>288</v>
      </c>
      <c r="F49" s="24" t="s">
        <v>288</v>
      </c>
      <c r="G49" s="24" t="s">
        <v>288</v>
      </c>
      <c r="H49" s="124"/>
      <c r="I49" s="124"/>
    </row>
    <row r="50" spans="1:9" ht="12.75" thickTop="1" thickBot="1" x14ac:dyDescent="0.25">
      <c r="A50" s="38" t="s">
        <v>884</v>
      </c>
      <c r="B50" s="48"/>
      <c r="C50" s="41">
        <f>SUM(C34:C49)</f>
        <v>957141</v>
      </c>
      <c r="D50" s="41">
        <f>SUM(D34:D49)</f>
        <v>48138</v>
      </c>
      <c r="E50" s="41">
        <f>SUM(E34:E49)</f>
        <v>83674</v>
      </c>
      <c r="F50" s="41">
        <f>SUM(F34:F49)</f>
        <v>3231</v>
      </c>
      <c r="G50" s="41">
        <f>SUM(G34:G49)</f>
        <v>891754</v>
      </c>
      <c r="H50" s="124"/>
      <c r="I50" s="124"/>
    </row>
    <row r="51" spans="1:9" ht="12" thickTop="1" x14ac:dyDescent="0.2">
      <c r="A51" s="38" t="s">
        <v>885</v>
      </c>
      <c r="B51" s="2"/>
      <c r="C51" s="41">
        <f>C50+C31</f>
        <v>2628348</v>
      </c>
      <c r="D51" s="41">
        <f>D50+D31</f>
        <v>570961</v>
      </c>
      <c r="E51" s="41">
        <f>E50+E31</f>
        <v>618738</v>
      </c>
      <c r="F51" s="41">
        <f>F50+F31</f>
        <v>3231</v>
      </c>
      <c r="G51" s="41">
        <f>G50+G31</f>
        <v>891754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19629009</v>
      </c>
      <c r="D56" s="95">
        <f>'DOE25'!G60</f>
        <v>0</v>
      </c>
      <c r="E56" s="95">
        <f>'DOE25'!H60</f>
        <v>0</v>
      </c>
      <c r="F56" s="95">
        <f>'DOE25'!I60</f>
        <v>0</v>
      </c>
      <c r="G56" s="95">
        <f>'DOE25'!J60</f>
        <v>0</v>
      </c>
      <c r="H56"/>
      <c r="I56"/>
    </row>
    <row r="57" spans="1:9" x14ac:dyDescent="0.2">
      <c r="A57" s="1" t="s">
        <v>164</v>
      </c>
      <c r="B57" s="6" t="s">
        <v>165</v>
      </c>
      <c r="C57" s="95">
        <f>'DOE25'!F79</f>
        <v>27389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2292</v>
      </c>
      <c r="D59" s="95">
        <f>'DOE25'!G96</f>
        <v>0</v>
      </c>
      <c r="E59" s="95">
        <f>'DOE25'!H96</f>
        <v>0</v>
      </c>
      <c r="F59" s="95">
        <f>'DOE25'!I96</f>
        <v>0</v>
      </c>
      <c r="G59" s="95">
        <f>'DOE25'!J96</f>
        <v>13129</v>
      </c>
      <c r="H59"/>
      <c r="I59"/>
    </row>
    <row r="60" spans="1:9" x14ac:dyDescent="0.2">
      <c r="A60" s="1" t="s">
        <v>170</v>
      </c>
      <c r="B60" s="118" t="s">
        <v>171</v>
      </c>
      <c r="C60" s="24" t="s">
        <v>288</v>
      </c>
      <c r="D60" s="95">
        <f>'DOE25'!G97</f>
        <v>157305</v>
      </c>
      <c r="E60" s="24" t="s">
        <v>288</v>
      </c>
      <c r="F60" s="24" t="s">
        <v>288</v>
      </c>
      <c r="G60" s="24" t="s">
        <v>288</v>
      </c>
      <c r="H60"/>
      <c r="I60"/>
    </row>
    <row r="61" spans="1:9" ht="12" thickBot="1" x14ac:dyDescent="0.25">
      <c r="A61" s="1" t="s">
        <v>172</v>
      </c>
      <c r="B61" s="118" t="s">
        <v>173</v>
      </c>
      <c r="C61" s="95">
        <f>SUM('DOE25'!F98:F110)</f>
        <v>45450</v>
      </c>
      <c r="D61" s="95">
        <f>SUM('DOE25'!G98:G110)</f>
        <v>0</v>
      </c>
      <c r="E61" s="95">
        <f>SUM('DOE25'!H98:H110)</f>
        <v>82287</v>
      </c>
      <c r="F61" s="95">
        <f>SUM('DOE25'!I98:I110)</f>
        <v>0</v>
      </c>
      <c r="G61" s="95">
        <f>SUM('DOE25'!J98:J110)</f>
        <v>0</v>
      </c>
      <c r="H61"/>
      <c r="I61"/>
    </row>
    <row r="62" spans="1:9" ht="12.75" thickTop="1" thickBot="1" x14ac:dyDescent="0.25">
      <c r="A62" s="29" t="s">
        <v>174</v>
      </c>
      <c r="B62" s="6"/>
      <c r="C62" s="130">
        <f>SUM(C57:C61)</f>
        <v>75131</v>
      </c>
      <c r="D62" s="130">
        <f>SUM(D57:D61)</f>
        <v>157305</v>
      </c>
      <c r="E62" s="130">
        <f>SUM(E57:E61)</f>
        <v>82287</v>
      </c>
      <c r="F62" s="130">
        <f>SUM(F57:F61)</f>
        <v>0</v>
      </c>
      <c r="G62" s="130">
        <f>SUM(G57:G61)</f>
        <v>13129</v>
      </c>
      <c r="H62"/>
      <c r="I62"/>
    </row>
    <row r="63" spans="1:9" ht="12" thickTop="1" x14ac:dyDescent="0.2">
      <c r="A63" s="29" t="s">
        <v>175</v>
      </c>
      <c r="B63" s="6"/>
      <c r="C63" s="22">
        <f>C56+C62</f>
        <v>19704140</v>
      </c>
      <c r="D63" s="22">
        <f>D56+D62</f>
        <v>157305</v>
      </c>
      <c r="E63" s="22">
        <f>E56+E62</f>
        <v>82287</v>
      </c>
      <c r="F63" s="22">
        <f>F56+F62</f>
        <v>0</v>
      </c>
      <c r="G63" s="22">
        <f>G56+G62</f>
        <v>13129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5998697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5998697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98947</v>
      </c>
      <c r="D72" s="24" t="s">
        <v>288</v>
      </c>
      <c r="E72" s="24" t="s">
        <v>288</v>
      </c>
      <c r="F72" s="95">
        <f>'DOE25'!I123</f>
        <v>0</v>
      </c>
      <c r="G72" s="24" t="s">
        <v>288</v>
      </c>
      <c r="H72"/>
      <c r="I72"/>
    </row>
    <row r="73" spans="1:9" x14ac:dyDescent="0.2">
      <c r="A73" s="1" t="s">
        <v>254</v>
      </c>
      <c r="B73" s="6">
        <v>3215</v>
      </c>
      <c r="C73" s="95">
        <f>'DOE25'!F124</f>
        <v>16754</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33030</v>
      </c>
      <c r="D75" s="24" t="s">
        <v>288</v>
      </c>
      <c r="E75" s="24" t="s">
        <v>288</v>
      </c>
      <c r="F75" s="24" t="s">
        <v>288</v>
      </c>
      <c r="G75" s="24" t="s">
        <v>288</v>
      </c>
      <c r="H75"/>
      <c r="I75"/>
    </row>
    <row r="76" spans="1:9" x14ac:dyDescent="0.2">
      <c r="A76" s="1" t="s">
        <v>257</v>
      </c>
      <c r="B76" s="6" t="s">
        <v>179</v>
      </c>
      <c r="C76" s="95">
        <f>SUM('DOE25'!F127:F130)</f>
        <v>11439</v>
      </c>
      <c r="D76" s="24" t="s">
        <v>288</v>
      </c>
      <c r="E76" s="95">
        <f>SUM('DOE25'!H127:H130)</f>
        <v>14978</v>
      </c>
      <c r="F76" s="95">
        <f>SUM('DOE25'!I127:I130)</f>
        <v>0</v>
      </c>
      <c r="G76" s="24" t="s">
        <v>288</v>
      </c>
      <c r="H76"/>
      <c r="I76"/>
    </row>
    <row r="77" spans="1:9" ht="12" thickBot="1" x14ac:dyDescent="0.25">
      <c r="A77" s="1" t="s">
        <v>258</v>
      </c>
      <c r="B77" s="6" t="s">
        <v>180</v>
      </c>
      <c r="C77" s="95">
        <f>SUM('DOE25'!F131:F135)</f>
        <v>0</v>
      </c>
      <c r="D77" s="95">
        <f>SUM('DOE25'!G131:G135)</f>
        <v>6704</v>
      </c>
      <c r="E77" s="95">
        <f>SUM('DOE25'!H131:H135)</f>
        <v>134384</v>
      </c>
      <c r="F77" s="95">
        <f>SUM('DOE25'!I131:I135)</f>
        <v>0</v>
      </c>
      <c r="G77" s="95">
        <f>SUM('DOE25'!J131:J135)</f>
        <v>0</v>
      </c>
      <c r="H77"/>
      <c r="I77"/>
    </row>
    <row r="78" spans="1:9" ht="12.75" thickTop="1" thickBot="1" x14ac:dyDescent="0.25">
      <c r="A78" s="29" t="s">
        <v>259</v>
      </c>
      <c r="B78" s="6"/>
      <c r="C78" s="130">
        <f>SUM(C72:C77)</f>
        <v>160170</v>
      </c>
      <c r="D78" s="130">
        <f>SUM(D72:D77)</f>
        <v>6704</v>
      </c>
      <c r="E78" s="130">
        <f>SUM(E72:E77)</f>
        <v>149362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6158867</v>
      </c>
      <c r="D81" s="130">
        <f>SUM(D79:D80)+D78+D70</f>
        <v>6704</v>
      </c>
      <c r="E81" s="130">
        <f>SUM(E79:E80)+E78+E70</f>
        <v>149362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141974</v>
      </c>
      <c r="D88" s="341">
        <f>SUM('DOE25'!G153:G162)</f>
        <v>276213</v>
      </c>
      <c r="E88" s="341">
        <f>SUM('DOE25'!H153:H162)</f>
        <v>343197</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8293</v>
      </c>
      <c r="D90" s="24" t="s">
        <v>288</v>
      </c>
      <c r="E90" s="24" t="s">
        <v>288</v>
      </c>
      <c r="F90" s="24" t="s">
        <v>288</v>
      </c>
      <c r="G90" s="24" t="s">
        <v>288</v>
      </c>
    </row>
    <row r="91" spans="1:9" ht="12.75" thickTop="1" thickBot="1" x14ac:dyDescent="0.25">
      <c r="A91" s="33" t="s">
        <v>750</v>
      </c>
      <c r="C91" s="131">
        <f>SUM(C85:C90)</f>
        <v>150267</v>
      </c>
      <c r="D91" s="131">
        <f>SUM(D85:D90)</f>
        <v>276213</v>
      </c>
      <c r="E91" s="131">
        <f>SUM(E85:E90)</f>
        <v>343197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145000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145000</v>
      </c>
    </row>
    <row r="104" spans="1:7" ht="12.75" thickTop="1" thickBot="1" x14ac:dyDescent="0.25">
      <c r="A104" s="33" t="s">
        <v>761</v>
      </c>
      <c r="C104" s="86">
        <f>C63+C81+C91+C103</f>
        <v>26013274</v>
      </c>
      <c r="D104" s="86">
        <f>D63+D81+D91+D103</f>
        <v>440222</v>
      </c>
      <c r="E104" s="86">
        <f>E63+E81+E91+E103</f>
        <v>574846</v>
      </c>
      <c r="F104" s="86">
        <f>F63+F81+F91+F103</f>
        <v>0</v>
      </c>
      <c r="G104" s="86">
        <f>G63+G81+G103</f>
        <v>158129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9486996</v>
      </c>
      <c r="D109" s="24" t="s">
        <v>288</v>
      </c>
      <c r="E109" s="95">
        <f>('DOE25'!L277)+('DOE25'!L296)+('DOE25'!L315)</f>
        <v>257661</v>
      </c>
      <c r="F109" s="24" t="s">
        <v>288</v>
      </c>
      <c r="G109" s="24" t="s">
        <v>288</v>
      </c>
    </row>
    <row r="110" spans="1:7" x14ac:dyDescent="0.2">
      <c r="A110" t="s">
        <v>198</v>
      </c>
      <c r="B110" s="32" t="s">
        <v>199</v>
      </c>
      <c r="C110" s="95">
        <f>('DOE25'!L199)+('DOE25'!L217)+('DOE25'!L235)</f>
        <v>3959853</v>
      </c>
      <c r="D110" s="24" t="s">
        <v>288</v>
      </c>
      <c r="E110" s="95">
        <f>('DOE25'!L278)+('DOE25'!L297)+('DOE25'!L316)</f>
        <v>22805</v>
      </c>
      <c r="F110" s="24" t="s">
        <v>288</v>
      </c>
      <c r="G110" s="24" t="s">
        <v>288</v>
      </c>
    </row>
    <row r="111" spans="1:7" x14ac:dyDescent="0.2">
      <c r="A111" t="s">
        <v>200</v>
      </c>
      <c r="B111" s="32" t="s">
        <v>165</v>
      </c>
      <c r="C111" s="95">
        <f>('DOE25'!L200)+('DOE25'!L218)+('DOE25'!L236)</f>
        <v>93624</v>
      </c>
      <c r="D111" s="24" t="s">
        <v>288</v>
      </c>
      <c r="E111" s="95">
        <f>('DOE25'!L279)+('DOE25'!L298)+('DOE25'!L317)</f>
        <v>0</v>
      </c>
      <c r="F111" s="24" t="s">
        <v>288</v>
      </c>
      <c r="G111" s="24" t="s">
        <v>288</v>
      </c>
    </row>
    <row r="112" spans="1:7" x14ac:dyDescent="0.2">
      <c r="A112" t="s">
        <v>201</v>
      </c>
      <c r="B112" s="32" t="s">
        <v>167</v>
      </c>
      <c r="C112" s="95">
        <f>('DOE25'!L201)+('DOE25'!L219)+('DOE25'!L237)</f>
        <v>461580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14002053</v>
      </c>
      <c r="D115" s="86">
        <f>SUM(D109:D114)</f>
        <v>0</v>
      </c>
      <c r="E115" s="86">
        <f>SUM(E109:E114)</f>
        <v>280466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1766824</v>
      </c>
      <c r="D118" s="24" t="s">
        <v>288</v>
      </c>
      <c r="E118" s="95">
        <f>+('DOE25'!L282)+('DOE25'!L301)+('DOE25'!L320)</f>
        <v>0</v>
      </c>
      <c r="F118" s="24" t="s">
        <v>288</v>
      </c>
      <c r="G118" s="24" t="s">
        <v>288</v>
      </c>
    </row>
    <row r="119" spans="1:7" x14ac:dyDescent="0.2">
      <c r="A119" t="s">
        <v>208</v>
      </c>
      <c r="B119" s="32" t="s">
        <v>209</v>
      </c>
      <c r="C119" s="95">
        <f>('DOE25'!L204)+('DOE25'!L222)+('DOE25'!L240)</f>
        <v>1731030</v>
      </c>
      <c r="D119" s="24" t="s">
        <v>288</v>
      </c>
      <c r="E119" s="95">
        <f>+('DOE25'!L283)+('DOE25'!L302)+('DOE25'!L321)</f>
        <v>106928</v>
      </c>
      <c r="F119" s="24" t="s">
        <v>288</v>
      </c>
      <c r="G119" s="24" t="s">
        <v>288</v>
      </c>
    </row>
    <row r="120" spans="1:7" x14ac:dyDescent="0.2">
      <c r="A120" t="s">
        <v>210</v>
      </c>
      <c r="B120" s="32" t="s">
        <v>211</v>
      </c>
      <c r="C120" s="95">
        <f>('DOE25'!L205)+('DOE25'!L223)+('DOE25'!L241)</f>
        <v>1031610</v>
      </c>
      <c r="D120" s="24" t="s">
        <v>288</v>
      </c>
      <c r="E120" s="95">
        <f>+('DOE25'!L284)+('DOE25'!L303)+('DOE25'!L322)</f>
        <v>17935</v>
      </c>
      <c r="F120" s="24" t="s">
        <v>288</v>
      </c>
      <c r="G120" s="24" t="s">
        <v>288</v>
      </c>
    </row>
    <row r="121" spans="1:7" x14ac:dyDescent="0.2">
      <c r="A121" t="s">
        <v>212</v>
      </c>
      <c r="B121" s="32" t="s">
        <v>213</v>
      </c>
      <c r="C121" s="95">
        <f>('DOE25'!L206)+('DOE25'!L224)+('DOE25'!L242)</f>
        <v>1456961</v>
      </c>
      <c r="D121" s="24" t="s">
        <v>288</v>
      </c>
      <c r="E121" s="95">
        <f>+('DOE25'!L285)+('DOE25'!L304)+('DOE25'!L323)</f>
        <v>5716</v>
      </c>
      <c r="F121" s="24" t="s">
        <v>288</v>
      </c>
      <c r="G121" s="24" t="s">
        <v>288</v>
      </c>
    </row>
    <row r="122" spans="1:7" x14ac:dyDescent="0.2">
      <c r="A122" t="s">
        <v>214</v>
      </c>
      <c r="B122" s="32" t="s">
        <v>215</v>
      </c>
      <c r="C122" s="95">
        <f>('DOE25'!L207)+('DOE25'!L225)+('DOE25'!L243)</f>
        <v>20595</v>
      </c>
      <c r="D122" s="24" t="s">
        <v>288</v>
      </c>
      <c r="E122" s="95">
        <f>+('DOE25'!L286)+('DOE25'!L305)+('DOE25'!L324)</f>
        <v>0</v>
      </c>
      <c r="F122" s="24" t="s">
        <v>288</v>
      </c>
      <c r="G122" s="24" t="s">
        <v>288</v>
      </c>
    </row>
    <row r="123" spans="1:7" x14ac:dyDescent="0.2">
      <c r="A123" t="s">
        <v>216</v>
      </c>
      <c r="B123" s="32" t="s">
        <v>217</v>
      </c>
      <c r="C123" s="95">
        <f>('DOE25'!L208)+('DOE25'!L226)+('DOE25'!L244)</f>
        <v>2900476</v>
      </c>
      <c r="D123" s="24" t="s">
        <v>288</v>
      </c>
      <c r="E123" s="95">
        <f>+('DOE25'!L287)+('DOE25'!L306)+('DOE25'!L325)</f>
        <v>134383</v>
      </c>
      <c r="F123" s="24" t="s">
        <v>288</v>
      </c>
      <c r="G123" s="24" t="s">
        <v>288</v>
      </c>
    </row>
    <row r="124" spans="1:7" x14ac:dyDescent="0.2">
      <c r="A124" t="s">
        <v>218</v>
      </c>
      <c r="B124" s="32" t="s">
        <v>219</v>
      </c>
      <c r="C124" s="95">
        <f>('DOE25'!L209)+('DOE25'!L227)+('DOE25'!L245+'DOE25'!L255)</f>
        <v>1300530</v>
      </c>
      <c r="D124" s="24" t="s">
        <v>288</v>
      </c>
      <c r="E124" s="95">
        <f>+('DOE25'!L288)+('DOE25'!L307)+('DOE25'!L326)</f>
        <v>3370</v>
      </c>
      <c r="F124" s="24" t="s">
        <v>288</v>
      </c>
      <c r="G124" s="24" t="s">
        <v>288</v>
      </c>
    </row>
    <row r="125" spans="1:7" x14ac:dyDescent="0.2">
      <c r="A125" t="s">
        <v>220</v>
      </c>
      <c r="B125" s="32" t="s">
        <v>221</v>
      </c>
      <c r="C125" s="95">
        <f>('DOE25'!L210)+('DOE25'!L228)+('DOE25'!L246)</f>
        <v>1116757</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419778</v>
      </c>
      <c r="E127" s="24" t="s">
        <v>288</v>
      </c>
      <c r="F127" s="24" t="s">
        <v>288</v>
      </c>
      <c r="G127" s="24" t="s">
        <v>288</v>
      </c>
    </row>
    <row r="128" spans="1:7" ht="12.75" thickTop="1" thickBot="1" x14ac:dyDescent="0.25">
      <c r="A128" s="33" t="s">
        <v>226</v>
      </c>
      <c r="C128" s="86">
        <f>SUM(C118:C127)</f>
        <v>11324783</v>
      </c>
      <c r="D128" s="86">
        <f>SUM(D118:D127)</f>
        <v>419778</v>
      </c>
      <c r="E128" s="86">
        <f>SUM(E118:E127)</f>
        <v>268332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20305</v>
      </c>
      <c r="D138" s="24" t="s">
        <v>288</v>
      </c>
      <c r="E138" s="24" t="s">
        <v>288</v>
      </c>
      <c r="F138" s="24" t="s">
        <v>288</v>
      </c>
      <c r="G138" s="24" t="s">
        <v>288</v>
      </c>
    </row>
    <row r="139" spans="1:7" x14ac:dyDescent="0.2">
      <c r="A139" t="s">
        <v>239</v>
      </c>
      <c r="B139" s="32">
        <v>5252</v>
      </c>
      <c r="C139" s="95">
        <f>'DOE25'!L402</f>
        <v>137824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-13129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145000</v>
      </c>
      <c r="D144" s="141">
        <f>SUM(D130:D143)</f>
        <v>0</v>
      </c>
      <c r="E144" s="141">
        <f>SUM(E130:E143)</f>
        <v>0</v>
      </c>
      <c r="F144" s="141">
        <f>SUM(F130:F143)</f>
        <v>0</v>
      </c>
      <c r="G144" s="141">
        <f>SUM(G130:G143)</f>
        <v>0</v>
      </c>
    </row>
    <row r="145" spans="1:9" ht="12.75" thickTop="1" thickBot="1" x14ac:dyDescent="0.25">
      <c r="A145" s="33" t="s">
        <v>244</v>
      </c>
      <c r="C145" s="86">
        <f>(C115+C128+C144)</f>
        <v>25471836</v>
      </c>
      <c r="D145" s="86">
        <f>(D115+D128+D144)</f>
        <v>419778</v>
      </c>
      <c r="E145" s="86">
        <f>(E115+E128+E144)</f>
        <v>548798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INTER-LAKES SCHOOL DISTRICT</v>
      </c>
    </row>
    <row r="3" spans="1:4" x14ac:dyDescent="0.2">
      <c r="B3" s="188" t="s">
        <v>1587</v>
      </c>
    </row>
    <row r="4" spans="1:4" x14ac:dyDescent="0.2">
      <c r="B4" t="s">
        <v>61</v>
      </c>
      <c r="C4" s="179">
        <f>IF('DOE25'!F666+'DOE25'!F671=0,0,ROUND('DOE25'!F673,0))</f>
        <v>23028</v>
      </c>
    </row>
    <row r="5" spans="1:4" x14ac:dyDescent="0.2">
      <c r="B5" t="s">
        <v>700</v>
      </c>
      <c r="C5" s="179">
        <f>IF('DOE25'!G666+'DOE25'!G671=0,0,ROUND('DOE25'!G673,0))</f>
        <v>0</v>
      </c>
    </row>
    <row r="6" spans="1:4" x14ac:dyDescent="0.2">
      <c r="B6" t="s">
        <v>62</v>
      </c>
      <c r="C6" s="179">
        <f>IF('DOE25'!H666+'DOE25'!H671=0,0,ROUND('DOE25'!H673,0))</f>
        <v>26656</v>
      </c>
    </row>
    <row r="7" spans="1:4" x14ac:dyDescent="0.2">
      <c r="B7" t="s">
        <v>701</v>
      </c>
      <c r="C7" s="179">
        <f>IF('DOE25'!I666+'DOE25'!I671=0,0,ROUND('DOE25'!I673,0))</f>
        <v>24097</v>
      </c>
    </row>
    <row r="9" spans="1:4" x14ac:dyDescent="0.2">
      <c r="A9" s="187" t="s">
        <v>94</v>
      </c>
      <c r="B9" s="188" t="s">
        <v>1588</v>
      </c>
      <c r="C9" s="181" t="s">
        <v>720</v>
      </c>
      <c r="D9" s="181" t="s">
        <v>721</v>
      </c>
    </row>
    <row r="10" spans="1:4" x14ac:dyDescent="0.2">
      <c r="A10">
        <v>1100</v>
      </c>
      <c r="B10" t="s">
        <v>702</v>
      </c>
      <c r="C10" s="179">
        <f>ROUND('DOE25'!L198+'DOE25'!L216+'DOE25'!L234+'DOE25'!L277+'DOE25'!L296+'DOE25'!L315,0)</f>
        <v>9744657</v>
      </c>
      <c r="D10" s="182">
        <f>ROUND((C10/$C$28)*100,1)</f>
        <v>37.299999999999997</v>
      </c>
    </row>
    <row r="11" spans="1:4" x14ac:dyDescent="0.2">
      <c r="A11">
        <v>1200</v>
      </c>
      <c r="B11" t="s">
        <v>703</v>
      </c>
      <c r="C11" s="179">
        <f>ROUND('DOE25'!L199+'DOE25'!L217+'DOE25'!L235+'DOE25'!L278+'DOE25'!L297+'DOE25'!L316,0)</f>
        <v>3982658</v>
      </c>
      <c r="D11" s="182">
        <f>ROUND((C11/$C$28)*100,1)</f>
        <v>15.2</v>
      </c>
    </row>
    <row r="12" spans="1:4" x14ac:dyDescent="0.2">
      <c r="A12">
        <v>1300</v>
      </c>
      <c r="B12" t="s">
        <v>704</v>
      </c>
      <c r="C12" s="179">
        <f>ROUND('DOE25'!L200+'DOE25'!L218+'DOE25'!L236+'DOE25'!L279+'DOE25'!L298+'DOE25'!L317,0)</f>
        <v>93624</v>
      </c>
      <c r="D12" s="182">
        <f>ROUND((C12/$C$28)*100,1)</f>
        <v>0.4</v>
      </c>
    </row>
    <row r="13" spans="1:4" x14ac:dyDescent="0.2">
      <c r="A13">
        <v>1400</v>
      </c>
      <c r="B13" t="s">
        <v>705</v>
      </c>
      <c r="C13" s="179">
        <f>ROUND('DOE25'!L201+'DOE25'!L219+'DOE25'!L237+'DOE25'!L280+'DOE25'!L299+'DOE25'!L318,0)</f>
        <v>461580</v>
      </c>
      <c r="D13" s="182">
        <f>ROUND((C13/$C$28)*100,1)</f>
        <v>1.8</v>
      </c>
    </row>
    <row r="14" spans="1:4" x14ac:dyDescent="0.2">
      <c r="D14" s="182"/>
    </row>
    <row r="15" spans="1:4" x14ac:dyDescent="0.2">
      <c r="A15">
        <v>2100</v>
      </c>
      <c r="B15" t="s">
        <v>706</v>
      </c>
      <c r="C15" s="179">
        <f>ROUND('DOE25'!L203+'DOE25'!L221+'DOE25'!L239+'DOE25'!L282+'DOE25'!L301+'DOE25'!L320,0)</f>
        <v>1766824</v>
      </c>
      <c r="D15" s="182">
        <f t="shared" ref="D15:D27" si="0">ROUND((C15/$C$28)*100,1)</f>
        <v>6.8</v>
      </c>
    </row>
    <row r="16" spans="1:4" x14ac:dyDescent="0.2">
      <c r="A16">
        <v>2200</v>
      </c>
      <c r="B16" t="s">
        <v>707</v>
      </c>
      <c r="C16" s="179">
        <f>ROUND('DOE25'!L204+'DOE25'!L222+'DOE25'!L240+'DOE25'!L283+'DOE25'!L302+'DOE25'!L321,0)</f>
        <v>1837958</v>
      </c>
      <c r="D16" s="182">
        <f t="shared" si="0"/>
        <v>7</v>
      </c>
    </row>
    <row r="17" spans="1:4" x14ac:dyDescent="0.2">
      <c r="A17" s="183" t="s">
        <v>723</v>
      </c>
      <c r="B17" t="s">
        <v>738</v>
      </c>
      <c r="C17" s="179">
        <f>ROUND('DOE25'!L205+'DOE25'!L210+'DOE25'!L223+'DOE25'!L228+'DOE25'!L241+'DOE25'!L246+'DOE25'!L284+'DOE25'!L289+'DOE25'!L303+'DOE25'!L308+'DOE25'!L322+'DOE25'!L327,0)</f>
        <v>2166302</v>
      </c>
      <c r="D17" s="182">
        <f t="shared" si="0"/>
        <v>8.3000000000000007</v>
      </c>
    </row>
    <row r="18" spans="1:4" x14ac:dyDescent="0.2">
      <c r="A18">
        <v>2400</v>
      </c>
      <c r="B18" t="s">
        <v>711</v>
      </c>
      <c r="C18" s="179">
        <f>ROUND('DOE25'!L206+'DOE25'!L224+'DOE25'!L242+'DOE25'!L285+'DOE25'!L304+'DOE25'!L323,0)</f>
        <v>1462677</v>
      </c>
      <c r="D18" s="182">
        <f t="shared" si="0"/>
        <v>5.6</v>
      </c>
    </row>
    <row r="19" spans="1:4" x14ac:dyDescent="0.2">
      <c r="A19">
        <v>2500</v>
      </c>
      <c r="B19" t="s">
        <v>708</v>
      </c>
      <c r="C19" s="179">
        <f>ROUND('DOE25'!L207+'DOE25'!L225+'DOE25'!L243+'DOE25'!L286+'DOE25'!L305+'DOE25'!L324,0)</f>
        <v>20595</v>
      </c>
      <c r="D19" s="182">
        <f t="shared" si="0"/>
        <v>0.1</v>
      </c>
    </row>
    <row r="20" spans="1:4" x14ac:dyDescent="0.2">
      <c r="A20">
        <v>2600</v>
      </c>
      <c r="B20" t="s">
        <v>709</v>
      </c>
      <c r="C20" s="179">
        <f>ROUND('DOE25'!L208+'DOE25'!L226+'DOE25'!L244+'DOE25'!L287+'DOE25'!L306+'DOE25'!L325,0)</f>
        <v>3034859</v>
      </c>
      <c r="D20" s="182">
        <f t="shared" si="0"/>
        <v>11.6</v>
      </c>
    </row>
    <row r="21" spans="1:4" x14ac:dyDescent="0.2">
      <c r="A21">
        <v>2700</v>
      </c>
      <c r="B21" t="s">
        <v>710</v>
      </c>
      <c r="C21" s="179">
        <f>ROUND('DOE25'!L209+'DOE25'!L227+'DOE25'!L245+'DOE25'!L288+'DOE25'!L307+'DOE25'!L326,0)</f>
        <v>1303900</v>
      </c>
      <c r="D21" s="182">
        <f t="shared" si="0"/>
        <v>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262473</v>
      </c>
      <c r="D27" s="182">
        <f t="shared" si="0"/>
        <v>1</v>
      </c>
    </row>
    <row r="28" spans="1:4" x14ac:dyDescent="0.2">
      <c r="B28" s="187" t="s">
        <v>719</v>
      </c>
      <c r="C28" s="180">
        <f>SUM(C10:C27)</f>
        <v>26138107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26138107</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19629009</v>
      </c>
      <c r="D35" s="182">
        <f t="shared" ref="D35:D40" si="1">ROUND((C35/$C$41)*100,1)</f>
        <v>73</v>
      </c>
    </row>
    <row r="36" spans="1:4" x14ac:dyDescent="0.2">
      <c r="B36" s="185" t="s">
        <v>739</v>
      </c>
      <c r="C36" s="179">
        <f>SUM('DOE25'!F112:J112)-SUM('DOE25'!G97:G110)+('DOE25'!F175+'DOE25'!F176+'DOE25'!I175+'DOE25'!I176)-C35</f>
        <v>170547</v>
      </c>
      <c r="D36" s="182">
        <f t="shared" si="1"/>
        <v>0.6</v>
      </c>
    </row>
    <row r="37" spans="1:4" x14ac:dyDescent="0.2">
      <c r="A37" s="183" t="s">
        <v>835</v>
      </c>
      <c r="B37" s="185" t="s">
        <v>728</v>
      </c>
      <c r="C37" s="179">
        <f>ROUND('DOE25'!F117+'DOE25'!F118,0)</f>
        <v>5998697</v>
      </c>
      <c r="D37" s="182">
        <f t="shared" si="1"/>
        <v>22.3</v>
      </c>
    </row>
    <row r="38" spans="1:4" x14ac:dyDescent="0.2">
      <c r="A38" s="183" t="s">
        <v>734</v>
      </c>
      <c r="B38" s="185" t="s">
        <v>729</v>
      </c>
      <c r="C38" s="179">
        <f>ROUND(SUM('DOE25'!F140:J140)-SUM('DOE25'!F117:F119),0)</f>
        <v>316236</v>
      </c>
      <c r="D38" s="182">
        <f t="shared" si="1"/>
        <v>1.2</v>
      </c>
    </row>
    <row r="39" spans="1:4" x14ac:dyDescent="0.2">
      <c r="A39">
        <v>4000</v>
      </c>
      <c r="B39" s="185" t="s">
        <v>730</v>
      </c>
      <c r="C39" s="179">
        <f>ROUND('DOE25'!F170+'DOE25'!G170+'DOE25'!H170+'DOE25'!I170,0)</f>
        <v>769677</v>
      </c>
      <c r="D39" s="182">
        <f t="shared" si="1"/>
        <v>2.9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26884166</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INTER-LAKES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2020-09-15T13:32:04Z</cp:lastPrinted>
  <dcterms:created xsi:type="dcterms:W3CDTF">1997-12-04T19:04:30Z</dcterms:created>
  <dcterms:modified xsi:type="dcterms:W3CDTF">2020-12-11T15:13:05Z</dcterms:modified>
</cp:coreProperties>
</file>