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19" i="12" l="1"/>
  <c r="C19" i="12"/>
  <c r="C10" i="12"/>
  <c r="B10" i="12"/>
  <c r="H576" i="1" l="1"/>
  <c r="H592" i="1"/>
  <c r="H605" i="1" l="1"/>
  <c r="I527" i="1" l="1"/>
  <c r="H527" i="1"/>
  <c r="H203" i="1"/>
  <c r="F522" i="1"/>
  <c r="G522" i="1"/>
  <c r="F201" i="1" l="1"/>
  <c r="H208" i="1"/>
  <c r="H205" i="1"/>
  <c r="H204" i="1"/>
  <c r="H234" i="1"/>
  <c r="H198" i="1"/>
  <c r="I204" i="1"/>
  <c r="I203" i="1"/>
  <c r="F24" i="1" l="1"/>
  <c r="F23" i="1"/>
  <c r="G283" i="1" l="1"/>
  <c r="G277" i="1"/>
  <c r="H359" i="1" l="1"/>
  <c r="G359" i="1"/>
  <c r="G97"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C20" i="10" s="1"/>
  <c r="L244" i="1"/>
  <c r="G15" i="13"/>
  <c r="H15" i="13"/>
  <c r="L209" i="1"/>
  <c r="L227" i="1"/>
  <c r="G663" i="1" s="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E119" i="2" s="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C58" i="2" s="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C13" i="10"/>
  <c r="L251" i="1"/>
  <c r="C113" i="2" s="1"/>
  <c r="L333" i="1"/>
  <c r="E113" i="2" s="1"/>
  <c r="L255" i="1"/>
  <c r="L269" i="1"/>
  <c r="L270" i="1"/>
  <c r="L350" i="1"/>
  <c r="E142" i="2" s="1"/>
  <c r="L351" i="1"/>
  <c r="E143" i="2" s="1"/>
  <c r="I666" i="1"/>
  <c r="I671"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G653" i="1"/>
  <c r="H653" i="1"/>
  <c r="G654" i="1"/>
  <c r="H654" i="1"/>
  <c r="G655" i="1"/>
  <c r="H655" i="1"/>
  <c r="H656" i="1"/>
  <c r="J656" i="1" s="1"/>
  <c r="A40" i="12"/>
  <c r="G62" i="2"/>
  <c r="J258" i="1"/>
  <c r="J572" i="1"/>
  <c r="I170" i="1"/>
  <c r="J140" i="1"/>
  <c r="H140" i="1"/>
  <c r="F258" i="1" l="1"/>
  <c r="J652" i="1"/>
  <c r="C11" i="10"/>
  <c r="C121" i="2"/>
  <c r="D15" i="13"/>
  <c r="C15" i="13" s="1"/>
  <c r="G553" i="1"/>
  <c r="H477" i="1"/>
  <c r="H625" i="1" s="1"/>
  <c r="J625" i="1" s="1"/>
  <c r="H409" i="1"/>
  <c r="H645" i="1" s="1"/>
  <c r="L402" i="1"/>
  <c r="C139" i="2" s="1"/>
  <c r="G662" i="1"/>
  <c r="C91" i="2"/>
  <c r="F339" i="1"/>
  <c r="F353" i="1" s="1"/>
  <c r="J642" i="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H661" i="1" s="1"/>
  <c r="L212" i="1"/>
  <c r="H648" i="1"/>
  <c r="J645" i="1"/>
  <c r="J635"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G36" i="14" l="1"/>
  <c r="H36" i="14" s="1"/>
  <c r="I36" i="14" s="1"/>
  <c r="E51" i="2"/>
  <c r="E145" i="2"/>
  <c r="H649" i="1"/>
  <c r="F661" i="1"/>
  <c r="F665" i="1" s="1"/>
  <c r="F668" i="1" s="1"/>
  <c r="C141" i="2"/>
  <c r="C144" i="2" s="1"/>
  <c r="H665" i="1"/>
  <c r="H668" i="1" s="1"/>
  <c r="F194" i="1"/>
  <c r="G628" i="1" s="1"/>
  <c r="J628" i="1"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<sst xmlns="http://schemas.openxmlformats.org/spreadsheetml/2006/main" count="5545" uniqueCount="1643">
  <si>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</si>
  <si>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</si>
  <si>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</si>
  <si>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</si>
  <si>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</si>
  <si>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</si>
  <si>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</si>
  <si>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</si>
  <si>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</si>
  <si>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</si>
  <si>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</si>
  <si>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</si>
  <si>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</si>
  <si>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</si>
  <si>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</si>
  <si>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</si>
  <si>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</si>
  <si>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</si>
  <si>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</si>
  <si>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</si>
  <si>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</si>
  <si>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</si>
  <si>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</si>
  <si>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</si>
  <si>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</si>
  <si>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</si>
  <si>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</si>
  <si>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</si>
  <si>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</si>
  <si>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</si>
  <si>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</si>
  <si>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</si>
  <si>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</si>
  <si>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</si>
  <si>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</si>
  <si>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</si>
  <si>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</si>
  <si>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</si>
  <si>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</si>
  <si>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</si>
  <si>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</si>
  <si>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</si>
  <si>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</si>
  <si>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</si>
  <si>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</si>
  <si>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</si>
  <si>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</si>
  <si>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</si>
  <si>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</si>
  <si>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</si>
  <si>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</si>
  <si>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</si>
  <si>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</si>
  <si>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</si>
  <si>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</si>
  <si>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</si>
  <si>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</si>
  <si>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</si>
  <si>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</si>
  <si>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</si>
  <si>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</si>
  <si>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</si>
  <si>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</si>
  <si>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</si>
  <si>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</si>
  <si>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</si>
  <si>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</si>
  <si>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</si>
  <si>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</si>
  <si>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</si>
  <si>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</si>
  <si>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</si>
  <si>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</si>
  <si>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</si>
  <si>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</si>
  <si>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</si>
  <si>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</si>
  <si>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</si>
  <si>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</si>
  <si>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</si>
  <si>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</si>
  <si>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</si>
  <si>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</si>
  <si>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</si>
  <si>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</si>
  <si>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</si>
  <si>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</si>
  <si>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</si>
  <si>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</si>
  <si>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</si>
  <si>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</si>
  <si>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</si>
  <si>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</si>
  <si>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</si>
  <si>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</si>
  <si>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</si>
  <si>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</si>
  <si>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</si>
  <si>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</si>
  <si>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</si>
  <si>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</si>
  <si>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</si>
  <si>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</si>
  <si>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</si>
  <si>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</si>
  <si>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</si>
  <si>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</si>
  <si>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</si>
  <si>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</si>
  <si>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</si>
  <si>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</si>
  <si>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</si>
  <si>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</si>
  <si>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</si>
  <si>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</si>
  <si>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</si>
  <si>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</si>
  <si>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</si>
  <si>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</si>
  <si>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</si>
  <si>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</si>
  <si>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</si>
  <si>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</si>
  <si>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</si>
  <si>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</si>
  <si>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</si>
  <si>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</si>
  <si>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</si>
  <si>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</si>
  <si>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</si>
  <si>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</si>
  <si>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</si>
  <si>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</si>
  <si>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</si>
  <si>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</si>
  <si>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</si>
  <si>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</si>
  <si>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</si>
  <si>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</si>
  <si>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</si>
  <si>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</si>
  <si>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</si>
  <si>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</si>
  <si>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</si>
  <si>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</si>
  <si>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</si>
  <si>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</si>
  <si>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</si>
  <si>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</si>
  <si>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</si>
  <si>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</si>
  <si>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</si>
  <si>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</si>
  <si>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</si>
  <si>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</si>
  <si>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</si>
  <si>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</si>
  <si>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</si>
  <si>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</si>
  <si>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</si>
  <si>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</si>
  <si>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</si>
  <si>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</si>
  <si>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</si>
  <si>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</si>
  <si>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</si>
  <si>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</si>
  <si>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</si>
  <si>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</si>
  <si>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</si>
  <si>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</si>
  <si>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</si>
  <si>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</si>
  <si>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</si>
  <si>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</si>
  <si>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</si>
  <si>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</si>
  <si>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</si>
  <si>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</si>
  <si>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</si>
  <si>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</si>
  <si>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</si>
  <si>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</si>
  <si>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</si>
  <si>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</si>
  <si>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</si>
  <si>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</si>
  <si>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</si>
  <si>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</si>
  <si>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</si>
  <si>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</si>
  <si>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</si>
  <si>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</si>
  <si>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</si>
  <si>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</si>
  <si>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</si>
  <si>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</si>
  <si>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</si>
  <si>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</si>
  <si>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</si>
  <si>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</si>
  <si>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</si>
  <si>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</si>
  <si>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</si>
  <si>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</si>
  <si>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</si>
  <si>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</si>
  <si>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</si>
  <si>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</si>
  <si>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</si>
  <si>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</si>
  <si>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</si>
  <si>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</si>
  <si>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</si>
  <si>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</si>
  <si>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</si>
  <si>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</si>
  <si>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</si>
  <si>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</si>
  <si>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</si>
  <si>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</si>
  <si>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</si>
  <si>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</si>
  <si>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</si>
  <si>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</si>
  <si>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</si>
  <si>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</si>
  <si>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</si>
  <si>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</si>
  <si>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</si>
  <si>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</si>
  <si>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</si>
  <si>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</si>
  <si>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</si>
  <si>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</si>
  <si>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</si>
  <si>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</si>
  <si>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</si>
  <si>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</si>
  <si>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</si>
  <si>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</si>
  <si>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</si>
  <si>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</si>
  <si>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</si>
  <si>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</si>
  <si>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</si>
  <si>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</si>
  <si>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</si>
  <si>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</si>
  <si>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</si>
  <si>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</si>
  <si>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</si>
  <si>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</si>
  <si>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</si>
  <si>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</si>
  <si>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</si>
  <si>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</si>
  <si>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</si>
  <si>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</si>
  <si>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</si>
  <si>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</si>
  <si>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</si>
  <si>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</si>
  <si>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</si>
  <si>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</si>
  <si>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</si>
  <si>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</si>
  <si>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</si>
  <si>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</si>
  <si>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</si>
  <si>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</si>
  <si>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</si>
  <si>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</si>
  <si>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</si>
  <si>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</si>
  <si>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</si>
  <si>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</si>
  <si>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</si>
  <si>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</si>
  <si>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</si>
  <si>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</si>
  <si>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</si>
  <si>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</si>
  <si>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</si>
  <si>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</si>
  <si>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</si>
  <si>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</si>
  <si>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</si>
  <si>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</si>
  <si>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</si>
  <si>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</si>
  <si>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</si>
  <si>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</si>
  <si>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</si>
  <si>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</si>
  <si>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</si>
  <si>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</si>
  <si>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</si>
  <si>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</si>
  <si>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</si>
  <si>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</si>
  <si>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</si>
  <si>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</si>
  <si>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</si>
  <si>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</si>
  <si>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</si>
  <si>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</si>
  <si>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</si>
  <si>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</si>
  <si>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</si>
  <si>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</si>
  <si>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</si>
  <si>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</si>
  <si>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</si>
  <si>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</si>
  <si>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</si>
  <si>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</si>
  <si>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</si>
  <si>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</si>
  <si>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</si>
  <si>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</si>
  <si>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</si>
  <si>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</si>
  <si>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</si>
  <si>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</si>
  <si>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</si>
  <si>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</si>
  <si>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</si>
  <si>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</si>
  <si>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</si>
  <si>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</si>
  <si>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</si>
  <si>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</si>
  <si>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</si>
  <si>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</si>
  <si>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</si>
  <si>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</si>
  <si>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</si>
  <si>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</si>
  <si>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</si>
  <si>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</si>
  <si>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</si>
  <si>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</si>
  <si>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</si>
  <si>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</si>
  <si>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</si>
  <si>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</si>
  <si>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</si>
  <si>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</si>
  <si>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</si>
  <si>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</si>
  <si>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</si>
  <si>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</si>
  <si>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</si>
  <si>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</si>
  <si>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</si>
  <si>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</si>
  <si>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</si>
  <si>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</si>
  <si>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</si>
  <si>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</si>
  <si>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</si>
  <si>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</si>
  <si>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</si>
  <si>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</si>
  <si>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</si>
  <si>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</si>
  <si>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</si>
  <si>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</si>
  <si>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</si>
  <si>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</si>
  <si>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</si>
  <si>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</si>
  <si>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</si>
  <si>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</si>
  <si>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</si>
  <si>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</si>
  <si>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</si>
  <si>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</si>
  <si>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</si>
  <si>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</si>
  <si>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</si>
  <si>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</si>
  <si>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</si>
  <si>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</si>
  <si>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</si>
  <si>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</si>
  <si>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</si>
  <si>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</si>
  <si>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</si>
  <si>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</si>
  <si>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</si>
  <si>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</si>
  <si>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</si>
  <si>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</si>
  <si>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</si>
  <si>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</si>
  <si>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</si>
  <si>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</si>
  <si>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</si>
  <si>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</si>
  <si>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</si>
  <si>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</si>
  <si>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</si>
  <si>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</si>
  <si>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</si>
  <si>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</si>
  <si>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</si>
  <si>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</si>
  <si>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</si>
  <si>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</si>
  <si>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</si>
  <si>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</si>
  <si>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</si>
  <si>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</si>
  <si>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</si>
  <si>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</si>
  <si>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</si>
  <si>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</si>
  <si>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</si>
  <si>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</si>
  <si>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</si>
  <si>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</si>
  <si>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</si>
  <si>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</si>
  <si>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</si>
  <si>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</si>
  <si>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</si>
  <si>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</si>
  <si>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</si>
  <si>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</si>
  <si>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</si>
  <si>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</si>
  <si>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</si>
  <si>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</si>
  <si>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</si>
  <si>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</si>
  <si>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</si>
  <si>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</si>
  <si>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</si>
  <si>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</si>
  <si>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</si>
  <si>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</si>
  <si>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</si>
  <si>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</si>
  <si>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</si>
  <si>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</si>
  <si>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</si>
  <si>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</si>
  <si>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</si>
  <si>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</si>
  <si>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</si>
  <si>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</si>
  <si>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</si>
  <si>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</si>
  <si>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</si>
  <si>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</si>
  <si>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</si>
  <si>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</si>
  <si>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</si>
  <si>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</si>
  <si>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</si>
  <si>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</si>
  <si>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</si>
  <si>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</si>
  <si>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</si>
  <si>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</si>
  <si>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</si>
  <si>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</si>
  <si>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</si>
  <si>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</si>
  <si>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</si>
  <si>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</si>
  <si>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</si>
  <si>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</si>
  <si>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</si>
  <si>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</si>
  <si>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</si>
  <si>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</si>
  <si>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</si>
  <si>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</si>
  <si>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</si>
  <si>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</si>
  <si>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</si>
  <si>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</si>
  <si>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</si>
  <si>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</si>
  <si>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</si>
  <si>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</si>
  <si>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</si>
  <si>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</si>
  <si>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</si>
  <si>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</si>
  <si>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</si>
  <si>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</si>
  <si>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</si>
  <si>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</si>
  <si>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</si>
  <si>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</si>
  <si>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</si>
  <si>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</si>
  <si>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</si>
  <si>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</si>
  <si>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</si>
  <si>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</si>
  <si>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</si>
  <si>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</si>
  <si>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</si>
  <si>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</si>
  <si>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</si>
  <si>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</si>
  <si>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</si>
  <si>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</si>
  <si>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</si>
  <si>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</si>
  <si>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</si>
  <si>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</si>
  <si>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</si>
  <si>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</si>
  <si>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</si>
  <si>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</si>
  <si>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</si>
  <si>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</si>
  <si>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</si>
  <si>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</si>
  <si>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</si>
  <si>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</si>
  <si>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</si>
  <si>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</si>
  <si>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</si>
  <si>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</si>
  <si>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</si>
  <si>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</si>
  <si>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</si>
  <si>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</si>
  <si>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</si>
  <si>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</si>
  <si>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</si>
  <si>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</si>
  <si>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</si>
  <si>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</si>
  <si>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</si>
  <si>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</si>
  <si>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</si>
  <si>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</si>
  <si>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</si>
  <si>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</si>
  <si>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</si>
  <si>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</si>
  <si>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</si>
  <si>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</si>
  <si>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</si>
  <si>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</si>
  <si>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</si>
  <si>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</si>
  <si>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</si>
  <si>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</si>
  <si>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</si>
  <si>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</si>
  <si>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</si>
  <si>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</si>
  <si>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</si>
  <si>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</si>
  <si>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</si>
  <si>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</si>
  <si>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</si>
  <si>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</si>
  <si>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</si>
  <si>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</si>
  <si>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</si>
  <si>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</si>
  <si>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</si>
  <si>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</si>
  <si>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</si>
  <si>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</si>
  <si>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</si>
  <si>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</si>
  <si>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</si>
  <si>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</si>
  <si>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</si>
  <si>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</si>
  <si>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</si>
  <si>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</si>
  <si>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</si>
  <si>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</si>
  <si>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</si>
  <si>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</si>
  <si>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</si>
  <si>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</si>
  <si>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</si>
  <si>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</si>
  <si>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</si>
  <si>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</si>
  <si>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</si>
  <si>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</si>
  <si>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</si>
  <si>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</si>
  <si>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</si>
  <si>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</si>
  <si>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</si>
  <si>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</si>
  <si>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</si>
  <si>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</si>
  <si>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</si>
  <si>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</si>
  <si>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</si>
  <si>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</si>
  <si>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</si>
  <si>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</si>
  <si>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</si>
  <si>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</si>
  <si>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</si>
  <si>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</si>
  <si>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</si>
  <si>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</si>
  <si>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</si>
  <si>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</si>
  <si>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</si>
  <si>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</si>
  <si>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</si>
  <si>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</si>
  <si>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</si>
  <si>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</si>
  <si>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</si>
  <si>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</si>
  <si>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</si>
  <si>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</si>
  <si>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</si>
  <si>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</si>
  <si>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</si>
  <si>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</si>
  <si>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</si>
  <si>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</si>
  <si>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</si>
  <si>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</si>
  <si>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</si>
  <si>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</si>
  <si>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</si>
  <si>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</si>
  <si>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</si>
  <si>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</si>
  <si>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</si>
  <si>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</si>
  <si>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</si>
  <si>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</si>
  <si>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</si>
  <si>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</si>
  <si>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</si>
  <si>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</si>
  <si>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</si>
  <si>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</si>
  <si>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</si>
  <si>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</si>
  <si>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</si>
  <si>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</si>
  <si>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</si>
  <si>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</si>
  <si>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</si>
  <si>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</si>
  <si>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</si>
  <si>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</si>
  <si>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</si>
  <si>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</si>
  <si>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</si>
  <si>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</si>
  <si>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</si>
  <si>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</si>
  <si>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</si>
  <si>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</si>
  <si>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</si>
  <si>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</si>
  <si>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</si>
  <si>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</si>
  <si>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</si>
  <si>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</si>
  <si>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</si>
  <si>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</si>
  <si>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</si>
  <si>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</si>
  <si>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</si>
  <si>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</si>
  <si>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</si>
  <si>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</si>
  <si>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</si>
  <si>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</si>
  <si>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</si>
  <si>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</si>
  <si>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</si>
  <si>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</si>
  <si>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</si>
  <si>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</si>
  <si>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</si>
  <si>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</si>
  <si>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</si>
  <si>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</si>
  <si>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</si>
  <si>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</si>
  <si>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</si>
  <si>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</si>
  <si>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</si>
  <si>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</si>
  <si>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</si>
  <si>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</si>
  <si>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</si>
  <si>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</si>
  <si>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</si>
  <si>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</si>
  <si>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</si>
  <si>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</si>
  <si>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</si>
  <si>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</si>
  <si>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</si>
  <si>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</si>
  <si>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</si>
  <si>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</si>
  <si>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</si>
  <si>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</si>
  <si>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</si>
  <si>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</si>
  <si>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</si>
  <si>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</si>
  <si>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</si>
  <si>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</si>
  <si>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</si>
  <si>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</si>
  <si>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</si>
  <si>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</si>
  <si>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</si>
  <si>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</si>
  <si>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</si>
  <si>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</si>
  <si>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</si>
  <si>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</si>
  <si>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</si>
  <si>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</si>
  <si>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</si>
  <si>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</si>
  <si>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</si>
  <si>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</si>
  <si>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</si>
  <si>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</si>
  <si>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</si>
  <si>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</si>
  <si>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</si>
  <si>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</si>
  <si>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</si>
  <si>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</si>
  <si>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</si>
  <si>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</si>
  <si>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</si>
  <si>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</si>
  <si>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</si>
  <si>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</si>
  <si>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</si>
  <si>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</si>
  <si>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</si>
  <si>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</si>
  <si>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</si>
  <si>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</si>
  <si>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</si>
  <si>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</si>
  <si>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</si>
  <si>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</si>
  <si>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</si>
  <si>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</si>
  <si>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</si>
  <si>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</si>
  <si>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</si>
  <si>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</si>
  <si>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</si>
  <si>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</si>
  <si>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</si>
  <si>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</si>
  <si>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</si>
  <si>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</si>
  <si>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</si>
  <si>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</si>
  <si>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</si>
  <si>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</si>
  <si>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</si>
  <si>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</si>
  <si>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</si>
  <si>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</si>
  <si>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</si>
  <si>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</si>
  <si>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</si>
  <si>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</si>
  <si>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</si>
  <si>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</si>
  <si>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</si>
  <si>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</si>
  <si>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</si>
  <si>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</si>
  <si>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</si>
  <si>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</si>
  <si>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</si>
  <si>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</si>
  <si>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</si>
  <si>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</si>
  <si>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</si>
  <si>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</si>
  <si>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</si>
  <si>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</si>
  <si>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</si>
  <si>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</si>
  <si>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</si>
  <si>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</si>
  <si>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</si>
  <si>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</si>
  <si>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</si>
  <si>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</si>
  <si>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</si>
  <si>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</si>
  <si>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</si>
  <si>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</si>
  <si>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</si>
  <si>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</si>
  <si>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</si>
  <si>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</si>
  <si>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</si>
  <si>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</si>
  <si>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</si>
  <si>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</si>
  <si>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</si>
  <si>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</si>
  <si>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</si>
  <si>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</si>
  <si>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</si>
  <si>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</si>
  <si>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</si>
  <si>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</si>
  <si>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</si>
  <si>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</si>
  <si>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</si>
  <si>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</si>
  <si>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</si>
  <si>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</si>
  <si>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</si>
  <si>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</si>
  <si>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</si>
  <si>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</si>
  <si>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</si>
  <si>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</si>
  <si>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</si>
  <si>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</si>
  <si>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</si>
  <si>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</si>
  <si>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</si>
  <si>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</si>
  <si>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</si>
  <si>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</si>
  <si>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</si>
  <si>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</si>
  <si>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</si>
  <si>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</si>
  <si>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</si>
  <si>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</si>
  <si>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</si>
  <si>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</si>
  <si>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</si>
  <si>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</si>
  <si>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</si>
  <si>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</si>
  <si>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</si>
  <si>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</si>
  <si>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</si>
  <si>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</si>
  <si>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</si>
  <si>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</si>
  <si>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</si>
  <si>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</si>
  <si>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</si>
  <si>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</si>
  <si>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</si>
  <si>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</si>
  <si>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</si>
  <si>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</si>
  <si>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</si>
  <si>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</si>
  <si>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</si>
  <si>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</si>
  <si>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</si>
  <si>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</si>
  <si>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</si>
  <si>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</si>
  <si>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</si>
  <si>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</si>
  <si>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</si>
  <si>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</si>
  <si>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</si>
  <si>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</si>
  <si>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</si>
  <si>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</si>
  <si>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</si>
  <si>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</si>
  <si>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</si>
  <si>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</si>
  <si>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</si>
  <si>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</si>
  <si>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</si>
  <si>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</si>
  <si>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</si>
  <si>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</si>
  <si>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</si>
  <si>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</si>
  <si>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</si>
  <si>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</si>
  <si>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</si>
  <si>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</si>
  <si>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</si>
  <si>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</si>
  <si>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</si>
  <si>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</si>
  <si>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</si>
  <si>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</si>
  <si>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</si>
  <si>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</si>
  <si>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</si>
  <si>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</si>
  <si>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</si>
  <si>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</si>
  <si>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</si>
  <si>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</si>
  <si>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</si>
  <si>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</si>
  <si>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</si>
  <si>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</si>
  <si>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</si>
  <si>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</si>
  <si>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</si>
  <si>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</si>
  <si>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</si>
  <si>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</si>
  <si>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</si>
  <si>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</si>
  <si>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</si>
  <si>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</si>
  <si>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</si>
  <si>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</si>
  <si>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</si>
  <si>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</si>
  <si>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</si>
  <si>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</si>
  <si>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</si>
  <si>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</si>
  <si>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</si>
  <si>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</si>
  <si>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</si>
  <si>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</si>
  <si>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</si>
  <si>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</si>
  <si>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</si>
  <si>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</si>
  <si>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</si>
  <si>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</si>
  <si>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</si>
  <si>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</si>
  <si>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</si>
  <si>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</si>
  <si>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</si>
  <si>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</si>
  <si>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</si>
  <si>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</si>
  <si>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</si>
  <si>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</si>
  <si>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</si>
  <si>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</si>
  <si>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</si>
  <si>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</si>
  <si>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</si>
  <si>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</si>
  <si>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</si>
  <si>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</si>
  <si>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</si>
  <si>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</si>
  <si>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</si>
  <si>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</si>
  <si>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</si>
  <si>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</si>
  <si>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</si>
  <si>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</si>
  <si>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</si>
  <si>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</si>
  <si>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</si>
  <si>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</si>
  <si>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</si>
  <si>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</si>
  <si>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</si>
  <si>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</si>
  <si>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</si>
  <si>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</si>
  <si>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</si>
  <si>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</si>
  <si>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</si>
  <si>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</si>
  <si>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</si>
  <si>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</si>
  <si>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</si>
  <si>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</si>
  <si>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</si>
  <si>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</si>
  <si>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</si>
  <si>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</si>
  <si>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</si>
  <si>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</si>
  <si>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</si>
  <si>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</si>
  <si>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</si>
  <si>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</si>
  <si>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</si>
  <si>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</si>
  <si>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</si>
  <si>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</si>
  <si>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</si>
  <si>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</si>
  <si>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</si>
  <si>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</si>
  <si>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</si>
  <si>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</si>
  <si>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</si>
  <si>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</si>
  <si>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</si>
  <si>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</si>
  <si>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</si>
  <si>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</si>
  <si>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</si>
  <si>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</si>
  <si>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</si>
  <si>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</si>
  <si>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</si>
  <si>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</si>
  <si>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</si>
  <si>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</si>
  <si>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</si>
  <si>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</si>
  <si>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</si>
  <si>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</si>
  <si>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</si>
  <si>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</si>
  <si>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</si>
  <si>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</si>
  <si>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</si>
  <si>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</si>
  <si>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</si>
  <si>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</si>
  <si>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</si>
  <si>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</si>
  <si>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</si>
  <si>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</si>
  <si>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</si>
  <si>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</si>
  <si>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</si>
  <si>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</si>
  <si>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</si>
  <si>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</si>
  <si>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</si>
  <si>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</si>
  <si>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</si>
  <si>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</si>
  <si>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</si>
  <si>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</si>
  <si>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</si>
  <si>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</si>
  <si>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</si>
  <si>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</si>
  <si>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</si>
  <si>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</si>
  <si>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</si>
  <si>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</si>
  <si>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</si>
  <si>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</si>
  <si>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</si>
  <si>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</si>
  <si>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</si>
  <si>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</si>
  <si>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</si>
  <si>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</si>
  <si>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</si>
  <si>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</si>
  <si>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</si>
  <si>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</si>
  <si>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</si>
  <si>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</si>
  <si>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</si>
  <si>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</si>
  <si>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</si>
  <si>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</si>
  <si>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</si>
  <si>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</si>
  <si>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</si>
  <si>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</si>
  <si>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</si>
  <si>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</si>
  <si>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</si>
  <si>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</si>
  <si>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</si>
  <si>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</si>
  <si>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</si>
  <si>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</si>
  <si>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</si>
  <si>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</si>
  <si>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</si>
  <si>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</si>
  <si>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</si>
  <si>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</si>
  <si>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</si>
  <si>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</si>
  <si>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</si>
  <si>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</si>
  <si>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</si>
  <si>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</si>
  <si>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</si>
  <si>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</si>
  <si>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</si>
  <si>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</si>
  <si>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</si>
  <si>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</si>
  <si>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</si>
  <si>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</si>
  <si>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</si>
  <si>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</si>
  <si>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</si>
  <si>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</si>
  <si>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</si>
  <si>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</si>
  <si>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</si>
  <si>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</si>
  <si>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</si>
  <si>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</si>
  <si>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</si>
  <si>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</si>
  <si>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</si>
  <si>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</si>
  <si>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</si>
  <si>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</si>
  <si>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</si>
  <si>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</si>
  <si>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</si>
  <si>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</si>
  <si>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</si>
  <si>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</si>
  <si>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</si>
  <si>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</si>
  <si>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</si>
  <si>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</si>
  <si>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</si>
  <si>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</si>
  <si>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</si>
  <si>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</si>
  <si>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</si>
  <si>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</si>
  <si>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</si>
  <si>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</si>
  <si>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</si>
  <si>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</si>
  <si>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</si>
  <si>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</si>
  <si>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</si>
  <si>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</si>
  <si>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</si>
  <si>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</si>
  <si>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</si>
  <si>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</si>
  <si>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</si>
  <si>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</si>
  <si>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</si>
  <si>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</si>
  <si>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</si>
  <si>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</si>
  <si>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</si>
  <si>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</si>
  <si>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</si>
  <si>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</si>
  <si>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</si>
  <si>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</si>
  <si>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</si>
  <si>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</si>
  <si>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</si>
  <si>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</si>
  <si>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</si>
  <si>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</si>
  <si>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</si>
  <si>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</si>
  <si>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</si>
  <si>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</si>
  <si>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</si>
  <si>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</si>
  <si>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</si>
  <si>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</si>
  <si>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</si>
  <si>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</si>
  <si>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</si>
  <si>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</si>
  <si>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</si>
  <si>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</si>
  <si>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</si>
  <si>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</si>
  <si>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</si>
  <si>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</si>
  <si>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</si>
  <si>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</si>
  <si>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</si>
  <si>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</si>
  <si>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</si>
  <si>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</si>
  <si>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</si>
  <si>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</si>
  <si>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</si>
  <si>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</si>
  <si>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</si>
  <si>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</si>
  <si>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</si>
  <si>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</si>
  <si>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</si>
  <si>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</si>
  <si>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</si>
  <si>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</si>
  <si>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</si>
  <si>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</si>
  <si>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</si>
  <si>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</si>
  <si>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</si>
  <si>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</si>
  <si>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</si>
  <si>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</si>
  <si>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</si>
  <si>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</si>
  <si>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</si>
  <si>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</si>
  <si>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</si>
  <si>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</si>
  <si>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</si>
  <si>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</si>
  <si>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</si>
  <si>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</si>
  <si>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</si>
  <si>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</si>
  <si>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</si>
  <si>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</si>
  <si>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</si>
  <si>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</si>
  <si>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</si>
  <si>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</si>
  <si>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</si>
  <si>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</si>
  <si>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</si>
  <si>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</si>
  <si>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</si>
  <si>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</si>
  <si>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</si>
  <si>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</si>
  <si>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</si>
  <si>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</si>
  <si>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</si>
  <si>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</si>
  <si>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</si>
  <si>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</si>
  <si>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</si>
  <si>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</si>
  <si>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</si>
  <si>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</si>
  <si>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</si>
  <si>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</si>
  <si>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</si>
  <si>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</si>
  <si>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</si>
  <si>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</si>
  <si>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</si>
  <si>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</si>
  <si>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</si>
  <si>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</si>
  <si>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</si>
  <si>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</si>
  <si>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</si>
  <si>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</si>
  <si>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</si>
  <si>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</si>
  <si>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</si>
  <si>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</si>
  <si>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</si>
  <si>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</si>
  <si>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</si>
  <si>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</si>
  <si>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</si>
  <si>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</si>
  <si>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</si>
  <si>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</si>
  <si>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</si>
  <si>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</si>
  <si>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</si>
  <si>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</si>
  <si>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</si>
  <si>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</si>
  <si>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</si>
  <si>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</si>
  <si>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</si>
  <si>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</si>
  <si>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</si>
  <si>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</si>
  <si>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</si>
  <si>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</si>
  <si>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</si>
  <si>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</si>
  <si>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</si>
  <si>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</si>
  <si>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</si>
  <si>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</si>
  <si>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</si>
  <si>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</si>
  <si>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</si>
  <si>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</si>
  <si>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</si>
  <si>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</si>
  <si>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</si>
  <si>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</si>
  <si>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</si>
  <si>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</si>
  <si>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</si>
  <si>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</si>
  <si>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</si>
  <si>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</si>
  <si>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</si>
  <si>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</si>
  <si>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</si>
  <si>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</si>
  <si>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</si>
  <si>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</si>
  <si>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</si>
  <si>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</si>
  <si>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</si>
  <si>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</si>
  <si>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</si>
  <si>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</si>
  <si>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</si>
  <si>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</si>
  <si>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</si>
  <si>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</si>
  <si>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</si>
  <si>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</si>
  <si>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</si>
  <si>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</si>
  <si>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</si>
  <si>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</si>
  <si>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</si>
  <si>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</si>
  <si>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</si>
  <si>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</si>
  <si>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</si>
  <si>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</si>
  <si>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</si>
  <si>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</si>
  <si>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</si>
  <si>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</si>
  <si>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</si>
  <si>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</si>
  <si>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</si>
  <si>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</si>
  <si>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</si>
  <si>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</si>
  <si>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</si>
  <si>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</si>
  <si>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</si>
  <si>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</si>
  <si>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</si>
  <si>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</si>
  <si>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</si>
  <si>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</si>
  <si>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</si>
  <si>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</si>
  <si>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</si>
  <si>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</si>
  <si>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</si>
  <si>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</si>
  <si>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</si>
  <si>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</si>
  <si>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</si>
  <si>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</si>
  <si>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</si>
  <si>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</si>
  <si>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</si>
  <si>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</si>
  <si>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</si>
  <si>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</si>
  <si>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</si>
  <si>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</si>
  <si>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</si>
  <si>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</si>
  <si>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</si>
  <si>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</si>
  <si>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</si>
  <si>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</si>
  <si>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</si>
  <si>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</si>
  <si>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</si>
  <si>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</si>
  <si>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</si>
  <si>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</si>
  <si>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</si>
  <si>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</si>
  <si>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</si>
  <si>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</si>
  <si>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</si>
  <si>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</si>
  <si>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</si>
  <si>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</si>
  <si>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</si>
  <si>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</si>
  <si>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</si>
  <si>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</si>
  <si>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</si>
  <si>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</si>
  <si>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</si>
  <si>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</si>
  <si>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</si>
  <si>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</si>
  <si>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</si>
  <si>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</si>
  <si>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</si>
  <si>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</si>
  <si>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</si>
  <si>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</si>
  <si>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</si>
  <si>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</si>
  <si>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</si>
  <si>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</si>
  <si>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</si>
  <si>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</si>
  <si>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</si>
  <si>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</si>
  <si>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</si>
  <si>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</si>
  <si>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</si>
  <si>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</si>
  <si>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</si>
  <si>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</si>
  <si>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</si>
  <si>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</si>
  <si>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</si>
  <si>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</si>
  <si>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</si>
  <si>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</si>
  <si>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</si>
  <si>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</si>
  <si>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</si>
  <si>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</si>
  <si>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</si>
  <si>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</si>
  <si>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</si>
  <si>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</si>
  <si>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</si>
  <si>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</si>
  <si>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</si>
  <si>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</si>
  <si>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</si>
  <si>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</si>
  <si>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</si>
  <si>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</si>
  <si>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</si>
  <si>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</si>
  <si>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</si>
  <si>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</si>
  <si>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</si>
  <si>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</si>
  <si>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</si>
  <si>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</si>
  <si>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</si>
  <si>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</si>
  <si>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</si>
  <si>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</si>
  <si>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</si>
  <si>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</si>
  <si>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</si>
  <si>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</si>
  <si>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</si>
  <si>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</si>
  <si>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</si>
  <si>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</si>
  <si>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</si>
  <si>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</si>
  <si>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</si>
  <si>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</si>
  <si>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</si>
  <si>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</si>
  <si>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</si>
  <si>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</si>
  <si>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</si>
  <si>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</si>
  <si>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</si>
  <si>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</si>
  <si>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</si>
  <si>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</si>
  <si>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</si>
  <si>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</si>
  <si>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</si>
  <si>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</si>
  <si>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</si>
  <si>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</si>
  <si>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</si>
  <si>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</si>
  <si>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</si>
  <si>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</si>
  <si>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</si>
  <si>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</si>
  <si>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</si>
  <si>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</si>
  <si>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</si>
  <si>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</si>
  <si>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</si>
  <si>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</si>
  <si>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</si>
  <si>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</si>
  <si>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</si>
  <si>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</si>
  <si>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</si>
  <si>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</si>
  <si>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</si>
  <si>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</si>
  <si>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</si>
  <si>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</si>
  <si>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</si>
  <si>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</si>
  <si>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</si>
  <si>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</si>
  <si>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</si>
  <si>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</si>
  <si>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</si>
  <si>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</si>
  <si>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</si>
  <si>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</si>
  <si>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</si>
  <si>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</si>
  <si>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</si>
  <si>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</si>
  <si>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</si>
  <si>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</si>
  <si>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</si>
  <si>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</si>
  <si>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</si>
  <si>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</si>
  <si>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</si>
  <si>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</si>
  <si>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</si>
  <si>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</si>
  <si>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</si>
  <si>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</si>
  <si>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</si>
  <si>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</si>
  <si>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</si>
  <si>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</si>
  <si>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</si>
  <si>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</si>
  <si>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</si>
  <si>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</si>
  <si>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</si>
  <si>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</si>
  <si>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</si>
  <si>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</si>
  <si>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</si>
  <si>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</si>
  <si>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</si>
  <si>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</si>
  <si>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</si>
  <si>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</si>
  <si>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</si>
  <si>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</si>
  <si>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</si>
  <si>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</si>
  <si>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</si>
  <si>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</si>
  <si>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</si>
  <si>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</si>
  <si>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</si>
  <si>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</si>
  <si>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</si>
  <si>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</si>
  <si>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</si>
  <si>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</si>
  <si>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</si>
  <si>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</si>
  <si>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</si>
  <si>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</si>
  <si>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</si>
  <si>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</si>
  <si>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</si>
  <si>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</si>
  <si>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</si>
  <si>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</si>
  <si>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</si>
  <si>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</si>
  <si>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</si>
  <si>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</si>
  <si>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</si>
  <si>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</si>
  <si>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</si>
  <si>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</si>
  <si>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</si>
  <si>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</si>
  <si>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</si>
  <si>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</si>
  <si>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</si>
  <si>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</si>
  <si>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</si>
  <si>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</si>
  <si>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</si>
  <si>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</si>
  <si>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</si>
  <si>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</si>
  <si>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</si>
  <si>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</si>
  <si>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</si>
  <si>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</si>
  <si>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</si>
  <si>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</si>
  <si>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</si>
  <si>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</si>
  <si>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</si>
  <si>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</si>
  <si>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</si>
  <si>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</si>
  <si>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</si>
  <si>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</si>
  <si>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</si>
  <si>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</si>
  <si>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</si>
  <si>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</si>
  <si>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</si>
  <si>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</si>
  <si>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</si>
  <si>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</si>
  <si>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</si>
  <si>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</si>
  <si>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</si>
  <si>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</si>
  <si>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</si>
  <si>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</si>
  <si>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</si>
  <si>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</si>
  <si>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</si>
  <si>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</si>
  <si>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</si>
  <si>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</si>
  <si>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</si>
  <si>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Jackson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</si>
</sst>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141" activePane="bottomRight" state="frozen"/>
      <selection pane="topRight" activeCell="F1" sqref="F1"/>
      <selection pane="bottomLeft" activeCell="A4" sqref="A4"/>
      <selection pane="bottomRight" activeCell="H152" sqref="H15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271</v>
      </c>
      <c r="C2" s="21">
        <v>271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330943.98</v>
      </c>
      <c r="G9" s="18"/>
      <c r="H9" s="18"/>
      <c r="I9" s="18"/>
      <c r="J9" s="67">
        <f>SUM(I440)</f>
        <v>419823.66</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3902.13</v>
      </c>
      <c r="H13" s="18">
        <v>12422.94</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330943.98</v>
      </c>
      <c r="G19" s="41">
        <f>SUM(G9:G18)</f>
        <v>3902.13</v>
      </c>
      <c r="H19" s="41">
        <f>SUM(H9:H18)</f>
        <v>12422.94</v>
      </c>
      <c r="I19" s="41">
        <f>SUM(I9:I18)</f>
        <v>0</v>
      </c>
      <c r="J19" s="41">
        <f>SUM(J9:J18)</f>
        <v>419823.66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100</v>
      </c>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f>SUM(164.84+181.7+372+3778.14+1071.41+15372.48+1027.36)</f>
        <v>21967.93</v>
      </c>
      <c r="G23" s="18">
        <v>3902.13</v>
      </c>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SUM(50469.91-22067.93)</f>
        <v>28401.980000000003</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v>12422.94</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50469.91</v>
      </c>
      <c r="G32" s="41">
        <f>SUM(G22:G31)</f>
        <v>3902.13</v>
      </c>
      <c r="H32" s="41">
        <f>SUM(H22:H31)</f>
        <v>12422.94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50000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419823.66</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230474.07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280474.07</v>
      </c>
      <c r="G51" s="41">
        <f>SUM(G35:G50)</f>
        <v>0</v>
      </c>
      <c r="H51" s="41">
        <f>SUM(H35:H50)</f>
        <v>0</v>
      </c>
      <c r="I51" s="41">
        <f>SUM(I35:I50)</f>
        <v>0</v>
      </c>
      <c r="J51" s="41">
        <f>SUM(J35:J50)</f>
        <v>419823.66</v>
      </c>
      <c r="K51" s="45" t="s">
        <v>288</v>
      </c>
      <c r="L51" s="45" t="s">
        <v>288</v>
      </c>
      <c r="N51" s="264"/>
    </row>
    <row r="52" spans="1:14" s="3" customFormat="1" ht="12.2" customHeight="1" thickTop="1" x14ac:dyDescent="0.15">
      <c r="A52" s="38" t="s">
        <v>455</v>
      </c>
      <c r="B52" s="39" t="s">
        <v>289</v>
      </c>
      <c r="C52" s="6">
        <v>37</v>
      </c>
      <c r="D52" s="39" t="s">
        <v>653</v>
      </c>
      <c r="E52" s="39"/>
      <c r="F52" s="41">
        <f>F51+F32</f>
        <v>330943.98</v>
      </c>
      <c r="G52" s="41">
        <f>G51+G32</f>
        <v>3902.13</v>
      </c>
      <c r="H52" s="41">
        <f>H51+H32</f>
        <v>12422.94</v>
      </c>
      <c r="I52" s="41">
        <f>I51+I32</f>
        <v>0</v>
      </c>
      <c r="J52" s="41">
        <f>J51+J32</f>
        <v>419823.66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1761819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1761819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15000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2423</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17423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111.58</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111.58</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6879.02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f>SUM(4547.95+2054.35)</f>
        <v>6602.2999999999993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1605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12515.98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14120.98</v>
      </c>
      <c r="G111" s="41">
        <f>SUM(G96:G110)</f>
        <v>6602.2999999999993</v>
      </c>
      <c r="H111" s="41">
        <f>SUM(H96:H110)</f>
        <v>0</v>
      </c>
      <c r="I111" s="41">
        <f>SUM(I96:I110)</f>
        <v>0</v>
      </c>
      <c r="J111" s="41">
        <f>SUM(J96:J110)</f>
        <v>6879.02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1793474.5600000001</v>
      </c>
      <c r="G112" s="41">
        <f>G60+G111</f>
        <v>6602.2999999999993</v>
      </c>
      <c r="H112" s="41">
        <f>H60+H79+H94+H111</f>
        <v>0</v>
      </c>
      <c r="I112" s="41">
        <f>I60+I111</f>
        <v>0</v>
      </c>
      <c r="J112" s="41">
        <f>J60+J111</f>
        <v>6879.02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854759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854759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2209</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4577.71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2209</v>
      </c>
      <c r="G136" s="41">
        <f>SUM(G123:G135)</f>
        <v>4577.71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856968</v>
      </c>
      <c r="G140" s="41">
        <f>G121+SUM(G136:G137)</f>
        <v>4577.71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5666.39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1572.56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13275.49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7595.34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55.31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55.31</v>
      </c>
      <c r="G163" s="41">
        <f>SUM(G150:G162)</f>
        <v>13275.49</v>
      </c>
      <c r="H163" s="41">
        <f>SUM(H150:H162)</f>
        <v>14834.29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15311.53</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15366.84</v>
      </c>
      <c r="G170" s="41">
        <f>G147+G163+SUM(G164:G169)</f>
        <v>13275.49</v>
      </c>
      <c r="H170" s="41">
        <f>H147+H163+SUM(H164:H169)</f>
        <v>14834.29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38000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38000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55875</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55875</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55875</v>
      </c>
      <c r="G193" s="41">
        <f>G184+SUM(G189:G192)</f>
        <v>0</v>
      </c>
      <c r="H193" s="41">
        <f>+H184+SUM(H189:H192)</f>
        <v>0</v>
      </c>
      <c r="I193" s="41">
        <f>I178+I184+SUM(I189:I192)</f>
        <v>0</v>
      </c>
      <c r="J193" s="41">
        <f>J184</f>
        <v>38000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2721684.4</v>
      </c>
      <c r="G194" s="47">
        <f>G112+G140+G170+G193</f>
        <v>24455.5</v>
      </c>
      <c r="H194" s="47">
        <f>H112+H140+H170+H193</f>
        <v>14834.29</v>
      </c>
      <c r="I194" s="47">
        <f>I112+I140+I170+I193</f>
        <v>0</v>
      </c>
      <c r="J194" s="47">
        <f>J112+J140+J193</f>
        <v>44879.020000000004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368320.04</v>
      </c>
      <c r="G198" s="18">
        <v>231966.78</v>
      </c>
      <c r="H198" s="18">
        <f>SUM(3600+49.55+2886.4+3950)</f>
        <v>10485.95</v>
      </c>
      <c r="I198" s="18">
        <v>9722.01</v>
      </c>
      <c r="J198" s="18">
        <v>7316.34</v>
      </c>
      <c r="K198" s="18"/>
      <c r="L198" s="19">
        <f>SUM(F198:K198)</f>
        <v>627811.11999999988</v>
      </c>
      <c r="M198" s="8"/>
      <c r="N198" s="266"/>
    </row>
    <row r="199" spans="1:14" s="3" customFormat="1" ht="12.2" customHeight="1" x14ac:dyDescent="0.15">
      <c r="A199" s="1" t="s">
        <v>439</v>
      </c>
      <c r="B199" s="2" t="s">
        <v>341</v>
      </c>
      <c r="C199" s="2" t="s">
        <v>291</v>
      </c>
      <c r="D199" s="2" t="s">
        <v>431</v>
      </c>
      <c r="E199" s="6">
        <v>1200</v>
      </c>
      <c r="F199" s="18">
        <v>22659.119999999999</v>
      </c>
      <c r="G199" s="18">
        <v>18454.28</v>
      </c>
      <c r="H199" s="18">
        <v>1876</v>
      </c>
      <c r="I199" s="18"/>
      <c r="J199" s="18"/>
      <c r="K199" s="18"/>
      <c r="L199" s="19">
        <f>SUM(F199:K199)</f>
        <v>42989.399999999994</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SUM(12158.43+2130)</f>
        <v>14288.43</v>
      </c>
      <c r="G201" s="18">
        <v>917.32</v>
      </c>
      <c r="H201" s="18">
        <v>16604.27</v>
      </c>
      <c r="I201" s="18">
        <v>268.79000000000002</v>
      </c>
      <c r="J201" s="18"/>
      <c r="K201" s="18"/>
      <c r="L201" s="19">
        <f>SUM(F201:K201)</f>
        <v>32078.81</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v>72.260000000000005</v>
      </c>
      <c r="H203" s="18">
        <f>SUM(1500+13191+5859.96+12236.68+16933+4202.39)</f>
        <v>53923.03</v>
      </c>
      <c r="I203" s="18">
        <f>SUM(60+74.6+49.23)</f>
        <v>183.82999999999998</v>
      </c>
      <c r="J203" s="18"/>
      <c r="K203" s="18"/>
      <c r="L203" s="19">
        <f t="shared" ref="L203:L209" si="0">SUM(F203:K203)</f>
        <v>54179.12</v>
      </c>
      <c r="M203" s="8"/>
      <c r="N203" s="266"/>
    </row>
    <row r="204" spans="1:14" s="3" customFormat="1" ht="12.2" customHeight="1" x14ac:dyDescent="0.15">
      <c r="A204" s="1" t="s">
        <v>443</v>
      </c>
      <c r="B204" s="2" t="s">
        <v>341</v>
      </c>
      <c r="C204" s="2" t="s">
        <v>295</v>
      </c>
      <c r="D204" s="2" t="s">
        <v>431</v>
      </c>
      <c r="E204" s="6">
        <v>2200</v>
      </c>
      <c r="F204" s="18">
        <v>11263.21</v>
      </c>
      <c r="G204" s="18">
        <v>935.14</v>
      </c>
      <c r="H204" s="18">
        <f>SUM(8079.64+17109)</f>
        <v>25188.639999999999</v>
      </c>
      <c r="I204" s="18">
        <f>SUM(226.53+1085.67)</f>
        <v>1312.2</v>
      </c>
      <c r="J204" s="18"/>
      <c r="K204" s="18"/>
      <c r="L204" s="19">
        <f t="shared" si="0"/>
        <v>38699.189999999995</v>
      </c>
      <c r="M204" s="8"/>
      <c r="N204" s="266"/>
    </row>
    <row r="205" spans="1:14" s="3" customFormat="1" ht="12.2" customHeight="1" x14ac:dyDescent="0.15">
      <c r="A205" s="1" t="s">
        <v>444</v>
      </c>
      <c r="B205" s="2" t="s">
        <v>341</v>
      </c>
      <c r="C205" s="2" t="s">
        <v>296</v>
      </c>
      <c r="D205" s="2" t="s">
        <v>431</v>
      </c>
      <c r="E205" s="6">
        <v>2300</v>
      </c>
      <c r="F205" s="18">
        <v>12600</v>
      </c>
      <c r="G205" s="18">
        <v>918</v>
      </c>
      <c r="H205" s="18">
        <f>SUM(5450+7857.03+117026)</f>
        <v>130333.03</v>
      </c>
      <c r="I205" s="18"/>
      <c r="J205" s="18"/>
      <c r="K205" s="18">
        <v>2051.09</v>
      </c>
      <c r="L205" s="19">
        <f t="shared" si="0"/>
        <v>145902.12</v>
      </c>
      <c r="M205" s="8"/>
      <c r="N205" s="266"/>
    </row>
    <row r="206" spans="1:14" s="3" customFormat="1" ht="12.2" customHeight="1" x14ac:dyDescent="0.15">
      <c r="A206" s="1" t="s">
        <v>445</v>
      </c>
      <c r="B206" s="2" t="s">
        <v>341</v>
      </c>
      <c r="C206" s="2" t="s">
        <v>297</v>
      </c>
      <c r="D206" s="2" t="s">
        <v>431</v>
      </c>
      <c r="E206" s="6">
        <v>2400</v>
      </c>
      <c r="F206" s="18">
        <v>123911.2</v>
      </c>
      <c r="G206" s="18">
        <v>80022.080000000002</v>
      </c>
      <c r="H206" s="18">
        <v>1681.74</v>
      </c>
      <c r="I206" s="18">
        <v>3356.61</v>
      </c>
      <c r="J206" s="18"/>
      <c r="K206" s="18">
        <v>560</v>
      </c>
      <c r="L206" s="19">
        <f t="shared" si="0"/>
        <v>209531.62999999998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63423.48</v>
      </c>
      <c r="G208" s="18">
        <v>20591.41</v>
      </c>
      <c r="H208" s="18">
        <f>SUM(32644.5+6820)</f>
        <v>39464.5</v>
      </c>
      <c r="I208" s="18">
        <v>26863.02</v>
      </c>
      <c r="J208" s="18"/>
      <c r="K208" s="18"/>
      <c r="L208" s="19">
        <f t="shared" si="0"/>
        <v>150342.41</v>
      </c>
      <c r="M208" s="8"/>
      <c r="N208" s="266"/>
    </row>
    <row r="209" spans="1:14" s="3" customFormat="1" ht="12.2" customHeight="1" x14ac:dyDescent="0.15">
      <c r="A209" s="1" t="s">
        <v>448</v>
      </c>
      <c r="B209" s="2" t="s">
        <v>341</v>
      </c>
      <c r="C209" s="2" t="s">
        <v>300</v>
      </c>
      <c r="D209" s="2" t="s">
        <v>431</v>
      </c>
      <c r="E209" s="6">
        <v>2700</v>
      </c>
      <c r="F209" s="18">
        <v>27115.07</v>
      </c>
      <c r="G209" s="18">
        <v>27879.38</v>
      </c>
      <c r="H209" s="18">
        <v>4442.5</v>
      </c>
      <c r="I209" s="18">
        <v>12843.32</v>
      </c>
      <c r="J209" s="18">
        <v>45437.5</v>
      </c>
      <c r="K209" s="18"/>
      <c r="L209" s="19">
        <f t="shared" si="0"/>
        <v>117717.76999999999</v>
      </c>
      <c r="M209" s="8"/>
      <c r="N209" s="266"/>
    </row>
    <row r="210" spans="1:14" s="3" customFormat="1" ht="12.2" customHeight="1" x14ac:dyDescent="0.15">
      <c r="A210" s="1" t="s">
        <v>449</v>
      </c>
      <c r="B210" s="2" t="s">
        <v>341</v>
      </c>
      <c r="C210" s="2" t="s">
        <v>343</v>
      </c>
      <c r="D210" s="2" t="s">
        <v>431</v>
      </c>
      <c r="E210" s="6">
        <v>2800</v>
      </c>
      <c r="F210" s="18"/>
      <c r="G210" s="18"/>
      <c r="H210" s="18">
        <v>16.670000000000002</v>
      </c>
      <c r="I210" s="18"/>
      <c r="J210" s="18"/>
      <c r="K210" s="18"/>
      <c r="L210" s="19">
        <f>SUM(F210:K210)</f>
        <v>16.670000000000002</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643580.54999999993</v>
      </c>
      <c r="G212" s="41">
        <f t="shared" si="1"/>
        <v>381756.65</v>
      </c>
      <c r="H212" s="41">
        <f t="shared" si="1"/>
        <v>284016.32999999996</v>
      </c>
      <c r="I212" s="41">
        <f t="shared" si="1"/>
        <v>54549.780000000006</v>
      </c>
      <c r="J212" s="41">
        <f t="shared" si="1"/>
        <v>52753.84</v>
      </c>
      <c r="K212" s="41">
        <f t="shared" si="1"/>
        <v>2611.09</v>
      </c>
      <c r="L212" s="41">
        <f t="shared" si="1"/>
        <v>1419268.2399999998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257601.94</v>
      </c>
      <c r="I216" s="18"/>
      <c r="J216" s="18"/>
      <c r="K216" s="18"/>
      <c r="L216" s="19">
        <f>SUM(F216:K216)</f>
        <v>257601.94</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v>13557.54</v>
      </c>
      <c r="G227" s="18">
        <v>13939.69</v>
      </c>
      <c r="H227" s="18">
        <v>2221.25</v>
      </c>
      <c r="I227" s="18">
        <v>6421.66</v>
      </c>
      <c r="J227" s="18">
        <v>22718.75</v>
      </c>
      <c r="K227" s="18"/>
      <c r="L227" s="19">
        <f t="shared" si="2"/>
        <v>58858.89</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13557.54</v>
      </c>
      <c r="G230" s="41">
        <f>SUM(G216:G229)</f>
        <v>13939.69</v>
      </c>
      <c r="H230" s="41">
        <f>SUM(H216:H229)</f>
        <v>259823.19</v>
      </c>
      <c r="I230" s="41">
        <f>SUM(I216:I229)</f>
        <v>6421.66</v>
      </c>
      <c r="J230" s="41">
        <f>SUM(J216:J229)</f>
        <v>22718.75</v>
      </c>
      <c r="K230" s="41">
        <f t="shared" si="3"/>
        <v>0</v>
      </c>
      <c r="L230" s="41">
        <f t="shared" si="3"/>
        <v>316460.83</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SUM(645926+72905+3546)</f>
        <v>722377</v>
      </c>
      <c r="I234" s="18"/>
      <c r="J234" s="18"/>
      <c r="K234" s="18"/>
      <c r="L234" s="19">
        <f>SUM(F234:K234)</f>
        <v>722377</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9827</v>
      </c>
      <c r="I239" s="18"/>
      <c r="J239" s="18"/>
      <c r="K239" s="18"/>
      <c r="L239" s="19">
        <f t="shared" ref="L239:L245" si="4">SUM(F239:K239)</f>
        <v>9827</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v>13557.54</v>
      </c>
      <c r="G245" s="18">
        <v>13939.69</v>
      </c>
      <c r="H245" s="18">
        <v>2221.25</v>
      </c>
      <c r="I245" s="18">
        <v>6421.66</v>
      </c>
      <c r="J245" s="18">
        <v>22718.75</v>
      </c>
      <c r="K245" s="18"/>
      <c r="L245" s="19">
        <f t="shared" si="4"/>
        <v>58858.89</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13557.54</v>
      </c>
      <c r="G248" s="41">
        <f t="shared" si="5"/>
        <v>13939.69</v>
      </c>
      <c r="H248" s="41">
        <f t="shared" si="5"/>
        <v>734425.25</v>
      </c>
      <c r="I248" s="41">
        <f t="shared" si="5"/>
        <v>6421.66</v>
      </c>
      <c r="J248" s="41">
        <f t="shared" si="5"/>
        <v>22718.75</v>
      </c>
      <c r="K248" s="41">
        <f t="shared" si="5"/>
        <v>0</v>
      </c>
      <c r="L248" s="41">
        <f t="shared" si="5"/>
        <v>791062.89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670695.63</v>
      </c>
      <c r="G258" s="41">
        <f t="shared" si="8"/>
        <v>409636.03</v>
      </c>
      <c r="H258" s="41">
        <f t="shared" si="8"/>
        <v>1278264.77</v>
      </c>
      <c r="I258" s="41">
        <f t="shared" si="8"/>
        <v>67393.100000000006</v>
      </c>
      <c r="J258" s="41">
        <f t="shared" si="8"/>
        <v>98191.34</v>
      </c>
      <c r="K258" s="41">
        <f t="shared" si="8"/>
        <v>2611.09</v>
      </c>
      <c r="L258" s="41">
        <f t="shared" si="8"/>
        <v>2526791.96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38000</v>
      </c>
      <c r="L267" s="19">
        <f t="shared" si="9"/>
        <v>38000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38000</v>
      </c>
      <c r="L271" s="41">
        <f t="shared" si="9"/>
        <v>38000</v>
      </c>
      <c r="M271" s="8"/>
      <c r="N271" s="266"/>
    </row>
    <row r="272" spans="1:14" s="34" customFormat="1" ht="12.2" customHeight="1" thickTop="1" x14ac:dyDescent="0.2">
      <c r="A272" s="43" t="s">
        <v>464</v>
      </c>
      <c r="B272" s="40">
        <v>10</v>
      </c>
      <c r="C272" s="40">
        <v>18</v>
      </c>
      <c r="D272" s="39" t="s">
        <v>431</v>
      </c>
      <c r="E272" s="40"/>
      <c r="F272" s="42">
        <f t="shared" ref="F272:L272" si="11">F258+F271</f>
        <v>670695.63</v>
      </c>
      <c r="G272" s="42">
        <f t="shared" si="11"/>
        <v>409636.03</v>
      </c>
      <c r="H272" s="42">
        <f t="shared" si="11"/>
        <v>1278264.77</v>
      </c>
      <c r="I272" s="42">
        <f t="shared" si="11"/>
        <v>67393.100000000006</v>
      </c>
      <c r="J272" s="42">
        <f t="shared" si="11"/>
        <v>98191.34</v>
      </c>
      <c r="K272" s="42">
        <f t="shared" si="11"/>
        <v>40611.089999999997</v>
      </c>
      <c r="L272" s="42">
        <f t="shared" si="11"/>
        <v>2564791.96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3676.89</v>
      </c>
      <c r="G277" s="18">
        <f>SUM(3943.92+281.28)</f>
        <v>4225.2</v>
      </c>
      <c r="H277" s="18">
        <v>1445</v>
      </c>
      <c r="I277" s="18">
        <v>863.86</v>
      </c>
      <c r="J277" s="18"/>
      <c r="K277" s="18"/>
      <c r="L277" s="19">
        <f>SUM(F277:K277)</f>
        <v>10210.950000000001</v>
      </c>
      <c r="M277" s="8"/>
      <c r="N277" s="266"/>
    </row>
    <row r="278" spans="1:14" s="3" customFormat="1" ht="12.2" customHeight="1" x14ac:dyDescent="0.15">
      <c r="A278" s="1" t="s">
        <v>439</v>
      </c>
      <c r="B278" s="2" t="s">
        <v>357</v>
      </c>
      <c r="C278" s="2" t="s">
        <v>291</v>
      </c>
      <c r="D278" s="2" t="s">
        <v>431</v>
      </c>
      <c r="E278" s="6">
        <v>1200</v>
      </c>
      <c r="F278" s="18">
        <v>5342.54</v>
      </c>
      <c r="G278" s="18">
        <v>291.83</v>
      </c>
      <c r="H278" s="18"/>
      <c r="I278" s="18">
        <v>149</v>
      </c>
      <c r="J278" s="18">
        <v>640</v>
      </c>
      <c r="K278" s="18"/>
      <c r="L278" s="19">
        <f>SUM(F278:K278)</f>
        <v>6423.37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2577.3200000000002</v>
      </c>
      <c r="I282" s="18"/>
      <c r="J282" s="18"/>
      <c r="K282" s="18"/>
      <c r="L282" s="19">
        <f t="shared" ref="L282:L288" si="12">SUM(F282:K282)</f>
        <v>2577.3200000000002</v>
      </c>
      <c r="M282" s="8"/>
      <c r="N282" s="266"/>
    </row>
    <row r="283" spans="1:14" s="3" customFormat="1" ht="12.2" customHeight="1" x14ac:dyDescent="0.15">
      <c r="A283" s="1" t="s">
        <v>443</v>
      </c>
      <c r="B283" s="2" t="s">
        <v>357</v>
      </c>
      <c r="C283" s="2" t="s">
        <v>295</v>
      </c>
      <c r="D283" s="2" t="s">
        <v>431</v>
      </c>
      <c r="E283" s="6">
        <v>2200</v>
      </c>
      <c r="F283" s="18">
        <v>1380</v>
      </c>
      <c r="G283" s="18">
        <f>SUM(102.89+240.2)</f>
        <v>343.09</v>
      </c>
      <c r="H283" s="18">
        <v>6322.5</v>
      </c>
      <c r="I283" s="18"/>
      <c r="J283" s="18"/>
      <c r="K283" s="18"/>
      <c r="L283" s="19">
        <f t="shared" si="12"/>
        <v>8045.59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10399.43</v>
      </c>
      <c r="G291" s="42">
        <f t="shared" si="13"/>
        <v>4860.12</v>
      </c>
      <c r="H291" s="42">
        <f t="shared" si="13"/>
        <v>10344.82</v>
      </c>
      <c r="I291" s="42">
        <f t="shared" si="13"/>
        <v>1012.86</v>
      </c>
      <c r="J291" s="42">
        <f t="shared" si="13"/>
        <v>640</v>
      </c>
      <c r="K291" s="42">
        <f t="shared" si="13"/>
        <v>0</v>
      </c>
      <c r="L291" s="41">
        <f t="shared" si="13"/>
        <v>27257.23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10399.43</v>
      </c>
      <c r="G339" s="41">
        <f t="shared" si="20"/>
        <v>4860.12</v>
      </c>
      <c r="H339" s="41">
        <f t="shared" si="20"/>
        <v>10344.82</v>
      </c>
      <c r="I339" s="41">
        <f t="shared" si="20"/>
        <v>1012.86</v>
      </c>
      <c r="J339" s="41">
        <f t="shared" si="20"/>
        <v>640</v>
      </c>
      <c r="K339" s="41">
        <f t="shared" si="20"/>
        <v>0</v>
      </c>
      <c r="L339" s="41">
        <f t="shared" si="20"/>
        <v>27257.23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10399.43</v>
      </c>
      <c r="G353" s="41">
        <f>G339</f>
        <v>4860.12</v>
      </c>
      <c r="H353" s="41">
        <f>H339</f>
        <v>10344.82</v>
      </c>
      <c r="I353" s="41">
        <f>I339</f>
        <v>1012.86</v>
      </c>
      <c r="J353" s="41">
        <f>J339</f>
        <v>640</v>
      </c>
      <c r="K353" s="47">
        <f>K339+K352</f>
        <v>0</v>
      </c>
      <c r="L353" s="41">
        <f>L339+L352</f>
        <v>27257.23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10533.88</v>
      </c>
      <c r="G359" s="18">
        <f>SUM(805.87+22.49+175.08)</f>
        <v>1003.44</v>
      </c>
      <c r="H359" s="18">
        <f>SUM(1231.6+22952.41)</f>
        <v>24184.01</v>
      </c>
      <c r="I359" s="18">
        <v>107.47</v>
      </c>
      <c r="J359" s="18"/>
      <c r="K359" s="18"/>
      <c r="L359" s="13">
        <f>SUM(F359:K359)</f>
        <v>35828.800000000003</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10533.88</v>
      </c>
      <c r="G363" s="47">
        <f t="shared" si="22"/>
        <v>1003.44</v>
      </c>
      <c r="H363" s="47">
        <f t="shared" si="22"/>
        <v>24184.01</v>
      </c>
      <c r="I363" s="47">
        <f t="shared" si="22"/>
        <v>107.47</v>
      </c>
      <c r="J363" s="47">
        <f t="shared" si="22"/>
        <v>0</v>
      </c>
      <c r="K363" s="47">
        <f t="shared" si="22"/>
        <v>0</v>
      </c>
      <c r="L363" s="47">
        <f t="shared" si="22"/>
        <v>35828.800000000003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107.47</v>
      </c>
      <c r="G369" s="63"/>
      <c r="H369" s="63"/>
      <c r="I369" s="56">
        <f>SUM(F369:H369)</f>
        <v>107.47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107.47</v>
      </c>
      <c r="G370" s="47">
        <f>SUM(G368:G369)</f>
        <v>0</v>
      </c>
      <c r="H370" s="47">
        <f>SUM(H368:H369)</f>
        <v>0</v>
      </c>
      <c r="I370" s="47">
        <f>SUM(I368:I369)</f>
        <v>107.47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v>1454.95</v>
      </c>
      <c r="I391" s="18"/>
      <c r="J391" s="24" t="s">
        <v>288</v>
      </c>
      <c r="K391" s="24" t="s">
        <v>288</v>
      </c>
      <c r="L391" s="56">
        <f t="shared" si="25"/>
        <v>1454.95</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1454.95</v>
      </c>
      <c r="I394" s="65">
        <f>SUM(I388:I393)</f>
        <v>0</v>
      </c>
      <c r="J394" s="45" t="s">
        <v>288</v>
      </c>
      <c r="K394" s="45" t="s">
        <v>288</v>
      </c>
      <c r="L394" s="47">
        <f>SUM(L388:L393)</f>
        <v>1454.95</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v>
      </c>
      <c r="H397" s="18">
        <v>1334.18</v>
      </c>
      <c r="I397" s="18"/>
      <c r="J397" s="24" t="s">
        <v>288</v>
      </c>
      <c r="K397" s="24" t="s">
        <v>288</v>
      </c>
      <c r="L397" s="56">
        <f t="shared" si="26"/>
        <v>11334.18</v>
      </c>
      <c r="M397" s="8"/>
      <c r="N397" s="266"/>
    </row>
    <row r="398" spans="1:14" s="3" customFormat="1" ht="12.2" customHeight="1" x14ac:dyDescent="0.15">
      <c r="A398" s="79" t="s">
        <v>515</v>
      </c>
      <c r="B398" s="2" t="s">
        <v>381</v>
      </c>
      <c r="C398" s="6">
        <v>10</v>
      </c>
      <c r="D398" s="2" t="s">
        <v>432</v>
      </c>
      <c r="E398" s="6"/>
      <c r="F398" s="18"/>
      <c r="G398" s="18">
        <v>25000</v>
      </c>
      <c r="H398" s="18">
        <v>2128.54</v>
      </c>
      <c r="I398" s="18"/>
      <c r="J398" s="24" t="s">
        <v>288</v>
      </c>
      <c r="K398" s="24" t="s">
        <v>288</v>
      </c>
      <c r="L398" s="56">
        <f t="shared" si="26"/>
        <v>27128.54</v>
      </c>
      <c r="M398" s="8"/>
      <c r="N398" s="266"/>
    </row>
    <row r="399" spans="1:14" s="3" customFormat="1" ht="12.2" customHeight="1" x14ac:dyDescent="0.15">
      <c r="A399" s="79" t="s">
        <v>558</v>
      </c>
      <c r="B399" s="2" t="s">
        <v>381</v>
      </c>
      <c r="C399" s="6">
        <v>11</v>
      </c>
      <c r="D399" s="2" t="s">
        <v>432</v>
      </c>
      <c r="E399" s="6"/>
      <c r="F399" s="18"/>
      <c r="G399" s="18"/>
      <c r="H399" s="18">
        <v>1189.8599999999999</v>
      </c>
      <c r="I399" s="18"/>
      <c r="J399" s="24" t="s">
        <v>288</v>
      </c>
      <c r="K399" s="24" t="s">
        <v>288</v>
      </c>
      <c r="L399" s="56">
        <f t="shared" si="26"/>
        <v>1189.8599999999999</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3000</v>
      </c>
      <c r="H401" s="18">
        <v>771.49</v>
      </c>
      <c r="I401" s="18"/>
      <c r="J401" s="24" t="s">
        <v>288</v>
      </c>
      <c r="K401" s="24" t="s">
        <v>288</v>
      </c>
      <c r="L401" s="56">
        <f t="shared" si="26"/>
        <v>3771.49</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38000</v>
      </c>
      <c r="H402" s="47">
        <f>SUM(H396:H401)</f>
        <v>5424.07</v>
      </c>
      <c r="I402" s="47">
        <f>SUM(I396:I401)</f>
        <v>0</v>
      </c>
      <c r="J402" s="45" t="s">
        <v>288</v>
      </c>
      <c r="K402" s="45" t="s">
        <v>288</v>
      </c>
      <c r="L402" s="47">
        <f>SUM(L396:L401)</f>
        <v>43424.07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38000</v>
      </c>
      <c r="H409" s="47">
        <f>H394+H402+H408</f>
        <v>6879.0199999999995</v>
      </c>
      <c r="I409" s="47">
        <f>I394+I402+I408</f>
        <v>0</v>
      </c>
      <c r="J409" s="24" t="s">
        <v>288</v>
      </c>
      <c r="K409" s="24" t="s">
        <v>288</v>
      </c>
      <c r="L409" s="47">
        <f>L394+L402+L408</f>
        <v>44879.02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v>55875</v>
      </c>
      <c r="I417" s="18"/>
      <c r="J417" s="18"/>
      <c r="K417" s="18"/>
      <c r="L417" s="56">
        <f t="shared" si="27"/>
        <v>55875</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55875</v>
      </c>
      <c r="I420" s="139">
        <f t="shared" si="28"/>
        <v>0</v>
      </c>
      <c r="J420" s="139">
        <f t="shared" si="28"/>
        <v>0</v>
      </c>
      <c r="K420" s="139">
        <f t="shared" si="28"/>
        <v>0</v>
      </c>
      <c r="L420" s="47">
        <f t="shared" si="28"/>
        <v>55875</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55875</v>
      </c>
      <c r="I435" s="47">
        <f t="shared" si="32"/>
        <v>0</v>
      </c>
      <c r="J435" s="47">
        <f t="shared" si="32"/>
        <v>0</v>
      </c>
      <c r="K435" s="47">
        <f t="shared" si="32"/>
        <v>0</v>
      </c>
      <c r="L435" s="47">
        <f t="shared" si="32"/>
        <v>55875</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56773.69</v>
      </c>
      <c r="G440" s="18">
        <v>363049.97</v>
      </c>
      <c r="H440" s="18"/>
      <c r="I440" s="56">
        <f t="shared" ref="I440:I446" si="33">SUM(F440:H440)</f>
        <v>419823.66</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56773.69</v>
      </c>
      <c r="G447" s="13">
        <f>SUM(G440:G446)</f>
        <v>363049.97</v>
      </c>
      <c r="H447" s="13">
        <f>SUM(H440:H446)</f>
        <v>0</v>
      </c>
      <c r="I447" s="13">
        <f>SUM(I440:I446)</f>
        <v>419823.66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56773.69</v>
      </c>
      <c r="G460" s="18">
        <v>363049.97</v>
      </c>
      <c r="H460" s="18"/>
      <c r="I460" s="56">
        <f t="shared" si="34"/>
        <v>419823.66</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56773.69</v>
      </c>
      <c r="G461" s="83">
        <f>SUM(G455:G460)</f>
        <v>363049.97</v>
      </c>
      <c r="H461" s="83">
        <f>SUM(H455:H460)</f>
        <v>0</v>
      </c>
      <c r="I461" s="83">
        <f>SUM(I455:I460)</f>
        <v>419823.66</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56773.69</v>
      </c>
      <c r="G462" s="42">
        <f>G453+G461</f>
        <v>363049.97</v>
      </c>
      <c r="H462" s="42">
        <f>H453+H461</f>
        <v>0</v>
      </c>
      <c r="I462" s="42">
        <f>I453+I461</f>
        <v>419823.66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134377.65</v>
      </c>
      <c r="G466" s="18"/>
      <c r="H466" s="18"/>
      <c r="I466" s="18"/>
      <c r="J466" s="18">
        <v>430819.64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2721684.4</v>
      </c>
      <c r="G469" s="18">
        <v>24455.5</v>
      </c>
      <c r="H469" s="18">
        <v>14834.29</v>
      </c>
      <c r="I469" s="18"/>
      <c r="J469" s="18">
        <v>44879.02</v>
      </c>
      <c r="K469" s="24" t="s">
        <v>288</v>
      </c>
      <c r="L469" s="24" t="s">
        <v>288</v>
      </c>
      <c r="N469" s="265"/>
    </row>
    <row r="470" spans="1:14" s="52" customFormat="1" ht="12.2" customHeight="1" x14ac:dyDescent="0.2">
      <c r="A470" s="93" t="s">
        <v>611</v>
      </c>
      <c r="B470" s="75">
        <v>19</v>
      </c>
      <c r="C470" s="80">
        <v>3</v>
      </c>
      <c r="D470" s="2" t="s">
        <v>432</v>
      </c>
      <c r="E470" s="80"/>
      <c r="F470" s="18">
        <v>577.28</v>
      </c>
      <c r="G470" s="18">
        <v>11373.3</v>
      </c>
      <c r="H470" s="18">
        <v>12422.94</v>
      </c>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2722261.6799999997</v>
      </c>
      <c r="G471" s="53">
        <f>SUM(G469:G470)</f>
        <v>35828.800000000003</v>
      </c>
      <c r="H471" s="53">
        <f>SUM(H469:H470)</f>
        <v>27257.230000000003</v>
      </c>
      <c r="I471" s="53">
        <f>SUM(I469:I470)</f>
        <v>0</v>
      </c>
      <c r="J471" s="53">
        <f>SUM(J469:J470)</f>
        <v>44879.02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2564791.96</v>
      </c>
      <c r="G473" s="18">
        <v>35828.800000000003</v>
      </c>
      <c r="H473" s="18">
        <v>27257.23</v>
      </c>
      <c r="I473" s="18"/>
      <c r="J473" s="18">
        <v>55875</v>
      </c>
      <c r="K473" s="24" t="s">
        <v>288</v>
      </c>
      <c r="L473" s="24" t="s">
        <v>288</v>
      </c>
      <c r="N473" s="265"/>
    </row>
    <row r="474" spans="1:14" s="52" customFormat="1" ht="12.2" customHeight="1" x14ac:dyDescent="0.2">
      <c r="A474" s="93" t="s">
        <v>613</v>
      </c>
      <c r="B474" s="75">
        <v>19</v>
      </c>
      <c r="C474" s="80">
        <v>6</v>
      </c>
      <c r="D474" s="2" t="s">
        <v>432</v>
      </c>
      <c r="E474" s="80"/>
      <c r="F474" s="18">
        <v>11373.3</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2576165.2599999998</v>
      </c>
      <c r="G475" s="53">
        <f>SUM(G473:G474)</f>
        <v>35828.800000000003</v>
      </c>
      <c r="H475" s="53">
        <f>SUM(H473:H474)</f>
        <v>27257.23</v>
      </c>
      <c r="I475" s="53">
        <f>SUM(I473:I474)</f>
        <v>0</v>
      </c>
      <c r="J475" s="53">
        <f>SUM(J473:J474)</f>
        <v>55875</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280474.06999999983</v>
      </c>
      <c r="G477" s="53">
        <f>(G466+G471)- G475</f>
        <v>0</v>
      </c>
      <c r="H477" s="53">
        <f>(H466+H471)- H475</f>
        <v>0</v>
      </c>
      <c r="I477" s="53">
        <f>(I466+I471)- I475</f>
        <v>0</v>
      </c>
      <c r="J477" s="53">
        <f>(J466+J471)- J475</f>
        <v>419823.66000000003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SUM(5342.54+22659.12)</f>
        <v>28001.66</v>
      </c>
      <c r="G522" s="18">
        <f>SUM(291.83+15454.28)</f>
        <v>15746.11</v>
      </c>
      <c r="H522" s="18">
        <v>1876</v>
      </c>
      <c r="I522" s="18">
        <v>149</v>
      </c>
      <c r="J522" s="18">
        <v>640</v>
      </c>
      <c r="K522" s="18"/>
      <c r="L522" s="88">
        <f>SUM(F522:K522)</f>
        <v>46412.770000000004</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28001.66</v>
      </c>
      <c r="G525" s="108">
        <f t="shared" ref="G525:L525" si="36">SUM(G522:G524)</f>
        <v>15746.11</v>
      </c>
      <c r="H525" s="108">
        <f t="shared" si="36"/>
        <v>1876</v>
      </c>
      <c r="I525" s="108">
        <f t="shared" si="36"/>
        <v>149</v>
      </c>
      <c r="J525" s="108">
        <f t="shared" si="36"/>
        <v>640</v>
      </c>
      <c r="K525" s="108">
        <f t="shared" si="36"/>
        <v>0</v>
      </c>
      <c r="L525" s="89">
        <f t="shared" si="36"/>
        <v>46412.770000000004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SUM(2577.32+12236.68+16933+4202.39)</f>
        <v>35949.39</v>
      </c>
      <c r="I527" s="18">
        <f>SUM(74.6+49.23)</f>
        <v>123.82999999999998</v>
      </c>
      <c r="J527" s="18"/>
      <c r="K527" s="18"/>
      <c r="L527" s="88">
        <f>SUM(F527:K527)</f>
        <v>36073.22</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35949.39</v>
      </c>
      <c r="I530" s="89">
        <f t="shared" si="37"/>
        <v>123.82999999999998</v>
      </c>
      <c r="J530" s="89">
        <f t="shared" si="37"/>
        <v>0</v>
      </c>
      <c r="K530" s="89">
        <f t="shared" si="37"/>
        <v>0</v>
      </c>
      <c r="L530" s="89">
        <f t="shared" si="37"/>
        <v>36073.22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14244</v>
      </c>
      <c r="I532" s="18"/>
      <c r="J532" s="18"/>
      <c r="K532" s="18"/>
      <c r="L532" s="88">
        <f>SUM(F532:K532)</f>
        <v>14244</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5818</v>
      </c>
      <c r="I534" s="18"/>
      <c r="J534" s="18"/>
      <c r="K534" s="18"/>
      <c r="L534" s="88">
        <f>SUM(F534:K534)</f>
        <v>5818</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20062</v>
      </c>
      <c r="I535" s="89">
        <f t="shared" si="38"/>
        <v>0</v>
      </c>
      <c r="J535" s="89">
        <f t="shared" si="38"/>
        <v>0</v>
      </c>
      <c r="K535" s="89">
        <f t="shared" si="38"/>
        <v>0</v>
      </c>
      <c r="L535" s="89">
        <f t="shared" si="38"/>
        <v>20062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28001.66</v>
      </c>
      <c r="G546" s="89">
        <f t="shared" ref="G546:L546" si="41">G525+G530+G535+G540+G545</f>
        <v>15746.11</v>
      </c>
      <c r="H546" s="89">
        <f t="shared" si="41"/>
        <v>57887.39</v>
      </c>
      <c r="I546" s="89">
        <f t="shared" si="41"/>
        <v>272.83</v>
      </c>
      <c r="J546" s="89">
        <f t="shared" si="41"/>
        <v>640</v>
      </c>
      <c r="K546" s="89">
        <f t="shared" si="41"/>
        <v>0</v>
      </c>
      <c r="L546" s="89">
        <f t="shared" si="41"/>
        <v>102547.99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46412.770000000004</v>
      </c>
      <c r="G550" s="87">
        <f>L527</f>
        <v>36073.22</v>
      </c>
      <c r="H550" s="87">
        <f>L532</f>
        <v>14244</v>
      </c>
      <c r="I550" s="87">
        <f>L537</f>
        <v>0</v>
      </c>
      <c r="J550" s="87">
        <f>L542</f>
        <v>0</v>
      </c>
      <c r="K550" s="87">
        <f>SUM(F550:J550)</f>
        <v>96729.99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5818</v>
      </c>
      <c r="I552" s="87">
        <f>L539</f>
        <v>0</v>
      </c>
      <c r="J552" s="87">
        <f>L544</f>
        <v>0</v>
      </c>
      <c r="K552" s="87">
        <f>SUM(F552:J552)</f>
        <v>5818</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46412.770000000004</v>
      </c>
      <c r="G553" s="89">
        <f t="shared" si="42"/>
        <v>36073.22</v>
      </c>
      <c r="H553" s="89">
        <f t="shared" si="42"/>
        <v>20062</v>
      </c>
      <c r="I553" s="89">
        <f t="shared" si="42"/>
        <v>0</v>
      </c>
      <c r="J553" s="89">
        <f t="shared" si="42"/>
        <v>0</v>
      </c>
      <c r="K553" s="89">
        <f t="shared" si="42"/>
        <v>102547.99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257601.94</v>
      </c>
      <c r="H576" s="18">
        <f>SUM(645926+72905+3546)</f>
        <v>722377</v>
      </c>
      <c r="I576" s="87">
        <f>SUM(F576:H576)</f>
        <v>979978.94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1876</v>
      </c>
      <c r="G583" s="18"/>
      <c r="H583" s="18"/>
      <c r="I583" s="87">
        <f t="shared" si="47"/>
        <v>1876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SUM(117717.77-2430.76)</f>
        <v>115287.01000000001</v>
      </c>
      <c r="I592" s="18">
        <v>58858.89</v>
      </c>
      <c r="J592" s="18">
        <v>58858.89</v>
      </c>
      <c r="K592" s="104">
        <f t="shared" ref="K592:K598" si="48">SUM(H592:J592)</f>
        <v>233004.79000000004</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950.85</v>
      </c>
      <c r="I596" s="18"/>
      <c r="J596" s="18"/>
      <c r="K596" s="104">
        <f t="shared" si="48"/>
        <v>950.85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1479.91</v>
      </c>
      <c r="I598" s="18"/>
      <c r="J598" s="18"/>
      <c r="K598" s="104">
        <f t="shared" si="48"/>
        <v>1479.91</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117717.77000000002</v>
      </c>
      <c r="I599" s="108">
        <f>SUM(I592:I598)</f>
        <v>58858.89</v>
      </c>
      <c r="J599" s="108">
        <f>SUM(J592:J598)</f>
        <v>58858.89</v>
      </c>
      <c r="K599" s="108">
        <f>SUM(K592:K598)</f>
        <v>235435.55000000005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SUM(640+90875+7316.34)</f>
        <v>98831.34</v>
      </c>
      <c r="I605" s="18"/>
      <c r="J605" s="18"/>
      <c r="K605" s="104">
        <f>SUM(H605:J605)</f>
        <v>98831.34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98831.34</v>
      </c>
      <c r="I606" s="108">
        <f>SUM(I603:I605)</f>
        <v>0</v>
      </c>
      <c r="J606" s="108">
        <f>SUM(J603:J605)</f>
        <v>0</v>
      </c>
      <c r="K606" s="108">
        <f>SUM(K603:K605)</f>
        <v>98831.34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2130</v>
      </c>
      <c r="G612" s="18"/>
      <c r="H612" s="18"/>
      <c r="I612" s="18"/>
      <c r="J612" s="18"/>
      <c r="K612" s="18"/>
      <c r="L612" s="88">
        <f>SUM(F612:K612)</f>
        <v>2130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2130</v>
      </c>
      <c r="G615" s="108">
        <f t="shared" si="49"/>
        <v>0</v>
      </c>
      <c r="H615" s="108">
        <f t="shared" si="49"/>
        <v>0</v>
      </c>
      <c r="I615" s="108">
        <f t="shared" si="49"/>
        <v>0</v>
      </c>
      <c r="J615" s="108">
        <f t="shared" si="49"/>
        <v>0</v>
      </c>
      <c r="K615" s="108">
        <f t="shared" si="49"/>
        <v>0</v>
      </c>
      <c r="L615" s="89">
        <f t="shared" si="49"/>
        <v>2130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330943.98</v>
      </c>
      <c r="H618" s="109">
        <f>SUM(F52)</f>
        <v>330943.98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3902.13</v>
      </c>
      <c r="H619" s="109">
        <f>SUM(G52)</f>
        <v>3902.13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12422.94</v>
      </c>
      <c r="H620" s="109">
        <f>SUM(H52)</f>
        <v>12422.94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419823.66</v>
      </c>
      <c r="H622" s="109">
        <f>SUM(J52)</f>
        <v>419823.66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280474.07</v>
      </c>
      <c r="H623" s="109">
        <f>F477</f>
        <v>280474.06999999983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419823.66</v>
      </c>
      <c r="H627" s="109">
        <f>J477</f>
        <v>419823.66000000003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2721684.4</v>
      </c>
      <c r="H628" s="104">
        <f>SUM(F469)</f>
        <v>2721684.4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24455.5</v>
      </c>
      <c r="H629" s="104">
        <f>SUM(G469)</f>
        <v>24455.5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14834.29</v>
      </c>
      <c r="H630" s="104">
        <f>SUM(H469)</f>
        <v>14834.29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44879.020000000004</v>
      </c>
      <c r="H632" s="104">
        <f>SUM(J469)</f>
        <v>44879.02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2564791.96</v>
      </c>
      <c r="H633" s="104">
        <f>SUM(F473)</f>
        <v>2564791.96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27257.23</v>
      </c>
      <c r="H634" s="104">
        <f>SUM(H473)</f>
        <v>27257.23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107.47</v>
      </c>
      <c r="H635" s="104">
        <f>I370</f>
        <v>107.47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35828.800000000003</v>
      </c>
      <c r="H636" s="104">
        <f>SUM(G473)</f>
        <v>35828.800000000003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44879.02</v>
      </c>
      <c r="H638" s="164">
        <f>SUM(J469)</f>
        <v>44879.02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55875</v>
      </c>
      <c r="H639" s="164">
        <f>SUM(J473)</f>
        <v>55875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56773.69</v>
      </c>
      <c r="H640" s="104">
        <f>SUM(F462)</f>
        <v>56773.69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363049.97</v>
      </c>
      <c r="H641" s="104">
        <f>SUM(G462)</f>
        <v>363049.97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419823.66</v>
      </c>
      <c r="H643" s="104">
        <f>SUM(I462)</f>
        <v>419823.66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6879.02</v>
      </c>
      <c r="H645" s="104">
        <f>H409</f>
        <v>6879.0199999999995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38000</v>
      </c>
      <c r="H646" s="104">
        <f>G409</f>
        <v>38000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44879.020000000004</v>
      </c>
      <c r="H647" s="104">
        <f>L409</f>
        <v>44879.02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235435.55000000005</v>
      </c>
      <c r="H648" s="104">
        <f>L209+L227+L245</f>
        <v>235435.55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98831.34</v>
      </c>
      <c r="H649" s="104">
        <f>(J258+J339)-(J256+J337)</f>
        <v>98831.34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117717.76999999999</v>
      </c>
      <c r="H650" s="104">
        <f>H599</f>
        <v>117717.77000000002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58858.89</v>
      </c>
      <c r="H651" s="104">
        <f>I599</f>
        <v>58858.89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58858.89</v>
      </c>
      <c r="H652" s="104">
        <f>J599</f>
        <v>58858.89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38000</v>
      </c>
      <c r="H656" s="104">
        <f>K267+K348</f>
        <v>38000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1482354.2699999998</v>
      </c>
      <c r="G661" s="19">
        <f>(L230+L310+L360)</f>
        <v>316460.83</v>
      </c>
      <c r="H661" s="19">
        <f>(L248+L329+L361)</f>
        <v>791062.89</v>
      </c>
      <c r="I661" s="19">
        <f>SUM(F661:H661)</f>
        <v>2589877.9899999998</v>
      </c>
      <c r="J661" s="13"/>
      <c r="K661" s="13"/>
      <c r="L661" s="13"/>
      <c r="M661" s="9"/>
    </row>
    <row r="662" spans="1:13" s="3" customFormat="1" ht="12.2" customHeight="1" x14ac:dyDescent="0.2">
      <c r="A662" s="1" t="s">
        <v>127</v>
      </c>
      <c r="F662" s="19">
        <f>(L359/IF(SUM(L359:L361)=0,1,SUM(L359:L361))*(SUM(G97:G110)))</f>
        <v>6602.2999999999993</v>
      </c>
      <c r="G662" s="19">
        <f>(L360/IF(SUM(L359:L361)=0,1,SUM(L359:L361))*(SUM(G97:G110)))</f>
        <v>0</v>
      </c>
      <c r="H662" s="19">
        <f>(L361/IF(SUM(L359:L361)=0,1,SUM(L359:L361))*(SUM(G97:G110)))</f>
        <v>0</v>
      </c>
      <c r="I662" s="19">
        <f>SUM(F662:H662)</f>
        <v>6602.2999999999993</v>
      </c>
      <c r="J662"/>
      <c r="K662" s="13"/>
      <c r="L662" s="13"/>
      <c r="M662" s="8"/>
    </row>
    <row r="663" spans="1:13" s="3" customFormat="1" ht="12.2" customHeight="1" x14ac:dyDescent="0.2">
      <c r="A663" s="1" t="s">
        <v>128</v>
      </c>
      <c r="F663" s="19">
        <f>(L209+L288)-(J209+J288)</f>
        <v>72280.26999999999</v>
      </c>
      <c r="G663" s="19">
        <f>(L227+L307)-(J227+J307)</f>
        <v>36140.14</v>
      </c>
      <c r="H663" s="19">
        <f>(L245+L326)-(J245+J326)</f>
        <v>36140.14</v>
      </c>
      <c r="I663" s="19">
        <f>SUM(F663:H663)</f>
        <v>144560.54999999999</v>
      </c>
      <c r="J663"/>
      <c r="K663" s="13"/>
      <c r="L663" s="13"/>
      <c r="M663" s="9"/>
    </row>
    <row r="664" spans="1:13" s="3" customFormat="1" ht="12.2" customHeight="1" x14ac:dyDescent="0.15">
      <c r="A664" s="198" t="s">
        <v>129</v>
      </c>
      <c r="B664" s="169"/>
      <c r="C664" s="169"/>
      <c r="D664" s="169"/>
      <c r="E664" s="169"/>
      <c r="F664" s="199">
        <f>SUM(F576:F588)+SUM(H603:H605)+SUM(L612)</f>
        <v>102837.34</v>
      </c>
      <c r="G664" s="199">
        <f>SUM(G576:G588)+SUM(I603:I605)+L613</f>
        <v>257601.94</v>
      </c>
      <c r="H664" s="199">
        <f>SUM(H576:H588)+SUM(J603:J605)+L614</f>
        <v>722377</v>
      </c>
      <c r="I664" s="19">
        <f>SUM(F664:H664)</f>
        <v>1082816.28</v>
      </c>
      <c r="J664" s="13"/>
      <c r="K664" s="13"/>
      <c r="L664" s="13"/>
      <c r="M664" s="9"/>
    </row>
    <row r="665" spans="1:13" s="3" customFormat="1" ht="12.2" customHeight="1" x14ac:dyDescent="0.15">
      <c r="A665" s="1" t="s">
        <v>130</v>
      </c>
      <c r="F665" s="19">
        <f>F661-SUM(F662:F664)</f>
        <v>1300634.3599999999</v>
      </c>
      <c r="G665" s="19">
        <f>G661-SUM(G662:G664)</f>
        <v>22718.75</v>
      </c>
      <c r="H665" s="19">
        <f>H661-SUM(H662:H664)</f>
        <v>32545.75</v>
      </c>
      <c r="I665" s="19">
        <f>I661-SUM(I662:I664)</f>
        <v>1355898.8599999999</v>
      </c>
      <c r="J665" s="13"/>
      <c r="K665" s="13"/>
      <c r="L665" s="13"/>
      <c r="M665" s="8"/>
    </row>
    <row r="666" spans="1:13" s="3" customFormat="1" ht="12.2" customHeight="1" x14ac:dyDescent="0.2">
      <c r="A666" s="1" t="s">
        <v>131</v>
      </c>
      <c r="F666" s="246">
        <v>42.95</v>
      </c>
      <c r="G666" s="247"/>
      <c r="H666" s="247"/>
      <c r="I666" s="19">
        <f>SUM(F666:H666)</f>
        <v>42.95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30282.52</v>
      </c>
      <c r="G668" s="19" t="e">
        <f>ROUND(G665/G666,2)</f>
        <v>#DIV/0!</v>
      </c>
      <c r="H668" s="19" t="e">
        <f>ROUND(H665/H666,2)</f>
        <v>#DIV/0!</v>
      </c>
      <c r="I668" s="19">
        <f>ROUND(I665/I666,2)</f>
        <v>31569.24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-22718.75</v>
      </c>
      <c r="H670" s="18">
        <v>-32545.75</v>
      </c>
      <c r="I670" s="19">
        <f>SUM(F670:H670)</f>
        <v>-55264.5</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30282.52</v>
      </c>
      <c r="G673" s="19" t="e">
        <f>ROUND((G665+G670)/(G666+G671),2)</f>
        <v>#DIV/0!</v>
      </c>
      <c r="H673" s="19" t="e">
        <f>ROUND((H665+H670)/(H666+H671),2)</f>
        <v>#DIV/0!</v>
      </c>
      <c r="I673" s="19">
        <f>ROUND((I665+I670)/(I666+I671),2)</f>
        <v>30282.52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Jackson School District</v>
      </c>
      <c r="C5" s="344"/>
      <c r="D5" s="344"/>
      <c r="E5" s="344"/>
      <c r="F5" s="344"/>
    </row>
    <row r="8" spans="1:9" ht="18" x14ac:dyDescent="0.25">
      <c r="A8" s="323" t="s">
        <v>1591</v>
      </c>
      <c r="F8" s="330" t="s">
        <v>1609</v>
      </c>
    </row>
    <row r="9" spans="1:9" ht="15" x14ac:dyDescent="0.2">
      <c r="A9" s="321" t="s">
        <v>1592</v>
      </c>
      <c r="B9" s="324">
        <f>'DOE25'!G97</f>
        <v>6602.2999999999993</v>
      </c>
      <c r="F9" s="321" t="s">
        <v>1605</v>
      </c>
    </row>
    <row r="10" spans="1:9" ht="15" x14ac:dyDescent="0.2">
      <c r="A10" s="321" t="s">
        <v>1593</v>
      </c>
      <c r="B10" s="324">
        <f>'DOE25'!G112-'DOE25'!G97</f>
        <v>0</v>
      </c>
      <c r="F10" s="321" t="s">
        <v>1606</v>
      </c>
    </row>
    <row r="11" spans="1:9" ht="15" x14ac:dyDescent="0.2">
      <c r="A11" s="321" t="s">
        <v>1594</v>
      </c>
      <c r="B11" s="324">
        <f>'DOE25'!G140</f>
        <v>4577.71</v>
      </c>
      <c r="F11" s="321" t="s">
        <v>1607</v>
      </c>
    </row>
    <row r="12" spans="1:9" ht="15" x14ac:dyDescent="0.2">
      <c r="A12" s="321" t="s">
        <v>1595</v>
      </c>
      <c r="B12" s="324">
        <f>'DOE25'!G170</f>
        <v>13275.49</v>
      </c>
      <c r="F12" s="321" t="s">
        <v>1608</v>
      </c>
    </row>
    <row r="13" spans="1:9" ht="15" x14ac:dyDescent="0.2">
      <c r="A13" s="321" t="s">
        <v>1596</v>
      </c>
      <c r="B13" s="324">
        <f>'DOE25'!G193-'DOE25'!G180</f>
        <v>0</v>
      </c>
      <c r="F13" s="321" t="s">
        <v>1618</v>
      </c>
    </row>
    <row r="14" spans="1:9" ht="18" x14ac:dyDescent="0.25">
      <c r="A14" s="323" t="s">
        <v>732</v>
      </c>
      <c r="B14" s="325">
        <f>SUM(B9:B13)</f>
        <v>24455.5</v>
      </c>
    </row>
    <row r="16" spans="1:9" ht="18" x14ac:dyDescent="0.25">
      <c r="A16" s="323" t="s">
        <v>786</v>
      </c>
      <c r="F16" s="330" t="s">
        <v>1610</v>
      </c>
    </row>
    <row r="17" spans="1:6" ht="15" x14ac:dyDescent="0.2">
      <c r="A17" s="321" t="s">
        <v>1597</v>
      </c>
      <c r="B17" s="324">
        <f>'DOE25'!L363-'DOE25'!L362</f>
        <v>35828.800000000003</v>
      </c>
      <c r="F17" s="321" t="s">
        <v>1611</v>
      </c>
    </row>
    <row r="18" spans="1:6" ht="15" x14ac:dyDescent="0.2">
      <c r="A18" s="321" t="s">
        <v>1598</v>
      </c>
      <c r="B18" s="338"/>
      <c r="F18" s="330" t="s">
        <v>1637</v>
      </c>
    </row>
    <row r="19" spans="1:6" ht="18" x14ac:dyDescent="0.25">
      <c r="A19" s="323" t="s">
        <v>725</v>
      </c>
      <c r="B19" s="325">
        <f>SUM(B17:B18)</f>
        <v>35828.800000000003</v>
      </c>
    </row>
    <row r="21" spans="1:6" ht="18.75" thickBot="1" x14ac:dyDescent="0.3">
      <c r="A21" s="323" t="s">
        <v>1599</v>
      </c>
    </row>
    <row r="22" spans="1:6" ht="18.75" thickTop="1" x14ac:dyDescent="0.25">
      <c r="A22" s="323" t="s">
        <v>1600</v>
      </c>
      <c r="B22" s="329">
        <f>B14-B19</f>
        <v>-11373.300000000003</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22952.41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Jackson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371996.93</v>
      </c>
      <c r="C9" s="229">
        <f>'DOE25'!G198+'DOE25'!G216+'DOE25'!G234+'DOE25'!G277+'DOE25'!G296+'DOE25'!G315</f>
        <v>236191.98</v>
      </c>
    </row>
    <row r="10" spans="1:3" x14ac:dyDescent="0.2">
      <c r="A10" t="s">
        <v>775</v>
      </c>
      <c r="B10" s="240">
        <f>SUM(368320.04-27676.74+3676.89)</f>
        <v>344320.19</v>
      </c>
      <c r="C10" s="240">
        <f>SUM(4225.2+231966.78-41019.17-471.52)</f>
        <v>194701.29</v>
      </c>
    </row>
    <row r="11" spans="1:3" x14ac:dyDescent="0.2">
      <c r="A11" t="s">
        <v>776</v>
      </c>
      <c r="B11" s="240">
        <v>21812.48</v>
      </c>
      <c r="C11" s="240">
        <v>41019.17</v>
      </c>
    </row>
    <row r="12" spans="1:3" x14ac:dyDescent="0.2">
      <c r="A12" t="s">
        <v>777</v>
      </c>
      <c r="B12" s="240">
        <v>5864.26</v>
      </c>
      <c r="C12" s="240">
        <v>471.52</v>
      </c>
    </row>
    <row r="13" spans="1:3" x14ac:dyDescent="0.2">
      <c r="A13" t="str">
        <f>IF(B9=B13,IF(C9=C13,"Check Total OK","Check Total Error"),"Check Total Error")</f>
        <v>Check Total OK</v>
      </c>
      <c r="B13" s="231">
        <f>SUM(B10:B12)</f>
        <v>371996.93</v>
      </c>
      <c r="C13" s="231">
        <f>SUM(C10:C12)</f>
        <v>236191.98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28001.66</v>
      </c>
      <c r="C18" s="229">
        <f>'DOE25'!G199+'DOE25'!G217+'DOE25'!G235+'DOE25'!G278+'DOE25'!G297+'DOE25'!G316</f>
        <v>18746.11</v>
      </c>
    </row>
    <row r="19" spans="1:3" x14ac:dyDescent="0.2">
      <c r="A19" t="s">
        <v>775</v>
      </c>
      <c r="B19" s="240">
        <f>SUM(22659.12+5342.54)</f>
        <v>28001.66</v>
      </c>
      <c r="C19" s="240">
        <f>SUM(18454.28+291.83)</f>
        <v>18746.11</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28001.66</v>
      </c>
      <c r="C22" s="231">
        <f>SUM(C19:C21)</f>
        <v>18746.11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14288.43</v>
      </c>
      <c r="C36" s="235">
        <f>'DOE25'!G201+'DOE25'!G219+'DOE25'!G237+'DOE25'!G280+'DOE25'!G299+'DOE25'!G318</f>
        <v>917.32</v>
      </c>
    </row>
    <row r="37" spans="1:3" x14ac:dyDescent="0.2">
      <c r="A37" t="s">
        <v>775</v>
      </c>
      <c r="B37" s="240">
        <v>14288.43</v>
      </c>
      <c r="C37" s="240">
        <v>917.32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14288.43</v>
      </c>
      <c r="C40" s="231">
        <f>SUM(C37:C39)</f>
        <v>917.32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29" sqref="D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Jackson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1682858.27</v>
      </c>
      <c r="D5" s="20">
        <f>SUM('DOE25'!L198:L201)+SUM('DOE25'!L216:L219)+SUM('DOE25'!L234:L237)-F5-G5-H5</f>
        <v>1675541.93</v>
      </c>
      <c r="E5" s="243"/>
      <c r="F5" s="244"/>
      <c r="G5" s="53">
        <f>SUM('DOE25'!J198:J201)+SUM('DOE25'!J216:J219)+SUM('DOE25'!J234:J237)</f>
        <v>7316.34</v>
      </c>
      <c r="H5" s="53">
        <f>SUM('DOE25'!K198:K201)+SUM('DOE25'!K216:K219)+SUM('DOE25'!K234:K237)</f>
        <v>0</v>
      </c>
      <c r="I5" s="256"/>
    </row>
    <row r="6" spans="1:9" x14ac:dyDescent="0.2">
      <c r="A6" s="32">
        <v>2100</v>
      </c>
      <c r="B6" t="s">
        <v>796</v>
      </c>
      <c r="C6" s="276">
        <f t="shared" si="0"/>
        <v>64006.12</v>
      </c>
      <c r="D6" s="20">
        <f>'DOE25'!L203+'DOE25'!L221+'DOE25'!L239-F6-G6-H6</f>
        <v>64006.12</v>
      </c>
      <c r="E6" s="243"/>
      <c r="F6" s="244"/>
      <c r="G6" s="53">
        <f>'DOE25'!J203+'DOE25'!J221+'DOE25'!J239</f>
        <v>0</v>
      </c>
      <c r="H6" s="53">
        <f>'DOE25'!K203+'DOE25'!K221+'DOE25'!K239</f>
        <v>0</v>
      </c>
      <c r="I6" s="256"/>
    </row>
    <row r="7" spans="1:9" x14ac:dyDescent="0.2">
      <c r="A7" s="32">
        <v>2200</v>
      </c>
      <c r="B7" t="s">
        <v>821</v>
      </c>
      <c r="C7" s="276">
        <f t="shared" si="0"/>
        <v>38699.189999999995</v>
      </c>
      <c r="D7" s="20">
        <f>'DOE25'!L204+'DOE25'!L222+'DOE25'!L240-F7-G7-H7</f>
        <v>38699.189999999995</v>
      </c>
      <c r="E7" s="243"/>
      <c r="F7" s="244"/>
      <c r="G7" s="53">
        <f>'DOE25'!J204+'DOE25'!J222+'DOE25'!J240</f>
        <v>0</v>
      </c>
      <c r="H7" s="53">
        <f>'DOE25'!K204+'DOE25'!K222+'DOE25'!K240</f>
        <v>0</v>
      </c>
      <c r="I7" s="256"/>
    </row>
    <row r="8" spans="1:9" x14ac:dyDescent="0.2">
      <c r="A8" s="32">
        <v>2300</v>
      </c>
      <c r="B8" t="s">
        <v>797</v>
      </c>
      <c r="C8" s="276">
        <f t="shared" si="0"/>
        <v>77666.48000000001</v>
      </c>
      <c r="D8" s="243"/>
      <c r="E8" s="20">
        <f>'DOE25'!L205+'DOE25'!L223+'DOE25'!L241-F8-G8-H8-D9-D11</f>
        <v>75615.390000000014</v>
      </c>
      <c r="F8" s="244"/>
      <c r="G8" s="53">
        <f>'DOE25'!J205+'DOE25'!J223+'DOE25'!J241</f>
        <v>0</v>
      </c>
      <c r="H8" s="53">
        <f>'DOE25'!K205+'DOE25'!K223+'DOE25'!K241</f>
        <v>2051.09</v>
      </c>
      <c r="I8" s="256"/>
    </row>
    <row r="9" spans="1:9" ht="14.25" x14ac:dyDescent="0.2">
      <c r="A9" s="32">
        <v>2310</v>
      </c>
      <c r="B9" s="185" t="s">
        <v>890</v>
      </c>
      <c r="C9" s="276">
        <f t="shared" si="0"/>
        <v>28876.12</v>
      </c>
      <c r="D9" s="244">
        <v>28876.12</v>
      </c>
      <c r="E9" s="243"/>
      <c r="F9" s="253"/>
      <c r="G9" s="253"/>
      <c r="H9" s="253"/>
      <c r="I9" s="256"/>
    </row>
    <row r="10" spans="1:9" ht="14.25" x14ac:dyDescent="0.2">
      <c r="A10" s="32">
        <v>2317</v>
      </c>
      <c r="B10" s="185" t="s">
        <v>891</v>
      </c>
      <c r="C10" s="276">
        <f t="shared" si="0"/>
        <v>5000</v>
      </c>
      <c r="D10" s="243"/>
      <c r="E10" s="244">
        <v>5000</v>
      </c>
      <c r="F10" s="253"/>
      <c r="G10" s="253"/>
      <c r="H10" s="253"/>
      <c r="I10" s="256"/>
    </row>
    <row r="11" spans="1:9" ht="14.25" x14ac:dyDescent="0.2">
      <c r="A11" s="32">
        <v>2321</v>
      </c>
      <c r="B11" s="185" t="s">
        <v>892</v>
      </c>
      <c r="C11" s="276">
        <f t="shared" si="0"/>
        <v>39359.519999999997</v>
      </c>
      <c r="D11" s="244">
        <v>39359.519999999997</v>
      </c>
      <c r="E11" s="243"/>
      <c r="F11" s="253"/>
      <c r="G11" s="253"/>
      <c r="H11" s="253"/>
      <c r="I11" s="256"/>
    </row>
    <row r="12" spans="1:9" x14ac:dyDescent="0.2">
      <c r="A12" s="32">
        <v>2400</v>
      </c>
      <c r="B12" t="s">
        <v>711</v>
      </c>
      <c r="C12" s="276">
        <f t="shared" si="0"/>
        <v>209531.62999999998</v>
      </c>
      <c r="D12" s="20">
        <f>'DOE25'!L206+'DOE25'!L224+'DOE25'!L242-F12-G12-H12</f>
        <v>208971.62999999998</v>
      </c>
      <c r="E12" s="243"/>
      <c r="F12" s="244"/>
      <c r="G12" s="53">
        <f>'DOE25'!J206+'DOE25'!J224+'DOE25'!J242</f>
        <v>0</v>
      </c>
      <c r="H12" s="53">
        <f>'DOE25'!K206+'DOE25'!K224+'DOE25'!K242</f>
        <v>560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150342.41</v>
      </c>
      <c r="D14" s="20">
        <f>'DOE25'!L208+'DOE25'!L226+'DOE25'!L244-F14-G14-H14</f>
        <v>150342.41</v>
      </c>
      <c r="E14" s="243"/>
      <c r="F14" s="244"/>
      <c r="G14" s="53">
        <f>'DOE25'!J208+'DOE25'!J226+'DOE25'!J244</f>
        <v>0</v>
      </c>
      <c r="H14" s="53">
        <f>'DOE25'!K208+'DOE25'!K226+'DOE25'!K244</f>
        <v>0</v>
      </c>
      <c r="I14" s="256"/>
    </row>
    <row r="15" spans="1:9" x14ac:dyDescent="0.2">
      <c r="A15" s="32">
        <v>2700</v>
      </c>
      <c r="B15" t="s">
        <v>799</v>
      </c>
      <c r="C15" s="276">
        <f t="shared" si="0"/>
        <v>235435.55</v>
      </c>
      <c r="D15" s="20">
        <f>'DOE25'!L209+'DOE25'!L227+'DOE25'!L245-F15-G15-H15</f>
        <v>144560.54999999999</v>
      </c>
      <c r="E15" s="243"/>
      <c r="F15" s="244"/>
      <c r="G15" s="53">
        <f>'DOE25'!J209+'DOE25'!J227+'DOE25'!J245</f>
        <v>90875</v>
      </c>
      <c r="H15" s="53">
        <f>'DOE25'!K209+'DOE25'!K227+'DOE25'!K245</f>
        <v>0</v>
      </c>
      <c r="I15" s="256"/>
    </row>
    <row r="16" spans="1:9" x14ac:dyDescent="0.2">
      <c r="A16" s="32">
        <v>2800</v>
      </c>
      <c r="B16" t="s">
        <v>800</v>
      </c>
      <c r="C16" s="276">
        <f t="shared" si="0"/>
        <v>16.670000000000002</v>
      </c>
      <c r="D16" s="243"/>
      <c r="E16" s="20">
        <f>'DOE25'!L210+'DOE25'!L228+'DOE25'!L246-F16-G16-H16</f>
        <v>16.670000000000002</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35828.800000000003</v>
      </c>
      <c r="D29" s="284">
        <f>'DOE25'!L359+'DOE25'!L360+'DOE25'!L361-'DOE25'!I368-F29-G29-H29</f>
        <v>12876.390000000003</v>
      </c>
      <c r="E29" s="243"/>
      <c r="F29" s="244">
        <v>22952.41</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27257.23</v>
      </c>
      <c r="D31" s="20">
        <f>'DOE25'!L291+'DOE25'!L310+'DOE25'!L329+'DOE25'!L334+'DOE25'!L335+'DOE25'!L336-F31-G31-H31</f>
        <v>26617.23</v>
      </c>
      <c r="E31" s="243"/>
      <c r="F31" s="244"/>
      <c r="G31" s="53">
        <f>'DOE25'!J291+'DOE25'!J310+'DOE25'!J329+'DOE25'!J334+'DOE25'!J335+'DOE25'!J336</f>
        <v>640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2389851.09</v>
      </c>
      <c r="E33" s="245">
        <f t="shared" si="1"/>
        <v>80632.060000000012</v>
      </c>
      <c r="F33" s="245">
        <f t="shared" si="1"/>
        <v>22952.41</v>
      </c>
      <c r="G33" s="245">
        <f t="shared" si="1"/>
        <v>98831.34</v>
      </c>
      <c r="H33" s="245">
        <f t="shared" si="1"/>
        <v>2611.09</v>
      </c>
      <c r="I33" s="245">
        <f t="shared" si="1"/>
        <v>0</v>
      </c>
    </row>
    <row r="35" spans="1:9" ht="12" thickBot="1" x14ac:dyDescent="0.25">
      <c r="B35" s="251" t="s">
        <v>831</v>
      </c>
      <c r="D35" s="252">
        <f>E33</f>
        <v>80632.060000000012</v>
      </c>
      <c r="E35" s="248"/>
    </row>
    <row r="36" spans="1:9" ht="12" thickTop="1" x14ac:dyDescent="0.2">
      <c r="B36" t="s">
        <v>810</v>
      </c>
      <c r="D36" s="20">
        <f>D33</f>
        <v>2389851.09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10" sqref="A1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Jackson School District</v>
      </c>
      <c r="B2" s="126">
        <f>'DOE25'!B2</f>
        <v>271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1446525.47</v>
      </c>
      <c r="G4" s="303">
        <f>'DOE25'!L212+'DOE25'!L291</f>
        <v>1446525.4699999997</v>
      </c>
      <c r="H4" s="337">
        <f>F4-G4</f>
        <v>0</v>
      </c>
      <c r="I4" s="309" t="str">
        <f>IF(H4=0,"","Does not match DOE25 page 7 and 11 Totals!!")</f>
        <v/>
      </c>
      <c r="N4"/>
    </row>
    <row r="5" spans="1:18" x14ac:dyDescent="0.2">
      <c r="A5" s="21" t="s">
        <v>1147</v>
      </c>
      <c r="B5" s="304">
        <f>IFERROR(VLOOKUP(A5,'School Tables'!$C$3:$D$365,2,FALSE),"")</f>
        <v>20355</v>
      </c>
      <c r="C5" s="297" t="str">
        <f>IFERROR(INDEX('School Tables'!$B$3:$B$365,MATCH('School Level Expenditures'!B5,'School Tables'!$D$3:$D$365,0)),"")</f>
        <v>Jackson</v>
      </c>
      <c r="D5" s="294">
        <v>1419268.24</v>
      </c>
      <c r="E5" s="294">
        <v>27257.23</v>
      </c>
      <c r="F5" s="312">
        <f>D5+E5</f>
        <v>1446525.47</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316460.83</v>
      </c>
      <c r="G24" s="303">
        <f>'DOE25'!L230+'DOE25'!L310</f>
        <v>316460.83</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316460.83</v>
      </c>
      <c r="E25" s="294"/>
      <c r="F25" s="307">
        <f>D25+E25</f>
        <v>316460.83</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791062.89</v>
      </c>
      <c r="G36" s="303">
        <f>'DOE25'!L248+'DOE25'!L329</f>
        <v>791062.89</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791062.89</v>
      </c>
      <c r="E37" s="294"/>
      <c r="F37" s="307">
        <f>D37+E37</f>
        <v>791062.89</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35"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Jackson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330943.98</v>
      </c>
      <c r="D8" s="95">
        <f>'DOE25'!G9</f>
        <v>0</v>
      </c>
      <c r="E8" s="95">
        <f>'DOE25'!H9</f>
        <v>0</v>
      </c>
      <c r="F8" s="95">
        <f>'DOE25'!I9</f>
        <v>0</v>
      </c>
      <c r="G8" s="95">
        <f>'DOE25'!J9</f>
        <v>419823.66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3902.13</v>
      </c>
      <c r="E12" s="95">
        <f>'DOE25'!H13</f>
        <v>12422.94</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330943.98</v>
      </c>
      <c r="D18" s="41">
        <f>SUM(D8:D17)</f>
        <v>3902.13</v>
      </c>
      <c r="E18" s="41">
        <f>SUM(E8:E17)</f>
        <v>12422.94</v>
      </c>
      <c r="F18" s="41">
        <f>SUM(F8:F17)</f>
        <v>0</v>
      </c>
      <c r="G18" s="41">
        <f>SUM(G8:G17)</f>
        <v>419823.66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100</v>
      </c>
      <c r="D21" s="95">
        <f>'DOE25'!G22</f>
        <v>0</v>
      </c>
      <c r="E21" s="95">
        <f>'DOE25'!H22</f>
        <v>0</v>
      </c>
      <c r="F21" s="95">
        <f>'DOE25'!I22</f>
        <v>0</v>
      </c>
      <c r="G21" s="95">
        <f>'DOE25'!J22</f>
        <v>0</v>
      </c>
      <c r="H21" s="124"/>
      <c r="I21" s="124"/>
    </row>
    <row r="22" spans="1:9" x14ac:dyDescent="0.2">
      <c r="A22" s="1" t="s">
        <v>151</v>
      </c>
      <c r="B22" s="6">
        <v>410</v>
      </c>
      <c r="C22" s="95">
        <f>'DOE25'!F23</f>
        <v>21967.93</v>
      </c>
      <c r="D22" s="95">
        <f>'DOE25'!G23</f>
        <v>3902.13</v>
      </c>
      <c r="E22" s="95">
        <f>'DOE25'!H23</f>
        <v>0</v>
      </c>
      <c r="F22" s="95">
        <f>'DOE25'!I23</f>
        <v>0</v>
      </c>
      <c r="G22" s="95">
        <f>'DOE25'!J23</f>
        <v>0</v>
      </c>
      <c r="H22" s="124"/>
      <c r="I22" s="124"/>
    </row>
    <row r="23" spans="1:9" x14ac:dyDescent="0.2">
      <c r="A23" s="1" t="s">
        <v>152</v>
      </c>
      <c r="B23" s="6">
        <v>420</v>
      </c>
      <c r="C23" s="95">
        <f>'DOE25'!F24</f>
        <v>28401.980000000003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12422.94</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50469.91</v>
      </c>
      <c r="D31" s="41">
        <f>SUM(D21:D30)</f>
        <v>3902.13</v>
      </c>
      <c r="E31" s="41">
        <f>SUM(E21:E30)</f>
        <v>12422.94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419823.66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230474.07</v>
      </c>
      <c r="D49" s="24" t="s">
        <v>288</v>
      </c>
      <c r="E49" s="24" t="s">
        <v>288</v>
      </c>
      <c r="F49" s="24" t="s">
        <v>288</v>
      </c>
      <c r="G49" s="24" t="s">
        <v>288</v>
      </c>
      <c r="H49" s="124"/>
      <c r="I49" s="124"/>
    </row>
    <row r="50" spans="1:9" ht="12.75" thickTop="1" thickBot="1" x14ac:dyDescent="0.25">
      <c r="A50" s="38" t="s">
        <v>884</v>
      </c>
      <c r="B50" s="48"/>
      <c r="C50" s="41">
        <f>SUM(C34:C49)</f>
        <v>280474.07</v>
      </c>
      <c r="D50" s="41">
        <f>SUM(D34:D49)</f>
        <v>0</v>
      </c>
      <c r="E50" s="41">
        <f>SUM(E34:E49)</f>
        <v>0</v>
      </c>
      <c r="F50" s="41">
        <f>SUM(F34:F49)</f>
        <v>0</v>
      </c>
      <c r="G50" s="41">
        <f>SUM(G34:G49)</f>
        <v>419823.66</v>
      </c>
      <c r="H50" s="124"/>
      <c r="I50" s="124"/>
    </row>
    <row r="51" spans="1:9" ht="12" thickTop="1" x14ac:dyDescent="0.2">
      <c r="A51" s="38" t="s">
        <v>885</v>
      </c>
      <c r="B51" s="2"/>
      <c r="C51" s="41">
        <f>C50+C31</f>
        <v>330943.98</v>
      </c>
      <c r="D51" s="41">
        <f>D50+D31</f>
        <v>3902.13</v>
      </c>
      <c r="E51" s="41">
        <f>E50+E31</f>
        <v>12422.94</v>
      </c>
      <c r="F51" s="41">
        <f>F50+F31</f>
        <v>0</v>
      </c>
      <c r="G51" s="41">
        <f>G50+G31</f>
        <v>419823.66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1761819</v>
      </c>
      <c r="D56" s="95">
        <f>'DOE25'!G60</f>
        <v>0</v>
      </c>
      <c r="E56" s="95">
        <f>'DOE25'!H60</f>
        <v>0</v>
      </c>
      <c r="F56" s="95">
        <f>'DOE25'!I60</f>
        <v>0</v>
      </c>
      <c r="G56" s="95">
        <f>'DOE25'!J60</f>
        <v>0</v>
      </c>
      <c r="H56"/>
      <c r="I56"/>
    </row>
    <row r="57" spans="1:9" x14ac:dyDescent="0.2">
      <c r="A57" s="1" t="s">
        <v>164</v>
      </c>
      <c r="B57" s="6" t="s">
        <v>165</v>
      </c>
      <c r="C57" s="95">
        <f>'DOE25'!F79</f>
        <v>17423</v>
      </c>
      <c r="D57" s="24" t="s">
        <v>288</v>
      </c>
      <c r="E57" s="95">
        <f>'DOE25'!H79</f>
        <v>0</v>
      </c>
      <c r="F57" s="24" t="s">
        <v>288</v>
      </c>
      <c r="G57" s="24" t="s">
        <v>288</v>
      </c>
      <c r="H57"/>
      <c r="I57"/>
    </row>
    <row r="58" spans="1:9" x14ac:dyDescent="0.2">
      <c r="A58" s="1" t="s">
        <v>166</v>
      </c>
      <c r="B58" s="6" t="s">
        <v>167</v>
      </c>
      <c r="C58" s="95">
        <f>'DOE25'!F94</f>
        <v>111.58</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6879.02</v>
      </c>
      <c r="H59"/>
      <c r="I59"/>
    </row>
    <row r="60" spans="1:9" x14ac:dyDescent="0.2">
      <c r="A60" s="1" t="s">
        <v>170</v>
      </c>
      <c r="B60" s="118" t="s">
        <v>171</v>
      </c>
      <c r="C60" s="24" t="s">
        <v>288</v>
      </c>
      <c r="D60" s="95">
        <f>'DOE25'!G97</f>
        <v>6602.2999999999993</v>
      </c>
      <c r="E60" s="24" t="s">
        <v>288</v>
      </c>
      <c r="F60" s="24" t="s">
        <v>288</v>
      </c>
      <c r="G60" s="24" t="s">
        <v>288</v>
      </c>
      <c r="H60"/>
      <c r="I60"/>
    </row>
    <row r="61" spans="1:9" ht="12" thickBot="1" x14ac:dyDescent="0.25">
      <c r="A61" s="1" t="s">
        <v>172</v>
      </c>
      <c r="B61" s="118" t="s">
        <v>173</v>
      </c>
      <c r="C61" s="95">
        <f>SUM('DOE25'!F98:F110)</f>
        <v>14120.98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31655.56</v>
      </c>
      <c r="D62" s="130">
        <f>SUM(D57:D61)</f>
        <v>6602.2999999999993</v>
      </c>
      <c r="E62" s="130">
        <f>SUM(E57:E61)</f>
        <v>0</v>
      </c>
      <c r="F62" s="130">
        <f>SUM(F57:F61)</f>
        <v>0</v>
      </c>
      <c r="G62" s="130">
        <f>SUM(G57:G61)</f>
        <v>6879.02</v>
      </c>
      <c r="H62"/>
      <c r="I62"/>
    </row>
    <row r="63" spans="1:9" ht="12" thickTop="1" x14ac:dyDescent="0.2">
      <c r="A63" s="29" t="s">
        <v>175</v>
      </c>
      <c r="B63" s="6"/>
      <c r="C63" s="22">
        <f>C56+C62</f>
        <v>1793474.5600000001</v>
      </c>
      <c r="D63" s="22">
        <f>D56+D62</f>
        <v>6602.2999999999993</v>
      </c>
      <c r="E63" s="22">
        <f>E56+E62</f>
        <v>0</v>
      </c>
      <c r="F63" s="22">
        <f>F56+F62</f>
        <v>0</v>
      </c>
      <c r="G63" s="22">
        <f>G56+G62</f>
        <v>6879.02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854759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854759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2209</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4577.71</v>
      </c>
      <c r="E77" s="95">
        <f>SUM('DOE25'!H131:H135)</f>
        <v>0</v>
      </c>
      <c r="F77" s="95">
        <f>SUM('DOE25'!I131:I135)</f>
        <v>0</v>
      </c>
      <c r="G77" s="95">
        <f>SUM('DOE25'!J131:J135)</f>
        <v>0</v>
      </c>
      <c r="H77"/>
      <c r="I77"/>
    </row>
    <row r="78" spans="1:9" ht="12.75" thickTop="1" thickBot="1" x14ac:dyDescent="0.25">
      <c r="A78" s="29" t="s">
        <v>259</v>
      </c>
      <c r="B78" s="6"/>
      <c r="C78" s="130">
        <f>SUM(C72:C77)</f>
        <v>2209</v>
      </c>
      <c r="D78" s="130">
        <f>SUM(D72:D77)</f>
        <v>4577.71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856968</v>
      </c>
      <c r="D81" s="130">
        <f>SUM(D79:D80)+D78+D70</f>
        <v>4577.71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55.31</v>
      </c>
      <c r="D88" s="341">
        <f>SUM('DOE25'!G153:G162)</f>
        <v>13275.49</v>
      </c>
      <c r="E88" s="341">
        <f>SUM('DOE25'!H153:H162)</f>
        <v>14834.29</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15311.53</v>
      </c>
      <c r="D90" s="24" t="s">
        <v>288</v>
      </c>
      <c r="E90" s="24" t="s">
        <v>288</v>
      </c>
      <c r="F90" s="24" t="s">
        <v>288</v>
      </c>
      <c r="G90" s="24" t="s">
        <v>288</v>
      </c>
    </row>
    <row r="91" spans="1:9" ht="12.75" thickTop="1" thickBot="1" x14ac:dyDescent="0.25">
      <c r="A91" s="33" t="s">
        <v>750</v>
      </c>
      <c r="C91" s="131">
        <f>SUM(C85:C90)</f>
        <v>15366.84</v>
      </c>
      <c r="D91" s="131">
        <f>SUM(D85:D90)</f>
        <v>13275.49</v>
      </c>
      <c r="E91" s="131">
        <f>SUM(E85:E90)</f>
        <v>14834.29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38000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55875</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55875</v>
      </c>
      <c r="D103" s="86">
        <f>SUM(D93:D102)</f>
        <v>0</v>
      </c>
      <c r="E103" s="86">
        <f>SUM(E93:E102)</f>
        <v>0</v>
      </c>
      <c r="F103" s="86">
        <f>SUM(F93:F102)</f>
        <v>0</v>
      </c>
      <c r="G103" s="86">
        <f>SUM(G93:G102)</f>
        <v>38000</v>
      </c>
    </row>
    <row r="104" spans="1:7" ht="12.75" thickTop="1" thickBot="1" x14ac:dyDescent="0.25">
      <c r="A104" s="33" t="s">
        <v>761</v>
      </c>
      <c r="C104" s="86">
        <f>C63+C81+C91+C103</f>
        <v>2721684.4</v>
      </c>
      <c r="D104" s="86">
        <f>D63+D81+D91+D103</f>
        <v>24455.5</v>
      </c>
      <c r="E104" s="86">
        <f>E63+E81+E91+E103</f>
        <v>14834.29</v>
      </c>
      <c r="F104" s="86">
        <f>F63+F81+F91+F103</f>
        <v>0</v>
      </c>
      <c r="G104" s="86">
        <f>G63+G81+G103</f>
        <v>44879.020000000004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1607790.0599999998</v>
      </c>
      <c r="D109" s="24" t="s">
        <v>288</v>
      </c>
      <c r="E109" s="95">
        <f>('DOE25'!L277)+('DOE25'!L296)+('DOE25'!L315)</f>
        <v>10210.950000000001</v>
      </c>
      <c r="F109" s="24" t="s">
        <v>288</v>
      </c>
      <c r="G109" s="24" t="s">
        <v>288</v>
      </c>
    </row>
    <row r="110" spans="1:7" x14ac:dyDescent="0.2">
      <c r="A110" t="s">
        <v>198</v>
      </c>
      <c r="B110" s="32" t="s">
        <v>199</v>
      </c>
      <c r="C110" s="95">
        <f>('DOE25'!L199)+('DOE25'!L217)+('DOE25'!L235)</f>
        <v>42989.399999999994</v>
      </c>
      <c r="D110" s="24" t="s">
        <v>288</v>
      </c>
      <c r="E110" s="95">
        <f>('DOE25'!L278)+('DOE25'!L297)+('DOE25'!L316)</f>
        <v>6423.37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32078.81</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1682858.2699999998</v>
      </c>
      <c r="D115" s="86">
        <f>SUM(D109:D114)</f>
        <v>0</v>
      </c>
      <c r="E115" s="86">
        <f>SUM(E109:E114)</f>
        <v>16634.32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64006.12</v>
      </c>
      <c r="D118" s="24" t="s">
        <v>288</v>
      </c>
      <c r="E118" s="95">
        <f>+('DOE25'!L282)+('DOE25'!L301)+('DOE25'!L320)</f>
        <v>2577.3200000000002</v>
      </c>
      <c r="F118" s="24" t="s">
        <v>288</v>
      </c>
      <c r="G118" s="24" t="s">
        <v>288</v>
      </c>
    </row>
    <row r="119" spans="1:7" x14ac:dyDescent="0.2">
      <c r="A119" t="s">
        <v>208</v>
      </c>
      <c r="B119" s="32" t="s">
        <v>209</v>
      </c>
      <c r="C119" s="95">
        <f>('DOE25'!L204)+('DOE25'!L222)+('DOE25'!L240)</f>
        <v>38699.189999999995</v>
      </c>
      <c r="D119" s="24" t="s">
        <v>288</v>
      </c>
      <c r="E119" s="95">
        <f>+('DOE25'!L283)+('DOE25'!L302)+('DOE25'!L321)</f>
        <v>8045.59</v>
      </c>
      <c r="F119" s="24" t="s">
        <v>288</v>
      </c>
      <c r="G119" s="24" t="s">
        <v>288</v>
      </c>
    </row>
    <row r="120" spans="1:7" x14ac:dyDescent="0.2">
      <c r="A120" t="s">
        <v>210</v>
      </c>
      <c r="B120" s="32" t="s">
        <v>211</v>
      </c>
      <c r="C120" s="95">
        <f>('DOE25'!L205)+('DOE25'!L223)+('DOE25'!L241)</f>
        <v>145902.12</v>
      </c>
      <c r="D120" s="24" t="s">
        <v>288</v>
      </c>
      <c r="E120" s="95">
        <f>+('DOE25'!L284)+('DOE25'!L303)+('DOE25'!L322)</f>
        <v>0</v>
      </c>
      <c r="F120" s="24" t="s">
        <v>288</v>
      </c>
      <c r="G120" s="24" t="s">
        <v>288</v>
      </c>
    </row>
    <row r="121" spans="1:7" x14ac:dyDescent="0.2">
      <c r="A121" t="s">
        <v>212</v>
      </c>
      <c r="B121" s="32" t="s">
        <v>213</v>
      </c>
      <c r="C121" s="95">
        <f>('DOE25'!L206)+('DOE25'!L224)+('DOE25'!L242)</f>
        <v>209531.62999999998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150342.41</v>
      </c>
      <c r="D123" s="24" t="s">
        <v>288</v>
      </c>
      <c r="E123" s="95">
        <f>+('DOE25'!L287)+('DOE25'!L306)+('DOE25'!L325)</f>
        <v>0</v>
      </c>
      <c r="F123" s="24" t="s">
        <v>288</v>
      </c>
      <c r="G123" s="24" t="s">
        <v>288</v>
      </c>
    </row>
    <row r="124" spans="1:7" x14ac:dyDescent="0.2">
      <c r="A124" t="s">
        <v>218</v>
      </c>
      <c r="B124" s="32" t="s">
        <v>219</v>
      </c>
      <c r="C124" s="95">
        <f>('DOE25'!L209)+('DOE25'!L227)+('DOE25'!L245+'DOE25'!L255)</f>
        <v>235435.55</v>
      </c>
      <c r="D124" s="24" t="s">
        <v>288</v>
      </c>
      <c r="E124" s="95">
        <f>+('DOE25'!L288)+('DOE25'!L307)+('DOE25'!L326)</f>
        <v>0</v>
      </c>
      <c r="F124" s="24" t="s">
        <v>288</v>
      </c>
      <c r="G124" s="24" t="s">
        <v>288</v>
      </c>
    </row>
    <row r="125" spans="1:7" x14ac:dyDescent="0.2">
      <c r="A125" t="s">
        <v>220</v>
      </c>
      <c r="B125" s="32" t="s">
        <v>221</v>
      </c>
      <c r="C125" s="95">
        <f>('DOE25'!L210)+('DOE25'!L228)+('DOE25'!L246)</f>
        <v>16.670000000000002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35828.800000000003</v>
      </c>
      <c r="E127" s="24" t="s">
        <v>288</v>
      </c>
      <c r="F127" s="24" t="s">
        <v>288</v>
      </c>
      <c r="G127" s="24" t="s">
        <v>288</v>
      </c>
    </row>
    <row r="128" spans="1:7" ht="12.75" thickTop="1" thickBot="1" x14ac:dyDescent="0.25">
      <c r="A128" s="33" t="s">
        <v>226</v>
      </c>
      <c r="C128" s="86">
        <f>SUM(C118:C127)</f>
        <v>843933.69000000006</v>
      </c>
      <c r="D128" s="86">
        <f>SUM(D118:D127)</f>
        <v>35828.800000000003</v>
      </c>
      <c r="E128" s="86">
        <f>SUM(E118:E127)</f>
        <v>10622.91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1454.95</v>
      </c>
      <c r="D138" s="24" t="s">
        <v>288</v>
      </c>
      <c r="E138" s="24" t="s">
        <v>288</v>
      </c>
      <c r="F138" s="24" t="s">
        <v>288</v>
      </c>
      <c r="G138" s="24" t="s">
        <v>288</v>
      </c>
    </row>
    <row r="139" spans="1:7" x14ac:dyDescent="0.2">
      <c r="A139" t="s">
        <v>239</v>
      </c>
      <c r="B139" s="32">
        <v>5252</v>
      </c>
      <c r="C139" s="95">
        <f>'DOE25'!L402</f>
        <v>43424.07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-6879.0199999999968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38000</v>
      </c>
      <c r="D144" s="141">
        <f>SUM(D130:D143)</f>
        <v>0</v>
      </c>
      <c r="E144" s="141">
        <f>SUM(E130:E143)</f>
        <v>0</v>
      </c>
      <c r="F144" s="141">
        <f>SUM(F130:F143)</f>
        <v>0</v>
      </c>
      <c r="G144" s="141">
        <f>SUM(G130:G143)</f>
        <v>0</v>
      </c>
    </row>
    <row r="145" spans="1:9" ht="12.75" thickTop="1" thickBot="1" x14ac:dyDescent="0.25">
      <c r="A145" s="33" t="s">
        <v>244</v>
      </c>
      <c r="C145" s="86">
        <f>(C115+C128+C144)</f>
        <v>2564791.96</v>
      </c>
      <c r="D145" s="86">
        <f>(D115+D128+D144)</f>
        <v>35828.800000000003</v>
      </c>
      <c r="E145" s="86">
        <f>(E115+E128+E144)</f>
        <v>27257.23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Jackson School District</v>
      </c>
    </row>
    <row r="3" spans="1:4" x14ac:dyDescent="0.2">
      <c r="B3" s="188" t="s">
        <v>1587</v>
      </c>
    </row>
    <row r="4" spans="1:4" x14ac:dyDescent="0.2">
      <c r="B4" t="s">
        <v>61</v>
      </c>
      <c r="C4" s="179">
        <f>IF('DOE25'!F666+'DOE25'!F671=0,0,ROUND('DOE25'!F673,0))</f>
        <v>30283</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30283</v>
      </c>
    </row>
    <row r="9" spans="1:4" x14ac:dyDescent="0.2">
      <c r="A9" s="187" t="s">
        <v>94</v>
      </c>
      <c r="B9" s="188" t="s">
        <v>1588</v>
      </c>
      <c r="C9" s="181" t="s">
        <v>720</v>
      </c>
      <c r="D9" s="181" t="s">
        <v>721</v>
      </c>
    </row>
    <row r="10" spans="1:4" x14ac:dyDescent="0.2">
      <c r="A10">
        <v>1100</v>
      </c>
      <c r="B10" t="s">
        <v>702</v>
      </c>
      <c r="C10" s="179">
        <f>ROUND('DOE25'!L198+'DOE25'!L216+'DOE25'!L234+'DOE25'!L277+'DOE25'!L296+'DOE25'!L315,0)</f>
        <v>1618001</v>
      </c>
      <c r="D10" s="182">
        <f>ROUND((C10/$C$28)*100,1)</f>
        <v>62.6</v>
      </c>
    </row>
    <row r="11" spans="1:4" x14ac:dyDescent="0.2">
      <c r="A11">
        <v>1200</v>
      </c>
      <c r="B11" t="s">
        <v>703</v>
      </c>
      <c r="C11" s="179">
        <f>ROUND('DOE25'!L199+'DOE25'!L217+'DOE25'!L235+'DOE25'!L278+'DOE25'!L297+'DOE25'!L316,0)</f>
        <v>49413</v>
      </c>
      <c r="D11" s="182">
        <f>ROUND((C11/$C$28)*100,1)</f>
        <v>1.9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32079</v>
      </c>
      <c r="D13" s="182">
        <f>ROUND((C13/$C$28)*100,1)</f>
        <v>1.2</v>
      </c>
    </row>
    <row r="14" spans="1:4" x14ac:dyDescent="0.2">
      <c r="D14" s="182"/>
    </row>
    <row r="15" spans="1:4" x14ac:dyDescent="0.2">
      <c r="A15">
        <v>2100</v>
      </c>
      <c r="B15" t="s">
        <v>706</v>
      </c>
      <c r="C15" s="179">
        <f>ROUND('DOE25'!L203+'DOE25'!L221+'DOE25'!L239+'DOE25'!L282+'DOE25'!L301+'DOE25'!L320,0)</f>
        <v>66583</v>
      </c>
      <c r="D15" s="182">
        <f t="shared" ref="D15:D27" si="0">ROUND((C15/$C$28)*100,1)</f>
        <v>2.6</v>
      </c>
    </row>
    <row r="16" spans="1:4" x14ac:dyDescent="0.2">
      <c r="A16">
        <v>2200</v>
      </c>
      <c r="B16" t="s">
        <v>707</v>
      </c>
      <c r="C16" s="179">
        <f>ROUND('DOE25'!L204+'DOE25'!L222+'DOE25'!L240+'DOE25'!L283+'DOE25'!L302+'DOE25'!L321,0)</f>
        <v>46745</v>
      </c>
      <c r="D16" s="182">
        <f t="shared" si="0"/>
        <v>1.8</v>
      </c>
    </row>
    <row r="17" spans="1:4" x14ac:dyDescent="0.2">
      <c r="A17" s="183" t="s">
        <v>723</v>
      </c>
      <c r="B17" t="s">
        <v>738</v>
      </c>
      <c r="C17" s="179">
        <f>ROUND('DOE25'!L205+'DOE25'!L210+'DOE25'!L223+'DOE25'!L228+'DOE25'!L241+'DOE25'!L246+'DOE25'!L284+'DOE25'!L289+'DOE25'!L303+'DOE25'!L308+'DOE25'!L322+'DOE25'!L327,0)</f>
        <v>145919</v>
      </c>
      <c r="D17" s="182">
        <f t="shared" si="0"/>
        <v>5.6</v>
      </c>
    </row>
    <row r="18" spans="1:4" x14ac:dyDescent="0.2">
      <c r="A18">
        <v>2400</v>
      </c>
      <c r="B18" t="s">
        <v>711</v>
      </c>
      <c r="C18" s="179">
        <f>ROUND('DOE25'!L206+'DOE25'!L224+'DOE25'!L242+'DOE25'!L285+'DOE25'!L304+'DOE25'!L323,0)</f>
        <v>209532</v>
      </c>
      <c r="D18" s="182">
        <f t="shared" si="0"/>
        <v>8.1</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150342</v>
      </c>
      <c r="D20" s="182">
        <f t="shared" si="0"/>
        <v>5.8</v>
      </c>
    </row>
    <row r="21" spans="1:4" x14ac:dyDescent="0.2">
      <c r="A21">
        <v>2700</v>
      </c>
      <c r="B21" t="s">
        <v>710</v>
      </c>
      <c r="C21" s="179">
        <f>ROUND('DOE25'!L209+'DOE25'!L227+'DOE25'!L245+'DOE25'!L288+'DOE25'!L307+'DOE25'!L326,0)</f>
        <v>235436</v>
      </c>
      <c r="D21" s="182">
        <f t="shared" si="0"/>
        <v>9.1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29226.7</v>
      </c>
      <c r="D27" s="182">
        <f t="shared" si="0"/>
        <v>1.1000000000000001</v>
      </c>
    </row>
    <row r="28" spans="1:4" x14ac:dyDescent="0.2">
      <c r="B28" s="187" t="s">
        <v>719</v>
      </c>
      <c r="C28" s="180">
        <f>SUM(C10:C27)</f>
        <v>2583276.7000000002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2583276.7000000002</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1761819</v>
      </c>
      <c r="D35" s="182">
        <f t="shared" ref="D35:D40" si="1">ROUND((C35/$C$41)*100,1)</f>
        <v>65.099999999999994</v>
      </c>
    </row>
    <row r="36" spans="1:4" x14ac:dyDescent="0.2">
      <c r="B36" s="185" t="s">
        <v>739</v>
      </c>
      <c r="C36" s="179">
        <f>SUM('DOE25'!F112:J112)-SUM('DOE25'!G97:G110)+('DOE25'!F175+'DOE25'!F176+'DOE25'!I175+'DOE25'!I176)-C35</f>
        <v>38534.580000000075</v>
      </c>
      <c r="D36" s="182">
        <f t="shared" si="1"/>
        <v>1.4</v>
      </c>
    </row>
    <row r="37" spans="1:4" x14ac:dyDescent="0.2">
      <c r="A37" s="183" t="s">
        <v>835</v>
      </c>
      <c r="B37" s="185" t="s">
        <v>728</v>
      </c>
      <c r="C37" s="179">
        <f>ROUND('DOE25'!F117+'DOE25'!F118,0)</f>
        <v>854759</v>
      </c>
      <c r="D37" s="182">
        <f t="shared" si="1"/>
        <v>31.6</v>
      </c>
    </row>
    <row r="38" spans="1:4" x14ac:dyDescent="0.2">
      <c r="A38" s="183" t="s">
        <v>734</v>
      </c>
      <c r="B38" s="185" t="s">
        <v>729</v>
      </c>
      <c r="C38" s="179">
        <f>ROUND(SUM('DOE25'!F140:J140)-SUM('DOE25'!F117:F119),0)</f>
        <v>6787</v>
      </c>
      <c r="D38" s="182">
        <f t="shared" si="1"/>
        <v>0.3</v>
      </c>
    </row>
    <row r="39" spans="1:4" x14ac:dyDescent="0.2">
      <c r="A39">
        <v>4000</v>
      </c>
      <c r="B39" s="185" t="s">
        <v>730</v>
      </c>
      <c r="C39" s="179">
        <f>ROUND('DOE25'!F170+'DOE25'!G170+'DOE25'!H170+'DOE25'!I170,0)</f>
        <v>43477</v>
      </c>
      <c r="D39" s="182">
        <f t="shared" si="1"/>
        <v>1.6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2705376.58</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Jackson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2020-10-05T14:19:30Z</cp:lastPrinted>
  <dcterms:created xsi:type="dcterms:W3CDTF">1997-12-04T19:04:30Z</dcterms:created>
  <dcterms:modified xsi:type="dcterms:W3CDTF">2020-10-05T14:19:34Z</dcterms:modified>
</cp:coreProperties>
</file>