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29" i="13" l="1"/>
  <c r="F16" i="13"/>
  <c r="F15" i="13"/>
  <c r="F14" i="13"/>
  <c r="G508" i="1" l="1"/>
  <c r="D6" i="14" l="1"/>
  <c r="D5" i="14"/>
  <c r="D25" i="14"/>
  <c r="D41" i="14"/>
  <c r="D37" i="14"/>
  <c r="E6" i="14"/>
  <c r="E5" i="14"/>
  <c r="C10" i="12" l="1"/>
  <c r="C12" i="12"/>
  <c r="B12" i="12"/>
  <c r="B10" i="12"/>
  <c r="B11" i="12"/>
  <c r="C39" i="12"/>
  <c r="B39" i="12"/>
  <c r="C20" i="12" l="1"/>
  <c r="C19" i="12"/>
  <c r="C21" i="12"/>
  <c r="B19" i="12"/>
  <c r="B20" i="12"/>
  <c r="B21" i="12"/>
  <c r="G97" i="1" l="1"/>
  <c r="G158" i="1"/>
  <c r="F29" i="1"/>
  <c r="G29" i="1"/>
  <c r="F9" i="1" l="1"/>
  <c r="J593" i="1"/>
  <c r="H596" i="1"/>
  <c r="H441" i="1"/>
  <c r="G132" i="1" l="1"/>
  <c r="F110" i="1"/>
  <c r="J96"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10" i="14"/>
  <c r="C11" i="14"/>
  <c r="C14" i="14"/>
  <c r="C15" i="14"/>
  <c r="C18" i="14"/>
  <c r="C19" i="14"/>
  <c r="B6" i="14"/>
  <c r="C6" i="14" s="1"/>
  <c r="B7" i="14"/>
  <c r="C7" i="14" s="1"/>
  <c r="B8" i="14"/>
  <c r="C8" i="14" s="1"/>
  <c r="B9" i="14"/>
  <c r="C9" i="14" s="1"/>
  <c r="B10" i="14"/>
  <c r="B11" i="14"/>
  <c r="B12" i="14"/>
  <c r="C12" i="14" s="1"/>
  <c r="B13" i="14"/>
  <c r="C13" i="14" s="1"/>
  <c r="B14" i="14"/>
  <c r="B15" i="14"/>
  <c r="B16" i="14"/>
  <c r="C16" i="14" s="1"/>
  <c r="B17" i="14"/>
  <c r="C17" i="14" s="1"/>
  <c r="B18" i="14"/>
  <c r="B19" i="14"/>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s="1"/>
  <c r="G147" i="1"/>
  <c r="H147" i="1"/>
  <c r="H170" i="1" s="1"/>
  <c r="I147" i="1"/>
  <c r="C13" i="10"/>
  <c r="L251" i="1"/>
  <c r="C113" i="2" s="1"/>
  <c r="L333" i="1"/>
  <c r="E113" i="2" s="1"/>
  <c r="L255" i="1"/>
  <c r="L269" i="1"/>
  <c r="L270" i="1"/>
  <c r="L350" i="1"/>
  <c r="E142" i="2" s="1"/>
  <c r="L351" i="1"/>
  <c r="E143" i="2" s="1"/>
  <c r="I666" i="1"/>
  <c r="I671"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E123" i="2"/>
  <c r="E124" i="2"/>
  <c r="E125" i="2"/>
  <c r="F128" i="2"/>
  <c r="G128"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4" i="1"/>
  <c r="G645" i="1"/>
  <c r="G646" i="1"/>
  <c r="G653" i="1"/>
  <c r="H653" i="1"/>
  <c r="G654" i="1"/>
  <c r="H654" i="1"/>
  <c r="G655" i="1"/>
  <c r="H655" i="1"/>
  <c r="H656" i="1"/>
  <c r="J656" i="1" s="1"/>
  <c r="J572" i="1"/>
  <c r="I170" i="1"/>
  <c r="J140" i="1"/>
  <c r="H140" i="1"/>
  <c r="E114" i="2" l="1"/>
  <c r="D18" i="13"/>
  <c r="C18" i="13" s="1"/>
  <c r="C20" i="10"/>
  <c r="H112" i="1"/>
  <c r="L402" i="1"/>
  <c r="C139" i="2" s="1"/>
  <c r="H462" i="1"/>
  <c r="H642" i="1" s="1"/>
  <c r="C91" i="2"/>
  <c r="G663" i="1"/>
  <c r="A40" i="12"/>
  <c r="J652" i="1"/>
  <c r="G553" i="1"/>
  <c r="G477" i="1"/>
  <c r="H624" i="1" s="1"/>
  <c r="J624" i="1" s="1"/>
  <c r="H477" i="1"/>
  <c r="H625" i="1" s="1"/>
  <c r="J625" i="1" s="1"/>
  <c r="G662" i="1"/>
  <c r="K339" i="1"/>
  <c r="E119" i="2"/>
  <c r="G339" i="1"/>
  <c r="G353" i="1" s="1"/>
  <c r="E110" i="2"/>
  <c r="C11" i="10"/>
  <c r="G651" i="1"/>
  <c r="J651" i="1" s="1"/>
  <c r="E13" i="13"/>
  <c r="C13" i="13" s="1"/>
  <c r="C120" i="2"/>
  <c r="A31" i="12"/>
  <c r="K353" i="1"/>
  <c r="L257" i="1"/>
  <c r="D15" i="13"/>
  <c r="C15" i="13" s="1"/>
  <c r="C119" i="2"/>
  <c r="D6" i="13"/>
  <c r="C6" i="13" s="1"/>
  <c r="C112" i="2"/>
  <c r="C12" i="10"/>
  <c r="C125" i="2"/>
  <c r="C121" i="2"/>
  <c r="C110" i="2"/>
  <c r="J258" i="1"/>
  <c r="F258" i="1"/>
  <c r="F272" i="1" s="1"/>
  <c r="D50" i="2"/>
  <c r="F339" i="1"/>
  <c r="F353" i="1" s="1"/>
  <c r="J642" i="1"/>
  <c r="L561" i="1"/>
  <c r="G462" i="1"/>
  <c r="H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I572" i="1"/>
  <c r="K546" i="1"/>
  <c r="H52" i="1"/>
  <c r="H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1" i="1"/>
  <c r="J620" i="1"/>
  <c r="D103" i="2"/>
  <c r="I140" i="1"/>
  <c r="A22" i="12"/>
  <c r="J653" i="1"/>
  <c r="G572" i="1"/>
  <c r="I435" i="1"/>
  <c r="G435" i="1"/>
  <c r="I664" i="1"/>
  <c r="E128" i="2" l="1"/>
  <c r="B33" i="16"/>
  <c r="L572" i="1"/>
  <c r="C141" i="2"/>
  <c r="C144" i="2" s="1"/>
  <c r="G36" i="14"/>
  <c r="H36" i="14" s="1"/>
  <c r="I36" i="14" s="1"/>
  <c r="G24" i="14"/>
  <c r="H24" i="14" s="1"/>
  <c r="I24" i="14" s="1"/>
  <c r="E115" i="2"/>
  <c r="F661" i="1"/>
  <c r="F665" i="1" s="1"/>
  <c r="F668" i="1" s="1"/>
  <c r="H649" i="1"/>
  <c r="J649" i="1" s="1"/>
  <c r="H661" i="1"/>
  <c r="H665" i="1" s="1"/>
  <c r="J272" i="1"/>
  <c r="F194" i="1"/>
  <c r="G628" i="1" s="1"/>
  <c r="J628" i="1" s="1"/>
  <c r="C81" i="2"/>
  <c r="D51" i="2"/>
  <c r="E51"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68" i="1"/>
  <c r="H673" i="1"/>
  <c r="C6" i="10" s="1"/>
  <c r="F673" i="1"/>
  <c r="C4"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<sst xmlns="http://schemas.openxmlformats.org/spreadsheetml/2006/main" count="5560" uniqueCount="1649">
  <si>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</si>
  <si>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</si>
  <si>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</si>
  <si>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</si>
  <si>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</si>
  <si>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</si>
  <si>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</si>
  <si>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</si>
  <si>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</si>
  <si>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</si>
  <si>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</si>
  <si>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</si>
  <si>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</si>
  <si>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</si>
  <si>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</si>
  <si>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</si>
  <si>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</si>
  <si>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</si>
  <si>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</si>
  <si>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</si>
  <si>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</si>
  <si>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</si>
  <si>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</si>
  <si>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</si>
  <si>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</si>
  <si>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</si>
  <si>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</si>
  <si>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</si>
  <si>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</si>
  <si>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</si>
  <si>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</si>
  <si>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</si>
  <si>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</si>
  <si>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</si>
  <si>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</si>
  <si>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</si>
  <si>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</si>
  <si>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</si>
  <si>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</si>
  <si>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</si>
  <si>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</si>
  <si>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</si>
  <si>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</si>
  <si>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</si>
  <si>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</si>
  <si>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</si>
  <si>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</si>
  <si>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</si>
  <si>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</si>
  <si>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</si>
  <si>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</si>
  <si>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</si>
  <si>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</si>
  <si>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</si>
  <si>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</si>
  <si>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</si>
  <si>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</si>
  <si>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</si>
  <si>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</si>
  <si>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</si>
  <si>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</si>
  <si>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</si>
  <si>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</si>
  <si>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</si>
  <si>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</si>
  <si>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</si>
  <si>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</si>
  <si>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</si>
  <si>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</si>
  <si>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</si>
  <si>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</si>
  <si>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</si>
  <si>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</si>
  <si>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</si>
  <si>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</si>
  <si>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</si>
  <si>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</si>
  <si>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</si>
  <si>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</si>
  <si>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</si>
  <si>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</si>
  <si>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</si>
  <si>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</si>
  <si>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</si>
  <si>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</si>
  <si>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</si>
  <si>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</si>
  <si>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</si>
  <si>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</si>
  <si>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</si>
  <si>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</si>
  <si>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</si>
  <si>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</si>
  <si>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</si>
  <si>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</si>
  <si>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</si>
  <si>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</si>
  <si>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</si>
  <si>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</si>
  <si>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</si>
  <si>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</si>
  <si>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</si>
  <si>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</si>
  <si>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</si>
  <si>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</si>
  <si>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</si>
  <si>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</si>
  <si>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</si>
  <si>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</si>
  <si>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</si>
  <si>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</si>
  <si>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</si>
  <si>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</si>
  <si>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</si>
  <si>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</si>
  <si>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</si>
  <si>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</si>
  <si>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</si>
  <si>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</si>
  <si>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</si>
  <si>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</si>
  <si>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</si>
  <si>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</si>
  <si>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</si>
  <si>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</si>
  <si>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</si>
  <si>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</si>
  <si>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</si>
  <si>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</si>
  <si>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</si>
  <si>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</si>
  <si>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</si>
  <si>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</si>
  <si>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</si>
  <si>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</si>
  <si>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</si>
  <si>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</si>
  <si>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</si>
  <si>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</si>
  <si>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</si>
  <si>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</si>
  <si>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</si>
  <si>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</si>
  <si>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</si>
  <si>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</si>
  <si>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</si>
  <si>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</si>
  <si>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</si>
  <si>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</si>
  <si>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</si>
  <si>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</si>
  <si>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</si>
  <si>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</si>
  <si>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</si>
  <si>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</si>
  <si>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</si>
  <si>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</si>
  <si>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</si>
  <si>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</si>
  <si>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</si>
  <si>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</si>
  <si>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</si>
  <si>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</si>
  <si>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</si>
  <si>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</si>
  <si>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</si>
  <si>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</si>
  <si>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</si>
  <si>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</si>
  <si>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</si>
  <si>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</si>
  <si>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</si>
  <si>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</si>
  <si>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</si>
  <si>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</si>
  <si>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</si>
  <si>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</si>
  <si>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</si>
  <si>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</si>
  <si>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</si>
  <si>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</si>
  <si>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</si>
  <si>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</si>
  <si>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</si>
  <si>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</si>
  <si>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</si>
  <si>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</si>
  <si>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</si>
  <si>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</si>
  <si>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</si>
  <si>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</si>
  <si>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</si>
  <si>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</si>
  <si>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</si>
  <si>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</si>
  <si>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</si>
  <si>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</si>
  <si>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</si>
  <si>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</si>
  <si>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</si>
  <si>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</si>
  <si>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</si>
  <si>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</si>
  <si>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</si>
  <si>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</si>
  <si>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</si>
  <si>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</si>
  <si>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</si>
  <si>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</si>
  <si>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</si>
  <si>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</si>
  <si>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</si>
  <si>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</si>
  <si>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</si>
  <si>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</si>
  <si>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</si>
  <si>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</si>
  <si>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</si>
  <si>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</si>
  <si>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</si>
  <si>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</si>
  <si>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</si>
  <si>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</si>
  <si>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</si>
  <si>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</si>
  <si>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</si>
  <si>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</si>
  <si>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</si>
  <si>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</si>
  <si>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</si>
  <si>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</si>
  <si>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</si>
  <si>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</si>
  <si>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</si>
  <si>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</si>
  <si>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</si>
  <si>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</si>
  <si>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</si>
  <si>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</si>
  <si>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</si>
  <si>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</si>
  <si>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</si>
  <si>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</si>
  <si>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</si>
  <si>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</si>
  <si>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</si>
  <si>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</si>
  <si>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</si>
  <si>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</si>
  <si>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</si>
  <si>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</si>
  <si>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</si>
  <si>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</si>
  <si>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</si>
  <si>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</si>
  <si>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</si>
  <si>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</si>
  <si>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</si>
  <si>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</si>
  <si>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</si>
  <si>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</si>
  <si>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</si>
  <si>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</si>
  <si>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</si>
  <si>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</si>
  <si>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</si>
  <si>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</si>
  <si>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</si>
  <si>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</si>
  <si>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</si>
  <si>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</si>
  <si>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</si>
  <si>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</si>
  <si>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</si>
  <si>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</si>
  <si>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</si>
  <si>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</si>
  <si>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</si>
  <si>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</si>
  <si>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</si>
  <si>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</si>
  <si>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</si>
  <si>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</si>
  <si>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</si>
  <si>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</si>
  <si>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</si>
  <si>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</si>
  <si>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</si>
  <si>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</si>
  <si>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</si>
  <si>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</si>
  <si>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</si>
  <si>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</si>
  <si>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</si>
  <si>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</si>
  <si>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</si>
  <si>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</si>
  <si>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</si>
  <si>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</si>
  <si>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</si>
  <si>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</si>
  <si>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</si>
  <si>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</si>
  <si>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</si>
  <si>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</si>
  <si>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</si>
  <si>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</si>
  <si>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</si>
  <si>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</si>
  <si>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</si>
  <si>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</si>
  <si>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</si>
  <si>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</si>
  <si>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</si>
  <si>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</si>
  <si>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</si>
  <si>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</si>
  <si>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</si>
  <si>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</si>
  <si>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</si>
  <si>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</si>
  <si>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</si>
  <si>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</si>
  <si>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</si>
  <si>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</si>
  <si>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</si>
  <si>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</si>
  <si>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</si>
  <si>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</si>
  <si>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</si>
  <si>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</si>
  <si>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</si>
  <si>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</si>
  <si>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</si>
  <si>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</si>
  <si>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</si>
  <si>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</si>
  <si>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</si>
  <si>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</si>
  <si>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</si>
  <si>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</si>
  <si>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</si>
  <si>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</si>
  <si>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</si>
  <si>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</si>
  <si>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</si>
  <si>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</si>
  <si>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</si>
  <si>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</si>
  <si>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</si>
  <si>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</si>
  <si>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</si>
  <si>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</si>
  <si>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</si>
  <si>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</si>
  <si>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</si>
  <si>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</si>
  <si>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</si>
  <si>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</si>
  <si>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</si>
  <si>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</si>
  <si>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</si>
  <si>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</si>
  <si>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</si>
  <si>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</si>
  <si>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</si>
  <si>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</si>
  <si>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</si>
  <si>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</si>
  <si>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</si>
  <si>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</si>
  <si>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</si>
  <si>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</si>
  <si>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</si>
  <si>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</si>
  <si>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</si>
  <si>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</si>
  <si>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</si>
  <si>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</si>
  <si>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</si>
  <si>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</si>
  <si>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</si>
  <si>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</si>
  <si>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</si>
  <si>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</si>
  <si>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</si>
  <si>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</si>
  <si>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</si>
  <si>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</si>
  <si>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</si>
  <si>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</si>
  <si>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</si>
  <si>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</si>
  <si>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</si>
  <si>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</si>
  <si>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</si>
  <si>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</si>
  <si>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</si>
  <si>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</si>
  <si>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</si>
  <si>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</si>
  <si>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</si>
  <si>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</si>
  <si>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</si>
  <si>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</si>
  <si>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</si>
  <si>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</si>
  <si>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</si>
  <si>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</si>
  <si>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</si>
  <si>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</si>
  <si>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</si>
  <si>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</si>
  <si>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</si>
  <si>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</si>
  <si>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</si>
  <si>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</si>
  <si>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</si>
  <si>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</si>
  <si>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</si>
  <si>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</si>
  <si>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</si>
  <si>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</si>
  <si>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</si>
  <si>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</si>
  <si>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</si>
  <si>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</si>
  <si>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</si>
  <si>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</si>
  <si>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</si>
  <si>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</si>
  <si>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</si>
  <si>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</si>
  <si>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</si>
  <si>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</si>
  <si>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</si>
  <si>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</si>
  <si>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</si>
  <si>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</si>
  <si>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</si>
  <si>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</si>
  <si>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</si>
  <si>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</si>
  <si>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</si>
  <si>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</si>
  <si>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</si>
  <si>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</si>
  <si>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</si>
  <si>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</si>
  <si>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</si>
  <si>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</si>
  <si>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</si>
  <si>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</si>
  <si>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</si>
  <si>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</si>
  <si>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</si>
  <si>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</si>
  <si>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</si>
  <si>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</si>
  <si>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</si>
  <si>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</si>
  <si>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</si>
  <si>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</si>
  <si>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</si>
  <si>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</si>
  <si>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</si>
  <si>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</si>
  <si>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</si>
  <si>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</si>
  <si>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</si>
  <si>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</si>
  <si>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</si>
  <si>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</si>
  <si>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</si>
  <si>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</si>
  <si>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</si>
  <si>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</si>
  <si>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</si>
  <si>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</si>
  <si>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</si>
  <si>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</si>
  <si>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</si>
  <si>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</si>
  <si>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</si>
  <si>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</si>
  <si>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</si>
  <si>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</si>
  <si>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</si>
  <si>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</si>
  <si>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</si>
  <si>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</si>
  <si>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</si>
  <si>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</si>
  <si>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</si>
  <si>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</si>
  <si>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</si>
  <si>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</si>
  <si>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</si>
  <si>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</si>
  <si>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</si>
  <si>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</si>
  <si>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</si>
  <si>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</si>
  <si>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</si>
  <si>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</si>
  <si>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</si>
  <si>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</si>
  <si>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</si>
  <si>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</si>
  <si>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</si>
  <si>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</si>
  <si>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</si>
  <si>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</si>
  <si>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</si>
  <si>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</si>
  <si>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</si>
  <si>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</si>
  <si>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</si>
  <si>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</si>
  <si>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</si>
  <si>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</si>
  <si>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</si>
  <si>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</si>
  <si>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</si>
  <si>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</si>
  <si>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</si>
  <si>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</si>
  <si>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</si>
  <si>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</si>
  <si>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</si>
  <si>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</si>
  <si>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</si>
  <si>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</si>
  <si>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</si>
  <si>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</si>
  <si>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</si>
  <si>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</si>
  <si>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</si>
  <si>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</si>
  <si>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</si>
  <si>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</si>
  <si>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</si>
  <si>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</si>
  <si>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</si>
  <si>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</si>
  <si>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</si>
  <si>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</si>
  <si>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</si>
  <si>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</si>
  <si>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</si>
  <si>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</si>
  <si>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</si>
  <si>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</si>
  <si>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</si>
  <si>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</si>
  <si>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</si>
  <si>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</si>
  <si>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</si>
  <si>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</si>
  <si>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</si>
  <si>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</si>
  <si>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</si>
  <si>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</si>
  <si>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</si>
  <si>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</si>
  <si>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</si>
  <si>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</si>
  <si>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</si>
  <si>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</si>
  <si>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</si>
  <si>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</si>
  <si>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</si>
  <si>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</si>
  <si>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</si>
  <si>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</si>
  <si>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</si>
  <si>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</si>
  <si>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</si>
  <si>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</si>
  <si>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</si>
  <si>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</si>
  <si>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</si>
  <si>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</si>
  <si>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</si>
  <si>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</si>
  <si>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</si>
  <si>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</si>
  <si>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</si>
  <si>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</si>
  <si>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</si>
  <si>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</si>
  <si>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</si>
  <si>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</si>
  <si>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</si>
  <si>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</si>
  <si>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</si>
  <si>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</si>
  <si>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</si>
  <si>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</si>
  <si>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</si>
  <si>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</si>
  <si>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</si>
  <si>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</si>
  <si>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</si>
  <si>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</si>
  <si>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</si>
  <si>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</si>
  <si>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</si>
  <si>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</si>
  <si>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</si>
  <si>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</si>
  <si>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</si>
  <si>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</si>
  <si>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</si>
  <si>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</si>
  <si>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</si>
  <si>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</si>
  <si>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</si>
  <si>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</si>
  <si>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</si>
  <si>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</si>
  <si>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</si>
  <si>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</si>
  <si>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</si>
  <si>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</si>
  <si>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</si>
  <si>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</si>
  <si>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</si>
  <si>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</si>
  <si>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</si>
  <si>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</si>
  <si>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</si>
  <si>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</si>
  <si>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</si>
  <si>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</si>
  <si>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</si>
  <si>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</si>
  <si>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</si>
  <si>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</si>
  <si>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</si>
  <si>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</si>
  <si>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</si>
  <si>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</si>
  <si>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</si>
  <si>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</si>
  <si>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</si>
  <si>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</si>
  <si>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</si>
  <si>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</si>
  <si>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</si>
  <si>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</si>
  <si>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</si>
  <si>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</si>
  <si>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</si>
  <si>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</si>
  <si>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</si>
  <si>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</si>
  <si>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</si>
  <si>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</si>
  <si>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</si>
  <si>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</si>
  <si>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</si>
  <si>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</si>
  <si>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</si>
  <si>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</si>
  <si>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</si>
  <si>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</si>
  <si>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</si>
  <si>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</si>
  <si>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</si>
  <si>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</si>
  <si>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</si>
  <si>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</si>
  <si>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</si>
  <si>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</si>
  <si>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</si>
  <si>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</si>
  <si>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</si>
  <si>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</si>
  <si>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</si>
  <si>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</si>
  <si>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</si>
  <si>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</si>
  <si>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</si>
  <si>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</si>
  <si>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</si>
  <si>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</si>
  <si>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</si>
  <si>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</si>
  <si>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</si>
  <si>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</si>
  <si>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</si>
  <si>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</si>
  <si>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</si>
  <si>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</si>
  <si>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</si>
  <si>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</si>
  <si>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</si>
  <si>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</si>
  <si>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</si>
  <si>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</si>
  <si>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</si>
  <si>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</si>
  <si>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</si>
  <si>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</si>
  <si>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</si>
  <si>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</si>
  <si>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</si>
  <si>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</si>
  <si>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</si>
  <si>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</si>
  <si>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</si>
  <si>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</si>
  <si>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</si>
  <si>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</si>
  <si>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</si>
  <si>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</si>
  <si>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</si>
  <si>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</si>
  <si>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</si>
  <si>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</si>
  <si>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</si>
  <si>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</si>
  <si>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</si>
  <si>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</si>
  <si>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</si>
  <si>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</si>
  <si>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</si>
  <si>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</si>
  <si>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</si>
  <si>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</si>
  <si>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</si>
  <si>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</si>
  <si>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</si>
  <si>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</si>
  <si>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</si>
  <si>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</si>
  <si>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</si>
  <si>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</si>
  <si>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</si>
  <si>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</si>
  <si>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</si>
  <si>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</si>
  <si>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</si>
  <si>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</si>
  <si>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</si>
  <si>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</si>
  <si>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</si>
  <si>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</si>
  <si>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</si>
  <si>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</si>
  <si>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</si>
  <si>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</si>
  <si>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</si>
  <si>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</si>
  <si>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</si>
  <si>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</si>
  <si>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</si>
  <si>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</si>
  <si>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</si>
  <si>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</si>
  <si>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</si>
  <si>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</si>
  <si>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</si>
  <si>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</si>
  <si>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</si>
  <si>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</si>
  <si>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</si>
  <si>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</si>
  <si>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</si>
  <si>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</si>
  <si>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</si>
  <si>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</si>
  <si>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</si>
  <si>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</si>
  <si>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</si>
  <si>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</si>
  <si>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</si>
  <si>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</si>
  <si>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</si>
  <si>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</si>
  <si>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</si>
  <si>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</si>
  <si>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</si>
  <si>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</si>
  <si>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</si>
  <si>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</si>
  <si>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</si>
  <si>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</si>
  <si>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</si>
  <si>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</si>
  <si>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</si>
  <si>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</si>
  <si>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</si>
  <si>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</si>
  <si>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</si>
  <si>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</si>
  <si>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</si>
  <si>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</si>
  <si>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</si>
  <si>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</si>
  <si>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</si>
  <si>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</si>
  <si>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</si>
  <si>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</si>
  <si>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</si>
  <si>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</si>
  <si>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</si>
  <si>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</si>
  <si>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</si>
  <si>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</si>
  <si>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</si>
  <si>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</si>
  <si>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</si>
  <si>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</si>
  <si>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</si>
  <si>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</si>
  <si>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</si>
  <si>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</si>
  <si>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</si>
  <si>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</si>
  <si>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</si>
  <si>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</si>
  <si>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</si>
  <si>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</si>
  <si>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</si>
  <si>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</si>
  <si>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</si>
  <si>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</si>
  <si>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</si>
  <si>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</si>
  <si>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</si>
  <si>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</si>
  <si>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</si>
  <si>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</si>
  <si>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</si>
  <si>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</si>
  <si>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</si>
  <si>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</si>
  <si>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</si>
  <si>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</si>
  <si>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</si>
  <si>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</si>
  <si>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</si>
  <si>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</si>
  <si>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</si>
  <si>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</si>
  <si>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</si>
  <si>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</si>
  <si>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</si>
  <si>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</si>
  <si>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</si>
  <si>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</si>
  <si>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</si>
  <si>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</si>
  <si>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</si>
  <si>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</si>
  <si>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</si>
  <si>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</si>
  <si>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</si>
  <si>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</si>
  <si>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</si>
  <si>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</si>
  <si>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</si>
  <si>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</si>
  <si>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</si>
  <si>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</si>
  <si>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</si>
  <si>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</si>
  <si>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</si>
  <si>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</si>
  <si>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</si>
  <si>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</si>
  <si>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</si>
  <si>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</si>
  <si>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</si>
  <si>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</si>
  <si>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</si>
  <si>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</si>
  <si>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</si>
  <si>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</si>
  <si>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</si>
  <si>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</si>
  <si>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</si>
  <si>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</si>
  <si>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</si>
  <si>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</si>
  <si>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</si>
  <si>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</si>
  <si>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</si>
  <si>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</si>
  <si>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</si>
  <si>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</si>
  <si>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</si>
  <si>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</si>
  <si>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</si>
  <si>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</si>
  <si>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</si>
  <si>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</si>
  <si>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</si>
  <si>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</si>
  <si>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</si>
  <si>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</si>
  <si>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</si>
  <si>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</si>
  <si>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</si>
  <si>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</si>
  <si>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</si>
  <si>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</si>
  <si>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</si>
  <si>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</si>
  <si>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</si>
  <si>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</si>
  <si>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</si>
  <si>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</si>
  <si>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</si>
  <si>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</si>
  <si>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</si>
  <si>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</si>
  <si>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</si>
  <si>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</si>
  <si>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</si>
  <si>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</si>
  <si>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</si>
  <si>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</si>
  <si>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</si>
  <si>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</si>
  <si>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</si>
  <si>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</si>
  <si>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</si>
  <si>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</si>
  <si>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</si>
  <si>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</si>
  <si>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</si>
  <si>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</si>
  <si>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</si>
  <si>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</si>
  <si>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</si>
  <si>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</si>
  <si>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</si>
  <si>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</si>
  <si>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</si>
  <si>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</si>
  <si>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</si>
  <si>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</si>
  <si>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</si>
  <si>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</si>
  <si>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</si>
  <si>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</si>
  <si>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</si>
  <si>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</si>
  <si>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</si>
  <si>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</si>
  <si>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</si>
  <si>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</si>
  <si>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</si>
  <si>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</si>
  <si>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</si>
  <si>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</si>
  <si>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</si>
  <si>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</si>
  <si>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</si>
  <si>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</si>
  <si>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</si>
  <si>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</si>
  <si>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</si>
  <si>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</si>
  <si>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</si>
  <si>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</si>
  <si>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</si>
  <si>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</si>
  <si>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</si>
  <si>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</si>
  <si>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</si>
  <si>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</si>
  <si>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</si>
  <si>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</si>
  <si>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</si>
  <si>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</si>
  <si>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</si>
  <si>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</si>
  <si>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</si>
  <si>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</si>
  <si>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</si>
  <si>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</si>
  <si>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</si>
  <si>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</si>
  <si>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</si>
  <si>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</si>
  <si>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</si>
  <si>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</si>
  <si>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</si>
  <si>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</si>
  <si>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</si>
  <si>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</si>
  <si>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</si>
  <si>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</si>
  <si>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</si>
  <si>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</si>
  <si>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</si>
  <si>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</si>
  <si>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</si>
  <si>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</si>
  <si>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</si>
  <si>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</si>
  <si>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</si>
  <si>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</si>
  <si>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</si>
  <si>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</si>
  <si>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</si>
  <si>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</si>
  <si>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</si>
  <si>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</si>
  <si>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</si>
  <si>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</si>
  <si>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</si>
  <si>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</si>
  <si>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</si>
  <si>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</si>
  <si>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</si>
  <si>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</si>
  <si>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</si>
  <si>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</si>
  <si>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</si>
  <si>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</si>
  <si>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</si>
  <si>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</si>
  <si>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</si>
  <si>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</si>
  <si>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</si>
  <si>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</si>
  <si>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</si>
  <si>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</si>
  <si>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</si>
  <si>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</si>
  <si>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</si>
  <si>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</si>
  <si>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</si>
  <si>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</si>
  <si>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</si>
  <si>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</si>
  <si>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</si>
  <si>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</si>
  <si>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</si>
  <si>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</si>
  <si>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</si>
  <si>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</si>
  <si>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</si>
  <si>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</si>
  <si>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</si>
  <si>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</si>
  <si>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</si>
  <si>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</si>
  <si>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</si>
  <si>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</si>
  <si>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</si>
  <si>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</si>
  <si>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</si>
  <si>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</si>
  <si>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</si>
  <si>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</si>
  <si>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</si>
  <si>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</si>
  <si>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</si>
  <si>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</si>
  <si>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</si>
  <si>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</si>
  <si>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</si>
  <si>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</si>
  <si>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</si>
  <si>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</si>
  <si>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</si>
  <si>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</si>
  <si>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</si>
  <si>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</si>
  <si>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</si>
  <si>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</si>
  <si>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</si>
  <si>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</si>
  <si>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</si>
  <si>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</si>
  <si>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</si>
  <si>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</si>
  <si>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</si>
  <si>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</si>
  <si>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</si>
  <si>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</si>
  <si>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</si>
  <si>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</si>
  <si>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</si>
  <si>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</si>
  <si>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</si>
  <si>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</si>
  <si>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</si>
  <si>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</si>
  <si>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</si>
  <si>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</si>
  <si>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</si>
  <si>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</si>
  <si>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</si>
  <si>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</si>
  <si>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</si>
  <si>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</si>
  <si>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</si>
  <si>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</si>
  <si>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</si>
  <si>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</si>
  <si>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</si>
  <si>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</si>
  <si>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</si>
  <si>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</si>
  <si>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</si>
  <si>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</si>
  <si>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</si>
  <si>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</si>
  <si>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</si>
  <si>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</si>
  <si>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</si>
  <si>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</si>
  <si>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</si>
  <si>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</si>
  <si>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</si>
  <si>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</si>
  <si>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</si>
  <si>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</si>
  <si>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</si>
  <si>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</si>
  <si>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</si>
  <si>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</si>
  <si>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</si>
  <si>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</si>
  <si>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</si>
  <si>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</si>
  <si>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</si>
  <si>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</si>
  <si>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</si>
  <si>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</si>
  <si>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</si>
  <si>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</si>
  <si>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</si>
  <si>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</si>
  <si>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</si>
  <si>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</si>
  <si>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</si>
  <si>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</si>
  <si>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</si>
  <si>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</si>
  <si>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</si>
  <si>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</si>
  <si>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</si>
  <si>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</si>
  <si>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</si>
  <si>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</si>
  <si>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</si>
  <si>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</si>
  <si>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</si>
  <si>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</si>
  <si>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</si>
  <si>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</si>
  <si>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</si>
  <si>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</si>
  <si>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</si>
  <si>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</si>
  <si>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</si>
  <si>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</si>
  <si>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</si>
  <si>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</si>
  <si>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</si>
  <si>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</si>
  <si>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</si>
  <si>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</si>
  <si>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</si>
  <si>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</si>
  <si>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</si>
  <si>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</si>
  <si>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</si>
  <si>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</si>
  <si>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</si>
  <si>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</si>
  <si>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</si>
  <si>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</si>
  <si>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</si>
  <si>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</si>
  <si>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</si>
  <si>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</si>
  <si>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</si>
  <si>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</si>
  <si>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</si>
  <si>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</si>
  <si>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</si>
  <si>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</si>
  <si>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</si>
  <si>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</si>
  <si>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</si>
  <si>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</si>
  <si>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</si>
  <si>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</si>
  <si>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</si>
  <si>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</si>
  <si>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</si>
  <si>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</si>
  <si>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</si>
  <si>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</si>
  <si>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</si>
  <si>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</si>
  <si>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</si>
  <si>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</si>
  <si>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</si>
  <si>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</si>
  <si>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</si>
  <si>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</si>
  <si>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</si>
  <si>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</si>
  <si>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</si>
  <si>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</si>
  <si>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</si>
  <si>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</si>
  <si>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</si>
  <si>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</si>
  <si>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</si>
  <si>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</si>
  <si>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</si>
  <si>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</si>
  <si>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</si>
  <si>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</si>
  <si>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</si>
  <si>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</si>
  <si>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</si>
  <si>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</si>
  <si>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</si>
  <si>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</si>
  <si>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</si>
  <si>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</si>
  <si>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</si>
  <si>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</si>
  <si>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</si>
  <si>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</si>
  <si>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</si>
  <si>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</si>
  <si>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</si>
  <si>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</si>
  <si>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</si>
  <si>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</si>
  <si>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</si>
  <si>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</si>
  <si>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</si>
  <si>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</si>
  <si>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</si>
  <si>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</si>
  <si>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</si>
  <si>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</si>
  <si>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</si>
  <si>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</si>
  <si>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</si>
  <si>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</si>
  <si>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</si>
  <si>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</si>
  <si>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</si>
  <si>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</si>
  <si>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</si>
  <si>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</si>
  <si>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</si>
  <si>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</si>
  <si>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</si>
  <si>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</si>
  <si>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</si>
  <si>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</si>
  <si>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</si>
  <si>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</si>
  <si>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</si>
  <si>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</si>
  <si>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</si>
  <si>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</si>
  <si>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</si>
  <si>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</si>
  <si>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</si>
  <si>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</si>
  <si>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</si>
  <si>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</si>
  <si>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</si>
  <si>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</si>
  <si>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</si>
  <si>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</si>
  <si>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</si>
  <si>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</si>
  <si>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</si>
  <si>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</si>
  <si>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</si>
  <si>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</si>
  <si>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</si>
  <si>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</si>
  <si>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</si>
  <si>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</si>
  <si>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</si>
  <si>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</si>
  <si>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</si>
  <si>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</si>
  <si>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</si>
  <si>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</si>
  <si>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</si>
  <si>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</si>
  <si>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</si>
  <si>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</si>
  <si>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</si>
  <si>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</si>
  <si>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</si>
  <si>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</si>
  <si>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</si>
  <si>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</si>
  <si>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</si>
  <si>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</si>
  <si>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</si>
  <si>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</si>
  <si>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</si>
  <si>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</si>
  <si>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</si>
  <si>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</si>
  <si>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</si>
  <si>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</si>
  <si>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</si>
  <si>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</si>
  <si>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</si>
  <si>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</si>
  <si>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</si>
  <si>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</si>
  <si>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</si>
  <si>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</si>
  <si>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</si>
  <si>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</si>
  <si>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</si>
  <si>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</si>
  <si>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</si>
  <si>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</si>
  <si>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</si>
  <si>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</si>
  <si>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</si>
  <si>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</si>
  <si>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</si>
  <si>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</si>
  <si>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</si>
  <si>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</si>
  <si>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</si>
  <si>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</si>
  <si>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</si>
  <si>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</si>
  <si>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</si>
  <si>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</si>
  <si>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</si>
  <si>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</si>
  <si>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</si>
  <si>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</si>
  <si>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</si>
  <si>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</si>
  <si>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</si>
  <si>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</si>
  <si>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</si>
  <si>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</si>
  <si>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</si>
  <si>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</si>
  <si>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</si>
  <si>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</si>
  <si>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</si>
  <si>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</si>
  <si>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</si>
  <si>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</si>
  <si>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</si>
  <si>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</si>
  <si>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</si>
  <si>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</si>
  <si>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</si>
  <si>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</si>
  <si>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</si>
  <si>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</si>
  <si>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</si>
  <si>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</si>
  <si>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</si>
  <si>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</si>
  <si>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</si>
  <si>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</si>
  <si>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</si>
  <si>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</si>
  <si>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</si>
  <si>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</si>
  <si>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</si>
  <si>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</si>
  <si>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</si>
  <si>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</si>
  <si>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</si>
  <si>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</si>
  <si>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</si>
  <si>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</si>
  <si>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</si>
  <si>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</si>
  <si>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</si>
  <si>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</si>
  <si>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</si>
  <si>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</si>
  <si>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</si>
  <si>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</si>
  <si>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</si>
  <si>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</si>
  <si>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</si>
  <si>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</si>
  <si>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</si>
  <si>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</si>
  <si>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</si>
  <si>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</si>
  <si>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</si>
  <si>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</si>
  <si>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</si>
  <si>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</si>
  <si>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</si>
  <si>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</si>
  <si>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</si>
  <si>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</si>
  <si>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</si>
  <si>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</si>
  <si>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</si>
  <si>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</si>
  <si>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</si>
  <si>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</si>
  <si>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</si>
  <si>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</si>
  <si>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</si>
  <si>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</si>
  <si>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</si>
  <si>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</si>
  <si>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</si>
  <si>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</si>
  <si>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</si>
  <si>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</si>
  <si>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</si>
  <si>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</si>
  <si>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</si>
  <si>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</si>
  <si>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</si>
  <si>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</si>
  <si>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</si>
  <si>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</si>
  <si>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</si>
  <si>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</si>
  <si>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</si>
  <si>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</si>
  <si>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</si>
  <si>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</si>
  <si>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</si>
  <si>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</si>
  <si>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</si>
  <si>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</si>
  <si>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</si>
  <si>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</si>
  <si>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</si>
  <si>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</si>
  <si>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</si>
  <si>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</si>
  <si>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</si>
  <si>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</si>
  <si>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</si>
  <si>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</si>
  <si>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</si>
  <si>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</si>
  <si>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</si>
  <si>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</si>
  <si>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</si>
  <si>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</si>
  <si>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</si>
  <si>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</si>
  <si>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</si>
  <si>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</si>
  <si>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</si>
  <si>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</si>
  <si>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</si>
  <si>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</si>
  <si>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</si>
  <si>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</si>
  <si>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</si>
  <si>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</si>
  <si>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</si>
  <si>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</si>
  <si>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</si>
  <si>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</si>
  <si>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</si>
  <si>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</si>
  <si>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</si>
  <si>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</si>
  <si>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</si>
  <si>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</si>
  <si>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</si>
  <si>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</si>
  <si>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</si>
  <si>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</si>
  <si>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</si>
  <si>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</si>
  <si>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</si>
  <si>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</si>
  <si>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</si>
  <si>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</si>
  <si>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</si>
  <si>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</si>
  <si>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</si>
  <si>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</si>
  <si>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</si>
  <si>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</si>
  <si>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</si>
  <si>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</si>
  <si>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</si>
  <si>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</si>
  <si>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</si>
  <si>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</si>
  <si>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</si>
  <si>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</si>
  <si>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</si>
  <si>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</si>
  <si>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</si>
  <si>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</si>
  <si>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</si>
  <si>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</si>
  <si>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</si>
  <si>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</si>
  <si>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</si>
  <si>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</si>
  <si>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</si>
  <si>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</si>
  <si>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</si>
  <si>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</si>
  <si>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</si>
  <si>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</si>
  <si>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</si>
  <si>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</si>
  <si>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</si>
  <si>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</si>
  <si>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</si>
  <si>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</si>
  <si>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</si>
  <si>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</si>
  <si>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</si>
  <si>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</si>
  <si>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</si>
  <si>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</si>
  <si>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</si>
  <si>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</si>
  <si>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</si>
  <si>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</si>
  <si>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</si>
  <si>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</si>
  <si>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</si>
  <si>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</si>
  <si>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</si>
  <si>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</si>
  <si>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</si>
  <si>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</si>
  <si>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</si>
  <si>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</si>
  <si>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</si>
  <si>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</si>
  <si>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</si>
  <si>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</si>
  <si>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</si>
  <si>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</si>
  <si>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</si>
  <si>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</si>
  <si>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</si>
  <si>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</si>
  <si>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</si>
  <si>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</si>
  <si>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</si>
  <si>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</si>
  <si>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</si>
  <si>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</si>
  <si>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</si>
  <si>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</si>
  <si>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</si>
  <si>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</si>
  <si>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</si>
  <si>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</si>
  <si>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</si>
  <si>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</si>
  <si>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</si>
  <si>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</si>
  <si>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</si>
  <si>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</si>
  <si>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</si>
  <si>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</si>
  <si>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</si>
  <si>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</si>
  <si>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</si>
  <si>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</si>
  <si>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</si>
  <si>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</si>
  <si>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</si>
  <si>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</si>
  <si>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</si>
  <si>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</si>
  <si>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</si>
  <si>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</si>
  <si>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</si>
  <si>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</si>
  <si>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</si>
  <si>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</si>
  <si>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</si>
  <si>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</si>
  <si>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</si>
  <si>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</si>
  <si>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</si>
  <si>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</si>
  <si>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</si>
  <si>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</si>
  <si>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</si>
  <si>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</si>
  <si>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</si>
  <si>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</si>
  <si>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</si>
  <si>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</si>
  <si>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</si>
  <si>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</si>
  <si>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</si>
  <si>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</si>
  <si>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</si>
  <si>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</si>
  <si>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</si>
  <si>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</si>
  <si>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</si>
  <si>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</si>
  <si>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</si>
  <si>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</si>
  <si>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</si>
  <si>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</si>
  <si>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</si>
  <si>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</si>
  <si>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</si>
  <si>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</si>
  <si>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</si>
  <si>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</si>
  <si>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</si>
  <si>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</si>
  <si>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</si>
  <si>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</si>
  <si>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</si>
  <si>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</si>
  <si>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</si>
  <si>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</si>
  <si>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</si>
  <si>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Private Purpose Trusts (Scholarships)</t>
  </si>
  <si>
    <t>Permanent Funds</t>
  </si>
  <si>
    <t>07/06</t>
  </si>
  <si>
    <t>07/17</t>
  </si>
  <si>
    <t>08/21</t>
  </si>
  <si>
    <t>08/27</t>
  </si>
  <si>
    <t>Jaffrey-Rindge Cooperative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</si>
</sst>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7" borderId="0" xfId="0" applyFill="1" applyAlignment="1">
      <alignment horizontal="center"/>
    </xf>
    <xf numFmtId="40" fontId="3" fillId="7" borderId="0" xfId="0" applyNumberFormat="1" applyFont="1" applyFill="1" applyProtection="1"/>
    <xf numFmtId="4" fontId="0" fillId="41" borderId="0" xfId="0" applyNumberFormat="1" applyFill="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9" activePane="bottomRight" state="frozen"/>
      <selection activeCell="F14" sqref="F14"/>
      <selection pane="topRight" activeCell="F14" sqref="F14"/>
      <selection pane="bottomLeft" activeCell="F14" sqref="F1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1648</v>
      </c>
      <c r="B2" s="21">
        <v>274</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1771737.98+4000</f>
        <v>1775737.98</v>
      </c>
      <c r="G9" s="18">
        <v>205.03</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2882230.93</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188757.67</v>
      </c>
      <c r="G12" s="18">
        <v>54546.6</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2423.0500000000002</v>
      </c>
      <c r="G13" s="18">
        <v>34503.07</v>
      </c>
      <c r="H13" s="18">
        <v>243304.27</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7436.63</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18460.93</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8050.5</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1982405.8299999998</v>
      </c>
      <c r="G19" s="41">
        <f>SUM(G9:G18)</f>
        <v>107715.63</v>
      </c>
      <c r="H19" s="41">
        <f>SUM(H9:H18)</f>
        <v>243304.27</v>
      </c>
      <c r="I19" s="41">
        <f>SUM(I9:I18)</f>
        <v>0</v>
      </c>
      <c r="J19" s="41">
        <f>SUM(J9:J18)</f>
        <v>2882230.93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243304.27</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187991.73</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v>65031.3</v>
      </c>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36386.22</v>
      </c>
      <c r="G28" s="18">
        <v>366.25</v>
      </c>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2783.58+4399.65+14370.4</f>
        <v>21553.629999999997</v>
      </c>
      <c r="G29" s="18">
        <f>28.02+37.67</f>
        <v>65.69</v>
      </c>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23493.09</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245931.58000000002</v>
      </c>
      <c r="G32" s="41">
        <f>SUM(G22:G31)</f>
        <v>88956.33</v>
      </c>
      <c r="H32" s="41">
        <f>SUM(H22:H31)</f>
        <v>243304.27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8050.5</v>
      </c>
      <c r="G36" s="18">
        <v>18460.93</v>
      </c>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298.37</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2882230.93</v>
      </c>
      <c r="K43" s="24" t="s">
        <v>288</v>
      </c>
      <c r="L43" s="24" t="s">
        <v>288</v>
      </c>
      <c r="M43" s="8"/>
      <c r="N43" s="266"/>
    </row>
    <row r="44" spans="1:14" s="3" customFormat="1" ht="12.2" customHeight="1" x14ac:dyDescent="0.15">
      <c r="A44" s="1" t="s">
        <v>837</v>
      </c>
      <c r="B44" s="6">
        <v>1</v>
      </c>
      <c r="C44" s="6">
        <v>30</v>
      </c>
      <c r="D44" s="2" t="s">
        <v>653</v>
      </c>
      <c r="E44" s="6">
        <v>755</v>
      </c>
      <c r="F44" s="18">
        <v>300000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200000</v>
      </c>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437107</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v>167911.2</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623405.55000000005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1736474.25</v>
      </c>
      <c r="G51" s="41">
        <f>SUM(G35:G50)</f>
        <v>18759.3</v>
      </c>
      <c r="H51" s="41">
        <f>SUM(H35:H50)</f>
        <v>0</v>
      </c>
      <c r="I51" s="41">
        <f>SUM(I35:I50)</f>
        <v>0</v>
      </c>
      <c r="J51" s="41">
        <f>SUM(J35:J50)</f>
        <v>2882230.93</v>
      </c>
      <c r="K51" s="45" t="s">
        <v>288</v>
      </c>
      <c r="L51" s="45" t="s">
        <v>288</v>
      </c>
      <c r="N51" s="264"/>
    </row>
    <row r="52" spans="1:14" s="3" customFormat="1" ht="12.2" customHeight="1" thickTop="1" x14ac:dyDescent="0.15">
      <c r="A52" s="38" t="s">
        <v>455</v>
      </c>
      <c r="B52" s="39" t="s">
        <v>289</v>
      </c>
      <c r="C52" s="6">
        <v>37</v>
      </c>
      <c r="D52" s="39" t="s">
        <v>653</v>
      </c>
      <c r="E52" s="39"/>
      <c r="F52" s="41">
        <f>F51+F32</f>
        <v>1982405.83</v>
      </c>
      <c r="G52" s="41">
        <f>G51+G32</f>
        <v>107715.63</v>
      </c>
      <c r="H52" s="41">
        <f>H51+H32</f>
        <v>243304.27</v>
      </c>
      <c r="I52" s="41">
        <f>I51+I32</f>
        <v>0</v>
      </c>
      <c r="J52" s="41">
        <f>J51+J32</f>
        <v>2882230.93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15246533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15246533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3274.2</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3274.2</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16464.45</v>
      </c>
      <c r="G96" s="18"/>
      <c r="H96" s="18"/>
      <c r="I96" s="18"/>
      <c r="J96" s="18">
        <f>72967.3+238949.29</f>
        <v>311916.59000000003</v>
      </c>
      <c r="K96" s="24" t="s">
        <v>288</v>
      </c>
      <c r="L96" s="24" t="s">
        <v>288</v>
      </c>
      <c r="M96" s="8"/>
      <c r="N96" s="266"/>
    </row>
    <row r="97" spans="1:14" s="3" customFormat="1" ht="12.2" customHeight="1" x14ac:dyDescent="0.15">
      <c r="A97" s="1" t="s">
        <v>503</v>
      </c>
      <c r="B97" s="2" t="s">
        <v>315</v>
      </c>
      <c r="C97" s="6">
        <v>12</v>
      </c>
      <c r="D97" s="2" t="s">
        <v>430</v>
      </c>
      <c r="E97" s="6">
        <v>1600</v>
      </c>
      <c r="F97" s="24" t="s">
        <v>288</v>
      </c>
      <c r="G97" s="18">
        <f>224467.42-44670.69</f>
        <v>179796.73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2425</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203014.66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33796.77+32401.15+15000</f>
        <v>81197.919999999998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303102.03000000003</v>
      </c>
      <c r="G111" s="41">
        <f>SUM(G96:G110)</f>
        <v>179796.73</v>
      </c>
      <c r="H111" s="41">
        <f>SUM(H96:H110)</f>
        <v>0</v>
      </c>
      <c r="I111" s="41">
        <f>SUM(I96:I110)</f>
        <v>0</v>
      </c>
      <c r="J111" s="41">
        <f>SUM(J96:J110)</f>
        <v>311916.59000000003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15552909.229999999</v>
      </c>
      <c r="G112" s="41">
        <f>G60+G111</f>
        <v>179796.73</v>
      </c>
      <c r="H112" s="41">
        <f>H60+H79+H94+H111</f>
        <v>0</v>
      </c>
      <c r="I112" s="41">
        <f>I60+I111</f>
        <v>0</v>
      </c>
      <c r="J112" s="41">
        <f>J60+J111</f>
        <v>311916.59000000003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5125195.18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2237785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7362980.1799999997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325898.36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539034.75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15200.22</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4364.2</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1099.57</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6382.57+1726.62</f>
        <v>8109.19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110.86</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884608.3899999999</v>
      </c>
      <c r="G136" s="41">
        <f>SUM(G123:G135)</f>
        <v>8109.19</v>
      </c>
      <c r="H136" s="41">
        <f>SUM(H123:H135)</f>
        <v>1099.57</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8247588.5699999994</v>
      </c>
      <c r="G140" s="41">
        <f>G121+SUM(G136:G137)</f>
        <v>8109.19</v>
      </c>
      <c r="H140" s="41">
        <f>H121+SUM(H136:H139)</f>
        <v>1099.57</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308606.11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123266.14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203543.44+72348.41+44670.69</f>
        <v>320562.53999999998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407860.71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13535.55</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13535.55</v>
      </c>
      <c r="G163" s="41">
        <f>SUM(G150:G162)</f>
        <v>320562.53999999998</v>
      </c>
      <c r="H163" s="41">
        <f>SUM(H150:H162)</f>
        <v>839732.96</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13535.55</v>
      </c>
      <c r="G170" s="41">
        <f>G147+G163+SUM(G164:G169)</f>
        <v>320562.53999999998</v>
      </c>
      <c r="H170" s="41">
        <f>H147+H163+SUM(H164:H169)</f>
        <v>839732.96</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11000</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v>8000</v>
      </c>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8000</v>
      </c>
      <c r="G184" s="41">
        <f>SUM(G180:G183)</f>
        <v>11000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8000</v>
      </c>
      <c r="G193" s="41">
        <f>G184+SUM(G189:G192)</f>
        <v>11000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23822033.349999998</v>
      </c>
      <c r="G194" s="47">
        <f>G112+G140+G170+G193</f>
        <v>519468.45999999996</v>
      </c>
      <c r="H194" s="47">
        <f>H112+H140+H170+H193</f>
        <v>840832.52999999991</v>
      </c>
      <c r="I194" s="47">
        <f>I112+I140+I170+I193</f>
        <v>0</v>
      </c>
      <c r="J194" s="47">
        <f>J112+J140+J193</f>
        <v>311916.59000000003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2818609.2</v>
      </c>
      <c r="G198" s="18">
        <v>1429848.19</v>
      </c>
      <c r="H198" s="18">
        <v>13092.38</v>
      </c>
      <c r="I198" s="18">
        <v>77269.67</v>
      </c>
      <c r="J198" s="18">
        <v>2490.3200000000002</v>
      </c>
      <c r="K198" s="18">
        <v>120</v>
      </c>
      <c r="L198" s="19">
        <f>SUM(F198:K198)</f>
        <v>4341429.7600000007</v>
      </c>
      <c r="M198" s="8"/>
      <c r="N198" s="266"/>
    </row>
    <row r="199" spans="1:14" s="3" customFormat="1" ht="12.2" customHeight="1" x14ac:dyDescent="0.15">
      <c r="A199" s="1" t="s">
        <v>439</v>
      </c>
      <c r="B199" s="2" t="s">
        <v>341</v>
      </c>
      <c r="C199" s="2" t="s">
        <v>291</v>
      </c>
      <c r="D199" s="2" t="s">
        <v>431</v>
      </c>
      <c r="E199" s="6">
        <v>1200</v>
      </c>
      <c r="F199" s="18">
        <v>1448717.41</v>
      </c>
      <c r="G199" s="18">
        <v>733828.61</v>
      </c>
      <c r="H199" s="18">
        <v>213572.55</v>
      </c>
      <c r="I199" s="18">
        <v>6004.83</v>
      </c>
      <c r="J199" s="18">
        <v>5450</v>
      </c>
      <c r="K199" s="18">
        <v>5136.68</v>
      </c>
      <c r="L199" s="19">
        <f>SUM(F199:K199)</f>
        <v>2412710.08</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122893.65</v>
      </c>
      <c r="G201" s="18">
        <v>30130.79</v>
      </c>
      <c r="H201" s="18"/>
      <c r="I201" s="18">
        <v>475.56</v>
      </c>
      <c r="J201" s="18"/>
      <c r="K201" s="18"/>
      <c r="L201" s="19">
        <f>SUM(F201:K201)</f>
        <v>153500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437905.04</v>
      </c>
      <c r="G203" s="18">
        <v>207438.5</v>
      </c>
      <c r="H203" s="18">
        <v>112913.15</v>
      </c>
      <c r="I203" s="18">
        <v>7546.51</v>
      </c>
      <c r="J203" s="18"/>
      <c r="K203" s="18">
        <v>50</v>
      </c>
      <c r="L203" s="19">
        <f t="shared" ref="L203:L209" si="0">SUM(F203:K203)</f>
        <v>765853.20000000007</v>
      </c>
      <c r="M203" s="8"/>
      <c r="N203" s="266"/>
    </row>
    <row r="204" spans="1:14" s="3" customFormat="1" ht="12.2" customHeight="1" x14ac:dyDescent="0.15">
      <c r="A204" s="1" t="s">
        <v>443</v>
      </c>
      <c r="B204" s="2" t="s">
        <v>341</v>
      </c>
      <c r="C204" s="2" t="s">
        <v>295</v>
      </c>
      <c r="D204" s="2" t="s">
        <v>431</v>
      </c>
      <c r="E204" s="6">
        <v>2200</v>
      </c>
      <c r="F204" s="18">
        <v>155872.75</v>
      </c>
      <c r="G204" s="18">
        <v>57137.71</v>
      </c>
      <c r="H204" s="18">
        <v>15337.89</v>
      </c>
      <c r="I204" s="18">
        <v>17859.439999999999</v>
      </c>
      <c r="J204" s="18">
        <v>600</v>
      </c>
      <c r="K204" s="18">
        <v>2921.06</v>
      </c>
      <c r="L204" s="19">
        <f t="shared" si="0"/>
        <v>249728.84999999998</v>
      </c>
      <c r="M204" s="8"/>
      <c r="N204" s="266"/>
    </row>
    <row r="205" spans="1:14" s="3" customFormat="1" ht="12.2" customHeight="1" x14ac:dyDescent="0.15">
      <c r="A205" s="1" t="s">
        <v>444</v>
      </c>
      <c r="B205" s="2" t="s">
        <v>341</v>
      </c>
      <c r="C205" s="2" t="s">
        <v>296</v>
      </c>
      <c r="D205" s="2" t="s">
        <v>431</v>
      </c>
      <c r="E205" s="6">
        <v>2300</v>
      </c>
      <c r="F205" s="18">
        <v>129911.46</v>
      </c>
      <c r="G205" s="18">
        <v>49065.89</v>
      </c>
      <c r="H205" s="18">
        <v>39442.1</v>
      </c>
      <c r="I205" s="18">
        <v>60.52</v>
      </c>
      <c r="J205" s="18"/>
      <c r="K205" s="18">
        <v>5064.22</v>
      </c>
      <c r="L205" s="19">
        <f t="shared" si="0"/>
        <v>223544.19</v>
      </c>
      <c r="M205" s="8"/>
      <c r="N205" s="266"/>
    </row>
    <row r="206" spans="1:14" s="3" customFormat="1" ht="12.2" customHeight="1" x14ac:dyDescent="0.15">
      <c r="A206" s="1" t="s">
        <v>445</v>
      </c>
      <c r="B206" s="2" t="s">
        <v>341</v>
      </c>
      <c r="C206" s="2" t="s">
        <v>297</v>
      </c>
      <c r="D206" s="2" t="s">
        <v>431</v>
      </c>
      <c r="E206" s="6">
        <v>2400</v>
      </c>
      <c r="F206" s="18">
        <v>434147.38</v>
      </c>
      <c r="G206" s="18">
        <v>196173.56</v>
      </c>
      <c r="H206" s="18">
        <v>5814.96</v>
      </c>
      <c r="I206" s="18">
        <v>2946.27</v>
      </c>
      <c r="J206" s="18"/>
      <c r="K206" s="18">
        <v>3495.25</v>
      </c>
      <c r="L206" s="19">
        <f t="shared" si="0"/>
        <v>642577.41999999993</v>
      </c>
      <c r="M206" s="8"/>
      <c r="N206" s="266"/>
    </row>
    <row r="207" spans="1:14" s="3" customFormat="1" ht="12.2" customHeight="1" x14ac:dyDescent="0.15">
      <c r="A207" s="1" t="s">
        <v>446</v>
      </c>
      <c r="B207" s="2" t="s">
        <v>341</v>
      </c>
      <c r="C207" s="2" t="s">
        <v>298</v>
      </c>
      <c r="D207" s="2" t="s">
        <v>431</v>
      </c>
      <c r="E207" s="6">
        <v>2500</v>
      </c>
      <c r="F207" s="18">
        <v>176602.04</v>
      </c>
      <c r="G207" s="18">
        <v>59654.239999999998</v>
      </c>
      <c r="H207" s="18">
        <v>12030.25</v>
      </c>
      <c r="I207" s="18">
        <v>2873.45</v>
      </c>
      <c r="J207" s="18">
        <v>672.81</v>
      </c>
      <c r="K207" s="18">
        <v>8116.5</v>
      </c>
      <c r="L207" s="19">
        <f t="shared" si="0"/>
        <v>259949.29</v>
      </c>
      <c r="M207" s="8"/>
      <c r="N207" s="266"/>
    </row>
    <row r="208" spans="1:14" s="3" customFormat="1" ht="12.2" customHeight="1" x14ac:dyDescent="0.15">
      <c r="A208" s="1" t="s">
        <v>447</v>
      </c>
      <c r="B208" s="2" t="s">
        <v>341</v>
      </c>
      <c r="C208" s="2" t="s">
        <v>299</v>
      </c>
      <c r="D208" s="2" t="s">
        <v>431</v>
      </c>
      <c r="E208" s="6">
        <v>2600</v>
      </c>
      <c r="F208" s="18">
        <v>324671.46000000002</v>
      </c>
      <c r="G208" s="18">
        <v>151589.79999999999</v>
      </c>
      <c r="H208" s="18">
        <v>177595.33</v>
      </c>
      <c r="I208" s="18">
        <v>166728.32000000001</v>
      </c>
      <c r="J208" s="18">
        <v>57059.61</v>
      </c>
      <c r="K208" s="18">
        <v>265.63</v>
      </c>
      <c r="L208" s="19">
        <f t="shared" si="0"/>
        <v>877910.14999999991</v>
      </c>
      <c r="M208" s="8"/>
      <c r="N208" s="266"/>
    </row>
    <row r="209" spans="1:14" s="3" customFormat="1" ht="12.2" customHeight="1" x14ac:dyDescent="0.15">
      <c r="A209" s="1" t="s">
        <v>448</v>
      </c>
      <c r="B209" s="2" t="s">
        <v>341</v>
      </c>
      <c r="C209" s="2" t="s">
        <v>300</v>
      </c>
      <c r="D209" s="2" t="s">
        <v>431</v>
      </c>
      <c r="E209" s="6">
        <v>2700</v>
      </c>
      <c r="F209" s="18"/>
      <c r="G209" s="18"/>
      <c r="H209" s="18">
        <v>493786.22</v>
      </c>
      <c r="I209" s="18">
        <v>35030.93</v>
      </c>
      <c r="J209" s="18"/>
      <c r="K209" s="18"/>
      <c r="L209" s="19">
        <f t="shared" si="0"/>
        <v>528817.15</v>
      </c>
      <c r="M209" s="8"/>
      <c r="N209" s="266"/>
    </row>
    <row r="210" spans="1:14" s="3" customFormat="1" ht="12.2" customHeight="1" x14ac:dyDescent="0.15">
      <c r="A210" s="1" t="s">
        <v>449</v>
      </c>
      <c r="B210" s="2" t="s">
        <v>341</v>
      </c>
      <c r="C210" s="2" t="s">
        <v>343</v>
      </c>
      <c r="D210" s="2" t="s">
        <v>431</v>
      </c>
      <c r="E210" s="6">
        <v>2800</v>
      </c>
      <c r="F210" s="18">
        <v>76311.179999999993</v>
      </c>
      <c r="G210" s="18">
        <v>27819.29</v>
      </c>
      <c r="H210" s="18">
        <v>80365.600000000006</v>
      </c>
      <c r="I210" s="18">
        <v>75964.36</v>
      </c>
      <c r="J210" s="18">
        <v>15447.15</v>
      </c>
      <c r="K210" s="18"/>
      <c r="L210" s="19">
        <f>SUM(F210:K210)</f>
        <v>275907.58</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6125641.5700000003</v>
      </c>
      <c r="G212" s="41">
        <f t="shared" si="1"/>
        <v>2942686.58</v>
      </c>
      <c r="H212" s="41">
        <f t="shared" si="1"/>
        <v>1163950.4300000002</v>
      </c>
      <c r="I212" s="41">
        <f t="shared" si="1"/>
        <v>392759.86</v>
      </c>
      <c r="J212" s="41">
        <f t="shared" si="1"/>
        <v>81719.89</v>
      </c>
      <c r="K212" s="41">
        <f t="shared" si="1"/>
        <v>25169.34</v>
      </c>
      <c r="L212" s="41">
        <f t="shared" si="1"/>
        <v>10731927.67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1021076.33</v>
      </c>
      <c r="G216" s="18">
        <v>489545.27</v>
      </c>
      <c r="H216" s="18">
        <v>1479.64</v>
      </c>
      <c r="I216" s="18">
        <v>24198.54</v>
      </c>
      <c r="J216" s="18">
        <v>21312.19</v>
      </c>
      <c r="K216" s="18"/>
      <c r="L216" s="19">
        <f>SUM(F216:K216)</f>
        <v>1557611.97</v>
      </c>
      <c r="M216" s="8"/>
      <c r="N216" s="266"/>
    </row>
    <row r="217" spans="1:14" s="3" customFormat="1" ht="12.2" customHeight="1" x14ac:dyDescent="0.15">
      <c r="A217" s="1" t="s">
        <v>439</v>
      </c>
      <c r="B217" s="2" t="s">
        <v>346</v>
      </c>
      <c r="C217" s="2" t="s">
        <v>291</v>
      </c>
      <c r="D217" s="2" t="s">
        <v>431</v>
      </c>
      <c r="E217" s="6">
        <v>1200</v>
      </c>
      <c r="F217" s="18">
        <v>500977.57</v>
      </c>
      <c r="G217" s="18">
        <v>292337.71000000002</v>
      </c>
      <c r="H217" s="18">
        <v>102816.7</v>
      </c>
      <c r="I217" s="18">
        <v>2494.88</v>
      </c>
      <c r="J217" s="18">
        <v>450.93</v>
      </c>
      <c r="K217" s="18">
        <v>2393.84</v>
      </c>
      <c r="L217" s="19">
        <f>SUM(F217:K217)</f>
        <v>901471.63</v>
      </c>
      <c r="M217" s="8"/>
      <c r="N217" s="266"/>
    </row>
    <row r="218" spans="1:14" s="3" customFormat="1" ht="12.2" customHeight="1" x14ac:dyDescent="0.15">
      <c r="A218" s="1" t="s">
        <v>440</v>
      </c>
      <c r="B218" s="2" t="s">
        <v>346</v>
      </c>
      <c r="C218" s="2" t="s">
        <v>292</v>
      </c>
      <c r="D218" s="2" t="s">
        <v>431</v>
      </c>
      <c r="E218" s="6">
        <v>1300</v>
      </c>
      <c r="F218" s="18">
        <v>167450</v>
      </c>
      <c r="G218" s="18">
        <v>66010.98</v>
      </c>
      <c r="H218" s="18"/>
      <c r="I218" s="18">
        <v>4952.54</v>
      </c>
      <c r="J218" s="18"/>
      <c r="K218" s="18">
        <v>750</v>
      </c>
      <c r="L218" s="19">
        <f>SUM(F218:K218)</f>
        <v>239163.51999999999</v>
      </c>
      <c r="M218" s="8"/>
      <c r="N218" s="266"/>
    </row>
    <row r="219" spans="1:14" s="3" customFormat="1" ht="12.2" customHeight="1" x14ac:dyDescent="0.15">
      <c r="A219" s="1" t="s">
        <v>441</v>
      </c>
      <c r="B219" s="2" t="s">
        <v>346</v>
      </c>
      <c r="C219" s="2" t="s">
        <v>293</v>
      </c>
      <c r="D219" s="2" t="s">
        <v>431</v>
      </c>
      <c r="E219" s="6">
        <v>1400</v>
      </c>
      <c r="F219" s="18">
        <v>76246.63</v>
      </c>
      <c r="G219" s="18">
        <v>16115.44</v>
      </c>
      <c r="H219" s="18">
        <v>3164.06</v>
      </c>
      <c r="I219" s="18">
        <v>3400.01</v>
      </c>
      <c r="J219" s="18"/>
      <c r="K219" s="18">
        <v>330</v>
      </c>
      <c r="L219" s="19">
        <f>SUM(F219:K219)</f>
        <v>99256.14</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249520.07</v>
      </c>
      <c r="G221" s="18">
        <v>117631.66</v>
      </c>
      <c r="H221" s="18">
        <v>11438.17</v>
      </c>
      <c r="I221" s="18">
        <v>1349.29</v>
      </c>
      <c r="J221" s="18"/>
      <c r="K221" s="18"/>
      <c r="L221" s="19">
        <f t="shared" ref="L221:L227" si="2">SUM(F221:K221)</f>
        <v>379939.18999999994</v>
      </c>
      <c r="M221" s="8"/>
      <c r="N221" s="266"/>
    </row>
    <row r="222" spans="1:14" s="3" customFormat="1" ht="12.2" customHeight="1" x14ac:dyDescent="0.15">
      <c r="A222" s="1" t="s">
        <v>443</v>
      </c>
      <c r="B222" s="2" t="s">
        <v>346</v>
      </c>
      <c r="C222" s="2" t="s">
        <v>295</v>
      </c>
      <c r="D222" s="2" t="s">
        <v>431</v>
      </c>
      <c r="E222" s="6">
        <v>2200</v>
      </c>
      <c r="F222" s="18">
        <v>119831.6</v>
      </c>
      <c r="G222" s="18">
        <v>44651.76</v>
      </c>
      <c r="H222" s="18">
        <v>7147.9</v>
      </c>
      <c r="I222" s="18">
        <v>8698.5400000000009</v>
      </c>
      <c r="J222" s="18"/>
      <c r="K222" s="18">
        <v>1361.3</v>
      </c>
      <c r="L222" s="19">
        <f t="shared" si="2"/>
        <v>181691.1</v>
      </c>
      <c r="M222" s="8"/>
      <c r="N222" s="266"/>
    </row>
    <row r="223" spans="1:14" s="3" customFormat="1" ht="12.2" customHeight="1" x14ac:dyDescent="0.15">
      <c r="A223" s="1" t="s">
        <v>444</v>
      </c>
      <c r="B223" s="2" t="s">
        <v>346</v>
      </c>
      <c r="C223" s="2" t="s">
        <v>296</v>
      </c>
      <c r="D223" s="2" t="s">
        <v>431</v>
      </c>
      <c r="E223" s="6">
        <v>2300</v>
      </c>
      <c r="F223" s="18">
        <v>60542.52</v>
      </c>
      <c r="G223" s="18">
        <v>22866.13</v>
      </c>
      <c r="H223" s="18">
        <v>18381.169999999998</v>
      </c>
      <c r="I223" s="18">
        <v>28.2</v>
      </c>
      <c r="J223" s="18"/>
      <c r="K223" s="18">
        <v>2360.0700000000002</v>
      </c>
      <c r="L223" s="19">
        <f t="shared" si="2"/>
        <v>104178.09</v>
      </c>
      <c r="M223" s="8"/>
      <c r="N223" s="266"/>
    </row>
    <row r="224" spans="1:14" s="3" customFormat="1" ht="12.2" customHeight="1" x14ac:dyDescent="0.15">
      <c r="A224" s="1" t="s">
        <v>445</v>
      </c>
      <c r="B224" s="2" t="s">
        <v>346</v>
      </c>
      <c r="C224" s="2" t="s">
        <v>297</v>
      </c>
      <c r="D224" s="2" t="s">
        <v>431</v>
      </c>
      <c r="E224" s="6">
        <v>2400</v>
      </c>
      <c r="F224" s="18">
        <v>208212.46</v>
      </c>
      <c r="G224" s="18">
        <v>102761.15</v>
      </c>
      <c r="H224" s="18">
        <v>2586.59</v>
      </c>
      <c r="I224" s="18">
        <v>454.76</v>
      </c>
      <c r="J224" s="18"/>
      <c r="K224" s="18">
        <v>852.49</v>
      </c>
      <c r="L224" s="19">
        <f t="shared" si="2"/>
        <v>314867.45</v>
      </c>
      <c r="M224" s="8"/>
      <c r="N224" s="266"/>
    </row>
    <row r="225" spans="1:14" s="3" customFormat="1" ht="12.2" customHeight="1" x14ac:dyDescent="0.15">
      <c r="A225" s="1" t="s">
        <v>446</v>
      </c>
      <c r="B225" s="2" t="s">
        <v>346</v>
      </c>
      <c r="C225" s="2" t="s">
        <v>298</v>
      </c>
      <c r="D225" s="2" t="s">
        <v>431</v>
      </c>
      <c r="E225" s="6">
        <v>2500</v>
      </c>
      <c r="F225" s="18">
        <v>82301.69</v>
      </c>
      <c r="G225" s="18">
        <v>27800.61</v>
      </c>
      <c r="H225" s="18">
        <v>5606.45</v>
      </c>
      <c r="I225" s="18">
        <v>1339.11</v>
      </c>
      <c r="J225" s="18">
        <v>313.55</v>
      </c>
      <c r="K225" s="18">
        <v>3782.53</v>
      </c>
      <c r="L225" s="19">
        <f t="shared" si="2"/>
        <v>121143.94</v>
      </c>
      <c r="M225" s="8"/>
      <c r="N225" s="266"/>
    </row>
    <row r="226" spans="1:14" s="3" customFormat="1" ht="12.2" customHeight="1" x14ac:dyDescent="0.15">
      <c r="A226" s="1" t="s">
        <v>447</v>
      </c>
      <c r="B226" s="2" t="s">
        <v>346</v>
      </c>
      <c r="C226" s="2" t="s">
        <v>299</v>
      </c>
      <c r="D226" s="2" t="s">
        <v>431</v>
      </c>
      <c r="E226" s="6">
        <v>2600</v>
      </c>
      <c r="F226" s="18">
        <v>132786.71</v>
      </c>
      <c r="G226" s="18">
        <v>56286.7</v>
      </c>
      <c r="H226" s="18">
        <v>96711.5</v>
      </c>
      <c r="I226" s="18">
        <v>99059.77</v>
      </c>
      <c r="J226" s="18">
        <v>33239.51</v>
      </c>
      <c r="K226" s="18">
        <v>123.79</v>
      </c>
      <c r="L226" s="19">
        <f t="shared" si="2"/>
        <v>418207.98</v>
      </c>
      <c r="M226" s="8"/>
      <c r="N226" s="266"/>
    </row>
    <row r="227" spans="1:14" s="3" customFormat="1" ht="12.2" customHeight="1" x14ac:dyDescent="0.15">
      <c r="A227" s="1" t="s">
        <v>448</v>
      </c>
      <c r="B227" s="2" t="s">
        <v>346</v>
      </c>
      <c r="C227" s="2" t="s">
        <v>300</v>
      </c>
      <c r="D227" s="2" t="s">
        <v>431</v>
      </c>
      <c r="E227" s="6">
        <v>2700</v>
      </c>
      <c r="F227" s="18"/>
      <c r="G227" s="18"/>
      <c r="H227" s="18">
        <v>240355.64</v>
      </c>
      <c r="I227" s="18">
        <v>16325.44</v>
      </c>
      <c r="J227" s="18"/>
      <c r="K227" s="18"/>
      <c r="L227" s="19">
        <f t="shared" si="2"/>
        <v>256681.08000000002</v>
      </c>
      <c r="M227" s="8"/>
      <c r="N227" s="266"/>
    </row>
    <row r="228" spans="1:14" s="3" customFormat="1" ht="12.2" customHeight="1" x14ac:dyDescent="0.15">
      <c r="A228" s="1" t="s">
        <v>449</v>
      </c>
      <c r="B228" s="2" t="s">
        <v>346</v>
      </c>
      <c r="C228" s="2" t="s">
        <v>343</v>
      </c>
      <c r="D228" s="2" t="s">
        <v>431</v>
      </c>
      <c r="E228" s="6">
        <v>2800</v>
      </c>
      <c r="F228" s="18">
        <v>35563.230000000003</v>
      </c>
      <c r="G228" s="18">
        <v>12964.6</v>
      </c>
      <c r="H228" s="18">
        <v>37452.71</v>
      </c>
      <c r="I228" s="18">
        <v>30816.639999999999</v>
      </c>
      <c r="J228" s="18">
        <v>6021.17</v>
      </c>
      <c r="K228" s="18"/>
      <c r="L228" s="19">
        <f>SUM(F228:K228)</f>
        <v>122818.35</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2654508.8099999996</v>
      </c>
      <c r="G230" s="41">
        <f>SUM(G216:G229)</f>
        <v>1248972.01</v>
      </c>
      <c r="H230" s="41">
        <f>SUM(H216:H229)</f>
        <v>527140.53</v>
      </c>
      <c r="I230" s="41">
        <f>SUM(I216:I229)</f>
        <v>193117.72000000003</v>
      </c>
      <c r="J230" s="41">
        <f>SUM(J216:J229)</f>
        <v>61337.35</v>
      </c>
      <c r="K230" s="41">
        <f t="shared" si="3"/>
        <v>11954.020000000002</v>
      </c>
      <c r="L230" s="41">
        <f t="shared" si="3"/>
        <v>4697030.4399999995</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1323820.3999999999</v>
      </c>
      <c r="G234" s="18">
        <v>611529.77</v>
      </c>
      <c r="H234" s="18">
        <v>21611.03</v>
      </c>
      <c r="I234" s="18">
        <v>39217.11</v>
      </c>
      <c r="J234" s="18">
        <v>3096.11</v>
      </c>
      <c r="K234" s="18">
        <v>3700</v>
      </c>
      <c r="L234" s="19">
        <f>SUM(F234:K234)</f>
        <v>2002974.4200000002</v>
      </c>
      <c r="M234" s="8"/>
      <c r="N234" s="266"/>
    </row>
    <row r="235" spans="1:14" s="3" customFormat="1" ht="12.2" customHeight="1" x14ac:dyDescent="0.15">
      <c r="A235" s="1" t="s">
        <v>439</v>
      </c>
      <c r="B235" s="2" t="s">
        <v>350</v>
      </c>
      <c r="C235" s="2" t="s">
        <v>291</v>
      </c>
      <c r="D235" s="2" t="s">
        <v>431</v>
      </c>
      <c r="E235" s="6">
        <v>1200</v>
      </c>
      <c r="F235" s="18">
        <v>806951.44</v>
      </c>
      <c r="G235" s="18">
        <v>387798.34</v>
      </c>
      <c r="H235" s="18">
        <v>965592.11</v>
      </c>
      <c r="I235" s="18">
        <v>2830.67</v>
      </c>
      <c r="J235" s="18">
        <v>1438.67</v>
      </c>
      <c r="K235" s="18">
        <v>2892.19</v>
      </c>
      <c r="L235" s="19">
        <f>SUM(F235:K235)</f>
        <v>2167503.42</v>
      </c>
      <c r="M235" s="8"/>
      <c r="N235" s="266"/>
    </row>
    <row r="236" spans="1:14" s="3" customFormat="1" ht="12.2" customHeight="1" x14ac:dyDescent="0.15">
      <c r="A236" s="1" t="s">
        <v>440</v>
      </c>
      <c r="B236" s="2" t="s">
        <v>350</v>
      </c>
      <c r="C236" s="2" t="s">
        <v>292</v>
      </c>
      <c r="D236" s="2" t="s">
        <v>431</v>
      </c>
      <c r="E236" s="6">
        <v>1300</v>
      </c>
      <c r="F236" s="18">
        <v>119024.38</v>
      </c>
      <c r="G236" s="18">
        <v>46522.02</v>
      </c>
      <c r="H236" s="18">
        <v>23769.7</v>
      </c>
      <c r="I236" s="18">
        <v>8389.06</v>
      </c>
      <c r="J236" s="18"/>
      <c r="K236" s="18"/>
      <c r="L236" s="19">
        <f>SUM(F236:K236)</f>
        <v>197705.16</v>
      </c>
      <c r="M236" s="8"/>
      <c r="N236" s="266"/>
    </row>
    <row r="237" spans="1:14" s="3" customFormat="1" ht="12.2" customHeight="1" x14ac:dyDescent="0.15">
      <c r="A237" s="1" t="s">
        <v>441</v>
      </c>
      <c r="B237" s="2" t="s">
        <v>350</v>
      </c>
      <c r="C237" s="2" t="s">
        <v>293</v>
      </c>
      <c r="D237" s="2" t="s">
        <v>431</v>
      </c>
      <c r="E237" s="6">
        <v>1400</v>
      </c>
      <c r="F237" s="18">
        <v>159004.10999999999</v>
      </c>
      <c r="G237" s="18">
        <v>31186</v>
      </c>
      <c r="H237" s="18">
        <v>27808.92</v>
      </c>
      <c r="I237" s="18">
        <v>12895.45</v>
      </c>
      <c r="J237" s="18">
        <v>776.88</v>
      </c>
      <c r="K237" s="18">
        <v>9155</v>
      </c>
      <c r="L237" s="19">
        <f>SUM(F237:K237)</f>
        <v>240826.36</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350049.33</v>
      </c>
      <c r="G239" s="18">
        <v>145374.29999999999</v>
      </c>
      <c r="H239" s="18">
        <v>13017.78</v>
      </c>
      <c r="I239" s="18">
        <v>11964.02</v>
      </c>
      <c r="J239" s="18"/>
      <c r="K239" s="18">
        <v>25</v>
      </c>
      <c r="L239" s="19">
        <f t="shared" ref="L239:L245" si="4">SUM(F239:K239)</f>
        <v>520430.43000000005</v>
      </c>
      <c r="M239" s="8"/>
      <c r="N239" s="266"/>
    </row>
    <row r="240" spans="1:14" s="3" customFormat="1" ht="12.2" customHeight="1" x14ac:dyDescent="0.15">
      <c r="A240" s="1" t="s">
        <v>443</v>
      </c>
      <c r="B240" s="2" t="s">
        <v>350</v>
      </c>
      <c r="C240" s="2" t="s">
        <v>295</v>
      </c>
      <c r="D240" s="2" t="s">
        <v>431</v>
      </c>
      <c r="E240" s="6">
        <v>2200</v>
      </c>
      <c r="F240" s="18">
        <v>15794.51</v>
      </c>
      <c r="G240" s="18">
        <v>3858.93</v>
      </c>
      <c r="H240" s="18">
        <v>8462.86</v>
      </c>
      <c r="I240" s="18">
        <v>13178.35</v>
      </c>
      <c r="J240" s="18"/>
      <c r="K240" s="18">
        <v>1537.64</v>
      </c>
      <c r="L240" s="19">
        <f t="shared" si="4"/>
        <v>42832.29</v>
      </c>
      <c r="M240" s="8"/>
      <c r="N240" s="266"/>
    </row>
    <row r="241" spans="1:14" s="3" customFormat="1" ht="12.2" customHeight="1" x14ac:dyDescent="0.15">
      <c r="A241" s="1" t="s">
        <v>444</v>
      </c>
      <c r="B241" s="2" t="s">
        <v>350</v>
      </c>
      <c r="C241" s="2" t="s">
        <v>296</v>
      </c>
      <c r="D241" s="2" t="s">
        <v>431</v>
      </c>
      <c r="E241" s="6">
        <v>2300</v>
      </c>
      <c r="F241" s="18">
        <v>68385.350000000006</v>
      </c>
      <c r="G241" s="18">
        <v>25828.27</v>
      </c>
      <c r="H241" s="18">
        <v>20762.310000000001</v>
      </c>
      <c r="I241" s="18">
        <v>31.86</v>
      </c>
      <c r="J241" s="18"/>
      <c r="K241" s="18">
        <v>2665.8</v>
      </c>
      <c r="L241" s="19">
        <f t="shared" si="4"/>
        <v>117673.59000000001</v>
      </c>
      <c r="M241" s="8"/>
      <c r="N241" s="266"/>
    </row>
    <row r="242" spans="1:14" s="3" customFormat="1" ht="12.2" customHeight="1" x14ac:dyDescent="0.15">
      <c r="A242" s="1" t="s">
        <v>445</v>
      </c>
      <c r="B242" s="2" t="s">
        <v>350</v>
      </c>
      <c r="C242" s="2" t="s">
        <v>297</v>
      </c>
      <c r="D242" s="2" t="s">
        <v>431</v>
      </c>
      <c r="E242" s="6">
        <v>2400</v>
      </c>
      <c r="F242" s="18">
        <v>212234.34</v>
      </c>
      <c r="G242" s="18">
        <v>103771.78</v>
      </c>
      <c r="H242" s="18">
        <v>9061.08</v>
      </c>
      <c r="I242" s="18">
        <v>1301.18</v>
      </c>
      <c r="J242" s="18">
        <v>673.99</v>
      </c>
      <c r="K242" s="18">
        <v>485.01</v>
      </c>
      <c r="L242" s="19">
        <f t="shared" si="4"/>
        <v>327527.38</v>
      </c>
      <c r="M242" s="8"/>
      <c r="N242" s="266"/>
    </row>
    <row r="243" spans="1:14" s="3" customFormat="1" ht="12.2" customHeight="1" x14ac:dyDescent="0.15">
      <c r="A243" s="1" t="s">
        <v>446</v>
      </c>
      <c r="B243" s="2" t="s">
        <v>350</v>
      </c>
      <c r="C243" s="2" t="s">
        <v>298</v>
      </c>
      <c r="D243" s="2" t="s">
        <v>431</v>
      </c>
      <c r="E243" s="6">
        <v>2500</v>
      </c>
      <c r="F243" s="18">
        <v>92963.26</v>
      </c>
      <c r="G243" s="18">
        <v>31401.98</v>
      </c>
      <c r="H243" s="18">
        <v>6332.72</v>
      </c>
      <c r="I243" s="18">
        <v>1512.59</v>
      </c>
      <c r="J243" s="18">
        <v>354.16</v>
      </c>
      <c r="K243" s="18">
        <v>4272.5200000000004</v>
      </c>
      <c r="L243" s="19">
        <f t="shared" si="4"/>
        <v>136837.22999999998</v>
      </c>
      <c r="M243" s="8"/>
      <c r="N243" s="266"/>
    </row>
    <row r="244" spans="1:14" s="3" customFormat="1" ht="12.2" customHeight="1" x14ac:dyDescent="0.15">
      <c r="A244" s="1" t="s">
        <v>447</v>
      </c>
      <c r="B244" s="2" t="s">
        <v>350</v>
      </c>
      <c r="C244" s="2" t="s">
        <v>299</v>
      </c>
      <c r="D244" s="2" t="s">
        <v>431</v>
      </c>
      <c r="E244" s="6">
        <v>2600</v>
      </c>
      <c r="F244" s="18">
        <v>138690.41</v>
      </c>
      <c r="G244" s="18">
        <v>59034.07</v>
      </c>
      <c r="H244" s="18">
        <v>126695.44</v>
      </c>
      <c r="I244" s="18">
        <v>106734.39999999999</v>
      </c>
      <c r="J244" s="18">
        <v>5256.33</v>
      </c>
      <c r="K244" s="18">
        <v>139.83000000000001</v>
      </c>
      <c r="L244" s="19">
        <f t="shared" si="4"/>
        <v>436550.4800000001</v>
      </c>
      <c r="M244" s="8"/>
      <c r="N244" s="266"/>
    </row>
    <row r="245" spans="1:14" s="3" customFormat="1" ht="12.2" customHeight="1" x14ac:dyDescent="0.15">
      <c r="A245" s="1" t="s">
        <v>448</v>
      </c>
      <c r="B245" s="2" t="s">
        <v>350</v>
      </c>
      <c r="C245" s="2" t="s">
        <v>300</v>
      </c>
      <c r="D245" s="2" t="s">
        <v>431</v>
      </c>
      <c r="E245" s="6">
        <v>2700</v>
      </c>
      <c r="F245" s="18"/>
      <c r="G245" s="18"/>
      <c r="H245" s="18">
        <v>462781.84</v>
      </c>
      <c r="I245" s="18">
        <v>18440.29</v>
      </c>
      <c r="J245" s="18"/>
      <c r="K245" s="18"/>
      <c r="L245" s="19">
        <f t="shared" si="4"/>
        <v>481222.13</v>
      </c>
      <c r="M245" s="8"/>
      <c r="N245" s="266"/>
    </row>
    <row r="246" spans="1:14" s="3" customFormat="1" ht="12.2" customHeight="1" x14ac:dyDescent="0.15">
      <c r="A246" s="1" t="s">
        <v>449</v>
      </c>
      <c r="B246" s="2" t="s">
        <v>350</v>
      </c>
      <c r="C246" s="2" t="s">
        <v>343</v>
      </c>
      <c r="D246" s="2" t="s">
        <v>431</v>
      </c>
      <c r="E246" s="6">
        <v>2800</v>
      </c>
      <c r="F246" s="18">
        <v>40170.19</v>
      </c>
      <c r="G246" s="18">
        <v>14644.06</v>
      </c>
      <c r="H246" s="18">
        <v>42304.43</v>
      </c>
      <c r="I246" s="18">
        <v>39905.29</v>
      </c>
      <c r="J246" s="18">
        <v>6801.17</v>
      </c>
      <c r="K246" s="18"/>
      <c r="L246" s="19">
        <f>SUM(F246:K246)</f>
        <v>143825.14000000001</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3327087.7199999993</v>
      </c>
      <c r="G248" s="41">
        <f t="shared" si="5"/>
        <v>1460949.5200000003</v>
      </c>
      <c r="H248" s="41">
        <f t="shared" si="5"/>
        <v>1728200.2200000002</v>
      </c>
      <c r="I248" s="41">
        <f t="shared" si="5"/>
        <v>256400.27000000002</v>
      </c>
      <c r="J248" s="41">
        <f t="shared" si="5"/>
        <v>18397.309999999998</v>
      </c>
      <c r="K248" s="41">
        <f t="shared" si="5"/>
        <v>24872.99</v>
      </c>
      <c r="L248" s="41">
        <f t="shared" si="5"/>
        <v>6815908.0299999993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281644.2</v>
      </c>
      <c r="I256" s="18"/>
      <c r="J256" s="18"/>
      <c r="K256" s="18"/>
      <c r="L256" s="19">
        <f t="shared" si="6"/>
        <v>281644.2</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281644.2</v>
      </c>
      <c r="I257" s="41">
        <f t="shared" si="7"/>
        <v>0</v>
      </c>
      <c r="J257" s="41">
        <f t="shared" si="7"/>
        <v>0</v>
      </c>
      <c r="K257" s="41">
        <f t="shared" si="7"/>
        <v>0</v>
      </c>
      <c r="L257" s="41">
        <f>SUM(F257:K257)</f>
        <v>281644.2</v>
      </c>
      <c r="M257" s="8"/>
      <c r="N257" s="266"/>
    </row>
    <row r="258" spans="1:14" s="3" customFormat="1" ht="12.2" customHeight="1" thickTop="1" x14ac:dyDescent="0.15">
      <c r="A258" s="38" t="s">
        <v>462</v>
      </c>
      <c r="B258" s="40">
        <v>10</v>
      </c>
      <c r="C258" s="40">
        <v>8</v>
      </c>
      <c r="D258" s="39" t="s">
        <v>431</v>
      </c>
      <c r="E258" s="40"/>
      <c r="F258" s="41">
        <f t="shared" ref="F258:L258" si="8">F212+F230+F248+F257</f>
        <v>12107238.099999998</v>
      </c>
      <c r="G258" s="41">
        <f t="shared" si="8"/>
        <v>5652608.1100000003</v>
      </c>
      <c r="H258" s="41">
        <f t="shared" si="8"/>
        <v>3700935.3800000008</v>
      </c>
      <c r="I258" s="41">
        <f t="shared" si="8"/>
        <v>842277.85000000009</v>
      </c>
      <c r="J258" s="41">
        <f t="shared" si="8"/>
        <v>161454.54999999999</v>
      </c>
      <c r="K258" s="41">
        <f t="shared" si="8"/>
        <v>61996.350000000006</v>
      </c>
      <c r="L258" s="41">
        <f t="shared" si="8"/>
        <v>22526510.34</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760000</v>
      </c>
      <c r="L261" s="19">
        <f>SUM(F261:K261)</f>
        <v>760000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93235.63</v>
      </c>
      <c r="L262" s="19">
        <f>SUM(F262:K262)</f>
        <v>93235.63</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11000</v>
      </c>
      <c r="L264" s="19">
        <f>SUM(F264:K264)</f>
        <v>11000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864235.63</v>
      </c>
      <c r="L271" s="41">
        <f t="shared" si="9"/>
        <v>864235.63</v>
      </c>
      <c r="M271" s="8"/>
      <c r="N271" s="266"/>
    </row>
    <row r="272" spans="1:14" s="34" customFormat="1" ht="12.2" customHeight="1" thickTop="1" x14ac:dyDescent="0.2">
      <c r="A272" s="43" t="s">
        <v>464</v>
      </c>
      <c r="B272" s="40">
        <v>10</v>
      </c>
      <c r="C272" s="40">
        <v>18</v>
      </c>
      <c r="D272" s="39" t="s">
        <v>431</v>
      </c>
      <c r="E272" s="40"/>
      <c r="F272" s="42">
        <f t="shared" ref="F272:L272" si="11">F258+F271</f>
        <v>12107238.099999998</v>
      </c>
      <c r="G272" s="42">
        <f t="shared" si="11"/>
        <v>5652608.1100000003</v>
      </c>
      <c r="H272" s="42">
        <f t="shared" si="11"/>
        <v>3700935.3800000008</v>
      </c>
      <c r="I272" s="42">
        <f t="shared" si="11"/>
        <v>842277.85000000009</v>
      </c>
      <c r="J272" s="42">
        <f t="shared" si="11"/>
        <v>161454.54999999999</v>
      </c>
      <c r="K272" s="42">
        <f t="shared" si="11"/>
        <v>926231.98</v>
      </c>
      <c r="L272" s="42">
        <f t="shared" si="11"/>
        <v>23390745.969999999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178006.91</v>
      </c>
      <c r="G277" s="18">
        <v>101127.08</v>
      </c>
      <c r="H277" s="18"/>
      <c r="I277" s="18"/>
      <c r="J277" s="18"/>
      <c r="K277" s="18"/>
      <c r="L277" s="19">
        <f>SUM(F277:K277)</f>
        <v>279133.99</v>
      </c>
      <c r="M277" s="8"/>
      <c r="N277" s="266"/>
    </row>
    <row r="278" spans="1:14" s="3" customFormat="1" ht="12.2" customHeight="1" x14ac:dyDescent="0.15">
      <c r="A278" s="1" t="s">
        <v>439</v>
      </c>
      <c r="B278" s="2" t="s">
        <v>357</v>
      </c>
      <c r="C278" s="2" t="s">
        <v>291</v>
      </c>
      <c r="D278" s="2" t="s">
        <v>431</v>
      </c>
      <c r="E278" s="6">
        <v>1200</v>
      </c>
      <c r="F278" s="18">
        <v>203347.95</v>
      </c>
      <c r="G278" s="18">
        <v>86229.38</v>
      </c>
      <c r="H278" s="18">
        <v>1071.8699999999999</v>
      </c>
      <c r="I278" s="18">
        <v>5211.1899999999996</v>
      </c>
      <c r="J278" s="18">
        <v>894.06</v>
      </c>
      <c r="K278" s="18"/>
      <c r="L278" s="19">
        <f>SUM(F278:K278)</f>
        <v>296754.45</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413.25</v>
      </c>
      <c r="G280" s="18">
        <v>105.17</v>
      </c>
      <c r="H280" s="18">
        <v>1471.74</v>
      </c>
      <c r="I280" s="18">
        <v>451.49</v>
      </c>
      <c r="J280" s="18"/>
      <c r="K280" s="18">
        <v>100.38</v>
      </c>
      <c r="L280" s="19">
        <f>SUM(F280:K280)</f>
        <v>2542.0299999999997</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17474.900000000001</v>
      </c>
      <c r="G282" s="18">
        <v>10007.06</v>
      </c>
      <c r="H282" s="18">
        <v>3764.25</v>
      </c>
      <c r="I282" s="18"/>
      <c r="J282" s="18"/>
      <c r="K282" s="18"/>
      <c r="L282" s="19">
        <f t="shared" ref="L282:L288" si="12">SUM(F282:K282)</f>
        <v>31246.21</v>
      </c>
      <c r="M282" s="8"/>
      <c r="N282" s="266"/>
    </row>
    <row r="283" spans="1:14" s="3" customFormat="1" ht="12.2" customHeight="1" x14ac:dyDescent="0.15">
      <c r="A283" s="1" t="s">
        <v>443</v>
      </c>
      <c r="B283" s="2" t="s">
        <v>357</v>
      </c>
      <c r="C283" s="2" t="s">
        <v>295</v>
      </c>
      <c r="D283" s="2" t="s">
        <v>431</v>
      </c>
      <c r="E283" s="6">
        <v>2200</v>
      </c>
      <c r="F283" s="18"/>
      <c r="G283" s="18"/>
      <c r="H283" s="18">
        <v>56436.79</v>
      </c>
      <c r="I283" s="18">
        <v>7704.72</v>
      </c>
      <c r="J283" s="18"/>
      <c r="K283" s="18"/>
      <c r="L283" s="19">
        <f t="shared" si="12"/>
        <v>64141.51</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399243.01</v>
      </c>
      <c r="G291" s="42">
        <f t="shared" si="13"/>
        <v>197468.69000000003</v>
      </c>
      <c r="H291" s="42">
        <f t="shared" si="13"/>
        <v>62744.65</v>
      </c>
      <c r="I291" s="42">
        <f t="shared" si="13"/>
        <v>13367.4</v>
      </c>
      <c r="J291" s="42">
        <f t="shared" si="13"/>
        <v>894.06</v>
      </c>
      <c r="K291" s="42">
        <f t="shared" si="13"/>
        <v>100.38</v>
      </c>
      <c r="L291" s="41">
        <f t="shared" si="13"/>
        <v>673818.19</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v>50441.35</v>
      </c>
      <c r="G297" s="18">
        <v>29513.93</v>
      </c>
      <c r="H297" s="18">
        <v>499.53</v>
      </c>
      <c r="I297" s="18">
        <v>2370.69</v>
      </c>
      <c r="J297" s="18"/>
      <c r="K297" s="18"/>
      <c r="L297" s="19">
        <f>SUM(F297:K297)</f>
        <v>82825.5</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v>210.41</v>
      </c>
      <c r="J299" s="18"/>
      <c r="K299" s="18">
        <v>46.78</v>
      </c>
      <c r="L299" s="19">
        <f>SUM(F299:K299)</f>
        <v>257.19</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v>1754.25</v>
      </c>
      <c r="I301" s="18"/>
      <c r="J301" s="18"/>
      <c r="K301" s="18"/>
      <c r="L301" s="19">
        <f t="shared" ref="L301:L307" si="14">SUM(F301:K301)</f>
        <v>1754.25</v>
      </c>
      <c r="M301" s="8"/>
      <c r="N301" s="266"/>
    </row>
    <row r="302" spans="1:14" s="3" customFormat="1" ht="12.2" customHeight="1" x14ac:dyDescent="0.15">
      <c r="A302" s="1" t="s">
        <v>443</v>
      </c>
      <c r="B302" s="2" t="s">
        <v>358</v>
      </c>
      <c r="C302" s="2" t="s">
        <v>295</v>
      </c>
      <c r="D302" s="2" t="s">
        <v>431</v>
      </c>
      <c r="E302" s="6">
        <v>2200</v>
      </c>
      <c r="F302" s="18"/>
      <c r="G302" s="18"/>
      <c r="H302" s="18">
        <v>26301.19</v>
      </c>
      <c r="I302" s="18">
        <v>3590.62</v>
      </c>
      <c r="J302" s="18"/>
      <c r="K302" s="18"/>
      <c r="L302" s="19">
        <f t="shared" si="14"/>
        <v>29891.809999999998</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50441.35</v>
      </c>
      <c r="G310" s="42">
        <f t="shared" si="15"/>
        <v>29513.93</v>
      </c>
      <c r="H310" s="42">
        <f t="shared" si="15"/>
        <v>28554.969999999998</v>
      </c>
      <c r="I310" s="42">
        <f t="shared" si="15"/>
        <v>6171.7199999999993</v>
      </c>
      <c r="J310" s="42">
        <f t="shared" si="15"/>
        <v>0</v>
      </c>
      <c r="K310" s="42">
        <f t="shared" si="15"/>
        <v>46.78</v>
      </c>
      <c r="L310" s="41">
        <f t="shared" si="15"/>
        <v>114728.75</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v>4000</v>
      </c>
      <c r="G316" s="18">
        <v>1007.47</v>
      </c>
      <c r="H316" s="18">
        <v>564.24</v>
      </c>
      <c r="I316" s="18">
        <v>2677.8</v>
      </c>
      <c r="J316" s="18"/>
      <c r="K316" s="18"/>
      <c r="L316" s="19">
        <f>SUM(F316:K316)</f>
        <v>8249.51</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v>237.67</v>
      </c>
      <c r="J318" s="18"/>
      <c r="K318" s="18">
        <v>52.84</v>
      </c>
      <c r="L318" s="19">
        <f>SUM(F318:K318)</f>
        <v>290.51</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v>1981.5</v>
      </c>
      <c r="I320" s="18"/>
      <c r="J320" s="18"/>
      <c r="K320" s="18"/>
      <c r="L320" s="19">
        <f t="shared" ref="L320:L326" si="16">SUM(F320:K320)</f>
        <v>1981.5</v>
      </c>
      <c r="M320" s="8"/>
      <c r="N320" s="266"/>
    </row>
    <row r="321" spans="1:14" s="3" customFormat="1" ht="12.2" customHeight="1" x14ac:dyDescent="0.15">
      <c r="A321" s="1" t="s">
        <v>443</v>
      </c>
      <c r="B321" s="2" t="s">
        <v>359</v>
      </c>
      <c r="C321" s="2" t="s">
        <v>295</v>
      </c>
      <c r="D321" s="2" t="s">
        <v>431</v>
      </c>
      <c r="E321" s="6">
        <v>2200</v>
      </c>
      <c r="F321" s="18"/>
      <c r="G321" s="18"/>
      <c r="H321" s="18">
        <v>29708.31</v>
      </c>
      <c r="I321" s="18">
        <v>4055.76</v>
      </c>
      <c r="J321" s="18"/>
      <c r="K321" s="18"/>
      <c r="L321" s="19">
        <f t="shared" si="16"/>
        <v>33764.07</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4000</v>
      </c>
      <c r="G329" s="42">
        <f t="shared" si="17"/>
        <v>1007.47</v>
      </c>
      <c r="H329" s="42">
        <f t="shared" si="17"/>
        <v>32254.050000000003</v>
      </c>
      <c r="I329" s="42">
        <f t="shared" si="17"/>
        <v>6971.2300000000005</v>
      </c>
      <c r="J329" s="42">
        <f t="shared" si="17"/>
        <v>0</v>
      </c>
      <c r="K329" s="42">
        <f t="shared" si="17"/>
        <v>52.84</v>
      </c>
      <c r="L329" s="41">
        <f t="shared" si="17"/>
        <v>44285.59</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453684.36</v>
      </c>
      <c r="G339" s="41">
        <f t="shared" si="20"/>
        <v>227990.09000000003</v>
      </c>
      <c r="H339" s="41">
        <f t="shared" si="20"/>
        <v>123553.67</v>
      </c>
      <c r="I339" s="41">
        <f t="shared" si="20"/>
        <v>26510.35</v>
      </c>
      <c r="J339" s="41">
        <f t="shared" si="20"/>
        <v>894.06</v>
      </c>
      <c r="K339" s="41">
        <f t="shared" si="20"/>
        <v>200</v>
      </c>
      <c r="L339" s="41">
        <f t="shared" si="20"/>
        <v>832832.52999999991</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8000</v>
      </c>
      <c r="L345" s="19">
        <f t="shared" ref="L345:L351" si="21">SUM(F345:K345)</f>
        <v>8000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8000</v>
      </c>
      <c r="L352" s="41">
        <f>SUM(L342:L351)</f>
        <v>8000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453684.36</v>
      </c>
      <c r="G353" s="41">
        <f>G339</f>
        <v>227990.09000000003</v>
      </c>
      <c r="H353" s="41">
        <f>H339</f>
        <v>123553.67</v>
      </c>
      <c r="I353" s="41">
        <f>I339</f>
        <v>26510.35</v>
      </c>
      <c r="J353" s="41">
        <f>J339</f>
        <v>894.06</v>
      </c>
      <c r="K353" s="47">
        <f>K339+K352</f>
        <v>8200</v>
      </c>
      <c r="L353" s="41">
        <f>L339+L352</f>
        <v>840832.52999999991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1488.63</v>
      </c>
      <c r="G359" s="18">
        <v>139.83000000000001</v>
      </c>
      <c r="H359" s="18">
        <v>261837.27</v>
      </c>
      <c r="I359" s="18">
        <v>689.16</v>
      </c>
      <c r="J359" s="18"/>
      <c r="K359" s="18"/>
      <c r="L359" s="13">
        <f>SUM(F359:K359)</f>
        <v>264154.88999999996</v>
      </c>
      <c r="M359" s="8"/>
      <c r="N359" s="266"/>
    </row>
    <row r="360" spans="1:22" s="3" customFormat="1" ht="12.2" customHeight="1" x14ac:dyDescent="0.15">
      <c r="A360" s="1" t="s">
        <v>542</v>
      </c>
      <c r="B360" s="2" t="s">
        <v>366</v>
      </c>
      <c r="C360" s="6">
        <v>2</v>
      </c>
      <c r="D360" s="2" t="s">
        <v>431</v>
      </c>
      <c r="E360" s="6"/>
      <c r="F360" s="18">
        <v>693.75</v>
      </c>
      <c r="G360" s="18">
        <v>65.16</v>
      </c>
      <c r="H360" s="18">
        <v>122023.78</v>
      </c>
      <c r="I360" s="18">
        <v>321.17</v>
      </c>
      <c r="J360" s="18"/>
      <c r="K360" s="18"/>
      <c r="L360" s="19">
        <f>SUM(F360:K360)</f>
        <v>123103.86</v>
      </c>
      <c r="M360" s="8"/>
      <c r="N360" s="266"/>
    </row>
    <row r="361" spans="1:22" s="3" customFormat="1" ht="12.2" customHeight="1" x14ac:dyDescent="0.15">
      <c r="A361" s="3" t="s">
        <v>543</v>
      </c>
      <c r="B361" s="2" t="s">
        <v>366</v>
      </c>
      <c r="C361" s="6">
        <v>3</v>
      </c>
      <c r="D361" s="2" t="s">
        <v>431</v>
      </c>
      <c r="E361" s="6"/>
      <c r="F361" s="18">
        <v>783.62</v>
      </c>
      <c r="G361" s="18">
        <v>73.599999999999994</v>
      </c>
      <c r="H361" s="18">
        <v>137831.04999999999</v>
      </c>
      <c r="I361" s="18">
        <v>362.77</v>
      </c>
      <c r="J361" s="18"/>
      <c r="K361" s="18"/>
      <c r="L361" s="19">
        <f>SUM(F361:K361)</f>
        <v>139051.03999999998</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2966</v>
      </c>
      <c r="G363" s="47">
        <f t="shared" si="22"/>
        <v>278.59000000000003</v>
      </c>
      <c r="H363" s="47">
        <f t="shared" si="22"/>
        <v>521692.1</v>
      </c>
      <c r="I363" s="47">
        <f t="shared" si="22"/>
        <v>1373.1</v>
      </c>
      <c r="J363" s="47">
        <f t="shared" si="22"/>
        <v>0</v>
      </c>
      <c r="K363" s="47">
        <f t="shared" si="22"/>
        <v>0</v>
      </c>
      <c r="L363" s="47">
        <f t="shared" si="22"/>
        <v>526309.78999999992</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689.16</v>
      </c>
      <c r="G369" s="63">
        <v>321.17</v>
      </c>
      <c r="H369" s="63">
        <v>362.77</v>
      </c>
      <c r="I369" s="56">
        <f>SUM(F369:H369)</f>
        <v>1373.1</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689.16</v>
      </c>
      <c r="G370" s="47">
        <f>SUM(G368:G369)</f>
        <v>321.17</v>
      </c>
      <c r="H370" s="47">
        <f>SUM(H368:H369)</f>
        <v>362.77</v>
      </c>
      <c r="I370" s="47">
        <f>SUM(I368:I369)</f>
        <v>1373.1</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v>3701.79</v>
      </c>
      <c r="I390" s="18"/>
      <c r="J390" s="24" t="s">
        <v>288</v>
      </c>
      <c r="K390" s="24" t="s">
        <v>288</v>
      </c>
      <c r="L390" s="56">
        <f t="shared" si="25"/>
        <v>3701.79</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3701.79</v>
      </c>
      <c r="I394" s="65">
        <f>SUM(I388:I393)</f>
        <v>0</v>
      </c>
      <c r="J394" s="45" t="s">
        <v>288</v>
      </c>
      <c r="K394" s="45" t="s">
        <v>288</v>
      </c>
      <c r="L394" s="47">
        <f>SUM(L388:L393)</f>
        <v>3701.79</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v>7636.28</v>
      </c>
      <c r="I398" s="18"/>
      <c r="J398" s="24" t="s">
        <v>288</v>
      </c>
      <c r="K398" s="24" t="s">
        <v>288</v>
      </c>
      <c r="L398" s="56">
        <f t="shared" si="26"/>
        <v>7636.28</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152114.1</v>
      </c>
      <c r="I401" s="18"/>
      <c r="J401" s="24" t="s">
        <v>288</v>
      </c>
      <c r="K401" s="24" t="s">
        <v>288</v>
      </c>
      <c r="L401" s="56">
        <f t="shared" si="26"/>
        <v>152114.1</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159750.38</v>
      </c>
      <c r="I402" s="47">
        <f>SUM(I396:I401)</f>
        <v>0</v>
      </c>
      <c r="J402" s="45" t="s">
        <v>288</v>
      </c>
      <c r="K402" s="45" t="s">
        <v>288</v>
      </c>
      <c r="L402" s="47">
        <f>SUM(L396:L401)</f>
        <v>159750.38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t="s">
        <v>1642</v>
      </c>
      <c r="B404" s="2" t="s">
        <v>381</v>
      </c>
      <c r="C404" s="6">
        <v>15</v>
      </c>
      <c r="D404" s="2" t="s">
        <v>432</v>
      </c>
      <c r="E404" s="6"/>
      <c r="F404" s="18"/>
      <c r="G404" s="18"/>
      <c r="H404" s="18">
        <v>144662.79999999999</v>
      </c>
      <c r="I404" s="18"/>
      <c r="J404" s="24" t="s">
        <v>288</v>
      </c>
      <c r="K404" s="24" t="s">
        <v>288</v>
      </c>
      <c r="L404" s="56">
        <f>SUM(F404:K404)</f>
        <v>144662.79999999999</v>
      </c>
      <c r="M404" s="8"/>
      <c r="N404" s="266"/>
    </row>
    <row r="405" spans="1:21" s="3" customFormat="1" ht="12.2" customHeight="1" x14ac:dyDescent="0.15">
      <c r="A405" s="110" t="s">
        <v>1643</v>
      </c>
      <c r="B405" s="2" t="s">
        <v>381</v>
      </c>
      <c r="C405" s="6">
        <v>16</v>
      </c>
      <c r="D405" s="2" t="s">
        <v>432</v>
      </c>
      <c r="E405" s="6"/>
      <c r="F405" s="18"/>
      <c r="G405" s="18"/>
      <c r="H405" s="18">
        <v>3801.62</v>
      </c>
      <c r="I405" s="18"/>
      <c r="J405" s="24" t="s">
        <v>288</v>
      </c>
      <c r="K405" s="24" t="s">
        <v>288</v>
      </c>
      <c r="L405" s="56">
        <f>SUM(F405:K405)</f>
        <v>3801.62</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148464.41999999998</v>
      </c>
      <c r="I408" s="47">
        <f>SUM(I404:I407)</f>
        <v>0</v>
      </c>
      <c r="J408" s="49" t="s">
        <v>288</v>
      </c>
      <c r="K408" s="49" t="s">
        <v>288</v>
      </c>
      <c r="L408" s="47">
        <f>SUM(L404:L407)</f>
        <v>148464.41999999998</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311916.58999999997</v>
      </c>
      <c r="I409" s="47">
        <f>I394+I402+I408</f>
        <v>0</v>
      </c>
      <c r="J409" s="24" t="s">
        <v>288</v>
      </c>
      <c r="K409" s="24" t="s">
        <v>288</v>
      </c>
      <c r="L409" s="47">
        <f>L394+L402+L408</f>
        <v>311916.58999999997</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32983.550000000003</v>
      </c>
      <c r="I416" s="18"/>
      <c r="J416" s="18"/>
      <c r="K416" s="18"/>
      <c r="L416" s="56">
        <f t="shared" si="27"/>
        <v>32983.550000000003</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v>9561.1200000000008</v>
      </c>
      <c r="I419" s="18">
        <v>658.5</v>
      </c>
      <c r="J419" s="18"/>
      <c r="K419" s="18"/>
      <c r="L419" s="56">
        <f t="shared" si="27"/>
        <v>10219.620000000001</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42544.670000000006</v>
      </c>
      <c r="I420" s="139">
        <f t="shared" si="28"/>
        <v>658.5</v>
      </c>
      <c r="J420" s="139">
        <f t="shared" si="28"/>
        <v>0</v>
      </c>
      <c r="K420" s="139">
        <f t="shared" si="28"/>
        <v>0</v>
      </c>
      <c r="L420" s="47">
        <f t="shared" si="28"/>
        <v>43203.170000000006</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v>2684.73</v>
      </c>
      <c r="I424" s="18"/>
      <c r="J424" s="18"/>
      <c r="K424" s="18"/>
      <c r="L424" s="56">
        <f t="shared" si="29"/>
        <v>2684.73</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2684.73</v>
      </c>
      <c r="I428" s="47">
        <f t="shared" si="30"/>
        <v>0</v>
      </c>
      <c r="J428" s="47">
        <f t="shared" si="30"/>
        <v>0</v>
      </c>
      <c r="K428" s="47">
        <f t="shared" si="30"/>
        <v>0</v>
      </c>
      <c r="L428" s="47">
        <f t="shared" si="30"/>
        <v>2684.73</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t="s">
        <v>1642</v>
      </c>
      <c r="B430" s="6">
        <v>17</v>
      </c>
      <c r="C430" s="6">
        <v>15</v>
      </c>
      <c r="D430" s="2" t="s">
        <v>432</v>
      </c>
      <c r="E430" s="6"/>
      <c r="F430" s="18"/>
      <c r="G430" s="18"/>
      <c r="H430" s="18">
        <v>38474.639999999999</v>
      </c>
      <c r="I430" s="18"/>
      <c r="J430" s="18"/>
      <c r="K430" s="18"/>
      <c r="L430" s="56">
        <f>SUM(F430:K430)</f>
        <v>38474.639999999999</v>
      </c>
      <c r="M430" s="68"/>
      <c r="N430" s="227"/>
    </row>
    <row r="431" spans="1:21" ht="12.2" customHeight="1" x14ac:dyDescent="0.2">
      <c r="A431" s="110" t="s">
        <v>1643</v>
      </c>
      <c r="B431" s="6">
        <v>17</v>
      </c>
      <c r="C431" s="6">
        <v>16</v>
      </c>
      <c r="D431" s="2" t="s">
        <v>432</v>
      </c>
      <c r="E431" s="6"/>
      <c r="F431" s="18"/>
      <c r="G431" s="18"/>
      <c r="H431" s="18">
        <v>235.47</v>
      </c>
      <c r="I431" s="18"/>
      <c r="J431" s="18"/>
      <c r="K431" s="18"/>
      <c r="L431" s="56">
        <f>SUM(F431:K431)</f>
        <v>235.47</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38710.11</v>
      </c>
      <c r="I434" s="47">
        <f t="shared" si="31"/>
        <v>0</v>
      </c>
      <c r="J434" s="47">
        <f t="shared" si="31"/>
        <v>0</v>
      </c>
      <c r="K434" s="47">
        <f t="shared" si="31"/>
        <v>0</v>
      </c>
      <c r="L434" s="47">
        <f t="shared" si="31"/>
        <v>38710.11</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83939.510000000009</v>
      </c>
      <c r="I435" s="47">
        <f t="shared" si="32"/>
        <v>658.5</v>
      </c>
      <c r="J435" s="47">
        <f t="shared" si="32"/>
        <v>0</v>
      </c>
      <c r="K435" s="47">
        <f t="shared" si="32"/>
        <v>0</v>
      </c>
      <c r="L435" s="47">
        <f t="shared" si="32"/>
        <v>84598.010000000009</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190070.3</v>
      </c>
      <c r="G441" s="18">
        <v>1579587.28</v>
      </c>
      <c r="H441" s="18">
        <f>1083899.8+28673.55</f>
        <v>1112573.3500000001</v>
      </c>
      <c r="I441" s="56">
        <f t="shared" si="33"/>
        <v>2882230.93</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190070.3</v>
      </c>
      <c r="G447" s="13">
        <f>SUM(G440:G446)</f>
        <v>1579587.28</v>
      </c>
      <c r="H447" s="13">
        <f>SUM(H440:H446)</f>
        <v>1112573.3500000001</v>
      </c>
      <c r="I447" s="13">
        <f>SUM(I440:I446)</f>
        <v>2882230.93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v>190070.3</v>
      </c>
      <c r="G457" s="18">
        <v>1579587.28</v>
      </c>
      <c r="H457" s="18">
        <v>1112573.3500000001</v>
      </c>
      <c r="I457" s="56">
        <f t="shared" si="34"/>
        <v>2882230.93</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190070.3</v>
      </c>
      <c r="G461" s="83">
        <f>SUM(G455:G460)</f>
        <v>1579587.28</v>
      </c>
      <c r="H461" s="83">
        <f>SUM(H455:H460)</f>
        <v>1112573.3500000001</v>
      </c>
      <c r="I461" s="83">
        <f>SUM(I455:I460)</f>
        <v>2882230.93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190070.3</v>
      </c>
      <c r="G462" s="42">
        <f>G453+G461</f>
        <v>1579587.28</v>
      </c>
      <c r="H462" s="42">
        <f>H453+H461</f>
        <v>1112573.3500000001</v>
      </c>
      <c r="I462" s="42">
        <f>I453+I461</f>
        <v>2882230.93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1305186.8700000001</v>
      </c>
      <c r="G466" s="18">
        <v>25600.63</v>
      </c>
      <c r="H466" s="18">
        <v>0</v>
      </c>
      <c r="I466" s="18"/>
      <c r="J466" s="18">
        <v>2654912.35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23822033.350000001</v>
      </c>
      <c r="G469" s="18">
        <v>519468.46</v>
      </c>
      <c r="H469" s="18">
        <v>840832.53</v>
      </c>
      <c r="I469" s="18"/>
      <c r="J469" s="18">
        <v>311916.59000000003</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23822033.350000001</v>
      </c>
      <c r="G471" s="53">
        <f>SUM(G469:G470)</f>
        <v>519468.46</v>
      </c>
      <c r="H471" s="53">
        <f>SUM(H469:H470)</f>
        <v>840832.53</v>
      </c>
      <c r="I471" s="53">
        <f>SUM(I469:I470)</f>
        <v>0</v>
      </c>
      <c r="J471" s="53">
        <f>SUM(J469:J470)</f>
        <v>311916.59000000003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23390745.969999999</v>
      </c>
      <c r="G473" s="18">
        <v>526309.79</v>
      </c>
      <c r="H473" s="18">
        <v>840832.53</v>
      </c>
      <c r="I473" s="18"/>
      <c r="J473" s="18">
        <v>84598.01</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23390745.969999999</v>
      </c>
      <c r="G475" s="53">
        <f>SUM(G473:G474)</f>
        <v>526309.79</v>
      </c>
      <c r="H475" s="53">
        <f>SUM(H473:H474)</f>
        <v>840832.53</v>
      </c>
      <c r="I475" s="53">
        <f>SUM(I473:I474)</f>
        <v>0</v>
      </c>
      <c r="J475" s="53">
        <f>SUM(J473:J474)</f>
        <v>84598.01</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1736474.2500000037</v>
      </c>
      <c r="G477" s="53">
        <f>(G466+G471)- G475</f>
        <v>18759.29999999993</v>
      </c>
      <c r="H477" s="53">
        <f>(H466+H471)- H475</f>
        <v>0</v>
      </c>
      <c r="I477" s="53">
        <f>(I466+I471)- I475</f>
        <v>0</v>
      </c>
      <c r="J477" s="53">
        <f>(J466+J471)- J475</f>
        <v>2882230.93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15</v>
      </c>
      <c r="G491" s="154">
        <v>10</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1644</v>
      </c>
      <c r="G492" s="155" t="s">
        <v>1645</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1646</v>
      </c>
      <c r="G493" s="155" t="s">
        <v>1647</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9247684</v>
      </c>
      <c r="G494" s="18">
        <v>1446400</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5</v>
      </c>
      <c r="G495" s="18">
        <v>5.0999999999999996</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1845000</v>
      </c>
      <c r="G496" s="18">
        <v>1305000</v>
      </c>
      <c r="H496" s="18"/>
      <c r="I496" s="18"/>
      <c r="J496" s="18"/>
      <c r="K496" s="53">
        <f>SUM(F496:J496)</f>
        <v>3150000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615000</v>
      </c>
      <c r="G498" s="18">
        <v>145000</v>
      </c>
      <c r="H498" s="18"/>
      <c r="I498" s="18"/>
      <c r="J498" s="18"/>
      <c r="K498" s="53">
        <f t="shared" si="35"/>
        <v>760000</v>
      </c>
      <c r="L498" s="24" t="s">
        <v>288</v>
      </c>
      <c r="N498" s="265"/>
    </row>
    <row r="499" spans="1:14" s="52" customFormat="1" ht="12.2" customHeight="1" x14ac:dyDescent="0.2">
      <c r="A499" s="200" t="s">
        <v>622</v>
      </c>
      <c r="B499" s="201">
        <v>20</v>
      </c>
      <c r="C499" s="202">
        <v>9</v>
      </c>
      <c r="D499" s="203" t="s">
        <v>432</v>
      </c>
      <c r="E499" s="202"/>
      <c r="F499" s="204">
        <v>1230000</v>
      </c>
      <c r="G499" s="204">
        <v>1160000</v>
      </c>
      <c r="H499" s="204"/>
      <c r="I499" s="204"/>
      <c r="J499" s="204"/>
      <c r="K499" s="205">
        <f t="shared" si="35"/>
        <v>2390000</v>
      </c>
      <c r="L499" s="206" t="s">
        <v>288</v>
      </c>
      <c r="N499" s="265"/>
    </row>
    <row r="500" spans="1:14" s="52" customFormat="1" ht="12.2" customHeight="1" thickBot="1" x14ac:dyDescent="0.25">
      <c r="A500" s="22" t="s">
        <v>623</v>
      </c>
      <c r="B500" s="75">
        <v>20</v>
      </c>
      <c r="C500" s="115">
        <v>10</v>
      </c>
      <c r="D500" s="2" t="s">
        <v>432</v>
      </c>
      <c r="E500" s="115"/>
      <c r="F500" s="18">
        <v>15040.63</v>
      </c>
      <c r="G500" s="18">
        <v>236640</v>
      </c>
      <c r="H500" s="18"/>
      <c r="I500" s="18"/>
      <c r="J500" s="18"/>
      <c r="K500" s="53">
        <f t="shared" si="35"/>
        <v>251680.63</v>
      </c>
      <c r="L500" s="24" t="s">
        <v>288</v>
      </c>
      <c r="N500" s="265"/>
    </row>
    <row r="501" spans="1:14" s="52" customFormat="1" ht="12.2" customHeight="1" thickTop="1" x14ac:dyDescent="0.2">
      <c r="A501" s="139" t="s">
        <v>624</v>
      </c>
      <c r="B501" s="44">
        <v>20</v>
      </c>
      <c r="C501" s="195">
        <v>11</v>
      </c>
      <c r="D501" s="39" t="s">
        <v>432</v>
      </c>
      <c r="E501" s="195"/>
      <c r="F501" s="42">
        <f>SUM(F499:F500)</f>
        <v>1245040.6299999999</v>
      </c>
      <c r="G501" s="42">
        <f>SUM(G499:G500)</f>
        <v>1396640</v>
      </c>
      <c r="H501" s="42">
        <f>SUM(H499:H500)</f>
        <v>0</v>
      </c>
      <c r="I501" s="42">
        <f>SUM(I499:I500)</f>
        <v>0</v>
      </c>
      <c r="J501" s="42">
        <f>SUM(J499:J500)</f>
        <v>0</v>
      </c>
      <c r="K501" s="42">
        <f t="shared" si="35"/>
        <v>2641680.63</v>
      </c>
      <c r="L501" s="45" t="s">
        <v>288</v>
      </c>
      <c r="N501" s="265"/>
    </row>
    <row r="502" spans="1:14" s="52" customFormat="1" ht="12.2" customHeight="1" x14ac:dyDescent="0.2">
      <c r="A502" s="200" t="s">
        <v>651</v>
      </c>
      <c r="B502" s="201">
        <v>20</v>
      </c>
      <c r="C502" s="202">
        <v>12</v>
      </c>
      <c r="D502" s="203" t="s">
        <v>432</v>
      </c>
      <c r="E502" s="202"/>
      <c r="F502" s="204">
        <v>615000</v>
      </c>
      <c r="G502" s="204">
        <v>145000</v>
      </c>
      <c r="H502" s="204"/>
      <c r="I502" s="204"/>
      <c r="J502" s="204"/>
      <c r="K502" s="205">
        <f t="shared" si="35"/>
        <v>760000</v>
      </c>
      <c r="L502" s="206" t="s">
        <v>288</v>
      </c>
      <c r="N502" s="265"/>
    </row>
    <row r="503" spans="1:14" s="52" customFormat="1" ht="12.2" customHeight="1" thickBot="1" x14ac:dyDescent="0.25">
      <c r="A503" s="22" t="s">
        <v>625</v>
      </c>
      <c r="B503" s="75">
        <v>20</v>
      </c>
      <c r="C503" s="115">
        <v>13</v>
      </c>
      <c r="D503" s="2" t="s">
        <v>432</v>
      </c>
      <c r="E503" s="115"/>
      <c r="F503" s="18">
        <v>14934.38</v>
      </c>
      <c r="G503" s="18">
        <v>55462.5</v>
      </c>
      <c r="H503" s="18"/>
      <c r="I503" s="18"/>
      <c r="J503" s="18"/>
      <c r="K503" s="53">
        <f t="shared" si="35"/>
        <v>70396.88</v>
      </c>
      <c r="L503" s="24" t="s">
        <v>288</v>
      </c>
      <c r="N503" s="265"/>
    </row>
    <row r="504" spans="1:14" s="52" customFormat="1" ht="12.2" customHeight="1" thickTop="1" x14ac:dyDescent="0.2">
      <c r="A504" s="139" t="s">
        <v>626</v>
      </c>
      <c r="B504" s="44">
        <v>20</v>
      </c>
      <c r="C504" s="195">
        <v>14</v>
      </c>
      <c r="D504" s="39" t="s">
        <v>432</v>
      </c>
      <c r="E504" s="195"/>
      <c r="F504" s="42">
        <f>SUM(F502:F503)</f>
        <v>629934.38</v>
      </c>
      <c r="G504" s="42">
        <f>SUM(G502:G503)</f>
        <v>200462.5</v>
      </c>
      <c r="H504" s="42">
        <f>SUM(H502:H503)</f>
        <v>0</v>
      </c>
      <c r="I504" s="42">
        <f>SUM(I502:I503)</f>
        <v>0</v>
      </c>
      <c r="J504" s="42">
        <f>SUM(J502:J503)</f>
        <v>0</v>
      </c>
      <c r="K504" s="42">
        <f t="shared" si="35"/>
        <v>830396.88</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v>1233379.22</v>
      </c>
      <c r="G508" s="144">
        <f>3183.9+6137.29+2546.24</f>
        <v>11867.43</v>
      </c>
      <c r="H508" s="144">
        <v>176956.39</v>
      </c>
      <c r="I508" s="144">
        <v>1068290.26</v>
      </c>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v>750120.15</v>
      </c>
      <c r="G512" s="24" t="s">
        <v>288</v>
      </c>
      <c r="H512" s="18">
        <v>750120.15</v>
      </c>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v>222220.4</v>
      </c>
      <c r="G513" s="24" t="s">
        <v>288</v>
      </c>
      <c r="H513" s="18">
        <v>271027.40000000002</v>
      </c>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v>28518941.57</v>
      </c>
      <c r="G514" s="24" t="s">
        <v>288</v>
      </c>
      <c r="H514" s="18">
        <v>28755728.43</v>
      </c>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v>1361023.45</v>
      </c>
      <c r="G515" s="24" t="s">
        <v>288</v>
      </c>
      <c r="H515" s="18">
        <v>1373423.45</v>
      </c>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v>30852305.57</v>
      </c>
      <c r="H517" s="24" t="s">
        <v>288</v>
      </c>
      <c r="I517" s="18">
        <v>31150299.43</v>
      </c>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30852305.57</v>
      </c>
      <c r="G518" s="42">
        <f>SUM(G512:G517)</f>
        <v>30852305.57</v>
      </c>
      <c r="H518" s="42">
        <f>SUM(H512:H517)</f>
        <v>31150299.43</v>
      </c>
      <c r="I518" s="42">
        <f>SUM(I512:I517)</f>
        <v>31150299.43</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1301290.23</v>
      </c>
      <c r="G522" s="18">
        <v>657316.89</v>
      </c>
      <c r="H522" s="18">
        <v>206752</v>
      </c>
      <c r="I522" s="18">
        <v>4875.33</v>
      </c>
      <c r="J522" s="18">
        <v>5061.7700000000004</v>
      </c>
      <c r="K522" s="18"/>
      <c r="L522" s="88">
        <f>SUM(F522:K522)</f>
        <v>2175296.2200000002</v>
      </c>
      <c r="N522" s="265"/>
    </row>
    <row r="523" spans="1:14" s="52" customFormat="1" ht="12.2" customHeight="1" x14ac:dyDescent="0.2">
      <c r="A523" s="22" t="s">
        <v>634</v>
      </c>
      <c r="B523" s="105">
        <v>21</v>
      </c>
      <c r="C523" s="115">
        <v>2</v>
      </c>
      <c r="D523" s="2" t="s">
        <v>432</v>
      </c>
      <c r="E523" s="115"/>
      <c r="F523" s="18">
        <v>416181.36</v>
      </c>
      <c r="G523" s="18">
        <v>253691.59</v>
      </c>
      <c r="H523" s="18">
        <v>99638.12</v>
      </c>
      <c r="I523" s="18">
        <v>1968.5</v>
      </c>
      <c r="J523" s="18">
        <v>270</v>
      </c>
      <c r="K523" s="18"/>
      <c r="L523" s="88">
        <f>SUM(F523:K523)</f>
        <v>771749.57</v>
      </c>
      <c r="N523" s="265"/>
    </row>
    <row r="524" spans="1:14" s="52" customFormat="1" ht="12.2" customHeight="1" thickBot="1" x14ac:dyDescent="0.25">
      <c r="A524" s="22" t="s">
        <v>635</v>
      </c>
      <c r="B524" s="105">
        <v>21</v>
      </c>
      <c r="C524" s="115">
        <v>3</v>
      </c>
      <c r="D524" s="2" t="s">
        <v>432</v>
      </c>
      <c r="E524" s="115"/>
      <c r="F524" s="18">
        <v>718032.52</v>
      </c>
      <c r="G524" s="18">
        <v>345712.3</v>
      </c>
      <c r="H524" s="18">
        <v>962001.77</v>
      </c>
      <c r="I524" s="18">
        <v>2239.1</v>
      </c>
      <c r="J524" s="18">
        <v>1234.3</v>
      </c>
      <c r="K524" s="18">
        <v>188.25</v>
      </c>
      <c r="L524" s="88">
        <f>SUM(F524:K524)</f>
        <v>2029408.2400000002</v>
      </c>
      <c r="N524" s="265"/>
    </row>
    <row r="525" spans="1:14" s="52" customFormat="1" ht="12.2" customHeight="1" thickTop="1" x14ac:dyDescent="0.2">
      <c r="A525" s="139" t="s">
        <v>63</v>
      </c>
      <c r="B525" s="107">
        <v>21</v>
      </c>
      <c r="C525" s="195">
        <v>4</v>
      </c>
      <c r="D525" s="196" t="s">
        <v>432</v>
      </c>
      <c r="E525" s="195"/>
      <c r="F525" s="108">
        <f>SUM(F522:F524)</f>
        <v>2435504.11</v>
      </c>
      <c r="G525" s="108">
        <f t="shared" ref="G525:L525" si="36">SUM(G522:G524)</f>
        <v>1256720.78</v>
      </c>
      <c r="H525" s="108">
        <f t="shared" si="36"/>
        <v>1268391.8900000001</v>
      </c>
      <c r="I525" s="108">
        <f t="shared" si="36"/>
        <v>9082.93</v>
      </c>
      <c r="J525" s="108">
        <f t="shared" si="36"/>
        <v>6566.0700000000006</v>
      </c>
      <c r="K525" s="108">
        <f t="shared" si="36"/>
        <v>188.25</v>
      </c>
      <c r="L525" s="89">
        <f t="shared" si="36"/>
        <v>4976454.03</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131791.69</v>
      </c>
      <c r="G527" s="18">
        <v>73721.53</v>
      </c>
      <c r="H527" s="18">
        <v>112848.15</v>
      </c>
      <c r="I527" s="18">
        <v>5235.96</v>
      </c>
      <c r="J527" s="18">
        <v>2526.9899999999998</v>
      </c>
      <c r="K527" s="18"/>
      <c r="L527" s="88">
        <f>SUM(F527:K527)</f>
        <v>326124.32</v>
      </c>
      <c r="M527" s="8"/>
      <c r="N527" s="266"/>
    </row>
    <row r="528" spans="1:14" s="3" customFormat="1" ht="12.2" customHeight="1" x14ac:dyDescent="0.15">
      <c r="A528" s="22" t="s">
        <v>634</v>
      </c>
      <c r="B528" s="105">
        <v>21</v>
      </c>
      <c r="C528" s="115">
        <v>6</v>
      </c>
      <c r="D528" s="2" t="s">
        <v>432</v>
      </c>
      <c r="E528" s="115"/>
      <c r="F528" s="18">
        <v>131786.47</v>
      </c>
      <c r="G528" s="18">
        <v>73717.919999999998</v>
      </c>
      <c r="H528" s="18">
        <v>11373.17</v>
      </c>
      <c r="I528" s="18">
        <v>1079.6600000000001</v>
      </c>
      <c r="J528" s="18"/>
      <c r="K528" s="18"/>
      <c r="L528" s="88">
        <f>SUM(F528:K528)</f>
        <v>217957.22000000003</v>
      </c>
      <c r="M528" s="8"/>
      <c r="N528" s="266"/>
    </row>
    <row r="529" spans="1:14" s="3" customFormat="1" ht="12.2" customHeight="1" thickBot="1" x14ac:dyDescent="0.2">
      <c r="A529" s="22" t="s">
        <v>635</v>
      </c>
      <c r="B529" s="118">
        <v>21</v>
      </c>
      <c r="C529" s="118">
        <v>7</v>
      </c>
      <c r="D529" s="2" t="s">
        <v>432</v>
      </c>
      <c r="E529" s="118"/>
      <c r="F529" s="18">
        <v>131820.23000000001</v>
      </c>
      <c r="G529" s="18">
        <v>73736.289999999994</v>
      </c>
      <c r="H529" s="18">
        <v>11798.17</v>
      </c>
      <c r="I529" s="18">
        <v>499.68</v>
      </c>
      <c r="J529" s="18"/>
      <c r="K529" s="18"/>
      <c r="L529" s="88">
        <f>SUM(F529:K529)</f>
        <v>217854.37000000002</v>
      </c>
      <c r="M529" s="8"/>
      <c r="N529" s="266"/>
    </row>
    <row r="530" spans="1:14" s="3" customFormat="1" ht="12.2" customHeight="1" thickTop="1" x14ac:dyDescent="0.15">
      <c r="A530" s="139" t="s">
        <v>65</v>
      </c>
      <c r="B530" s="107">
        <v>21</v>
      </c>
      <c r="C530" s="107">
        <v>8</v>
      </c>
      <c r="D530" s="158" t="s">
        <v>432</v>
      </c>
      <c r="E530" s="107"/>
      <c r="F530" s="89">
        <f>SUM(F527:F529)</f>
        <v>395398.39</v>
      </c>
      <c r="G530" s="89">
        <f t="shared" ref="G530:L530" si="37">SUM(G527:G529)</f>
        <v>221175.74</v>
      </c>
      <c r="H530" s="89">
        <f t="shared" si="37"/>
        <v>136019.49</v>
      </c>
      <c r="I530" s="89">
        <f t="shared" si="37"/>
        <v>6815.3</v>
      </c>
      <c r="J530" s="89">
        <f t="shared" si="37"/>
        <v>2526.9899999999998</v>
      </c>
      <c r="K530" s="89">
        <f t="shared" si="37"/>
        <v>0</v>
      </c>
      <c r="L530" s="89">
        <f t="shared" si="37"/>
        <v>761935.91</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180938.89</v>
      </c>
      <c r="G532" s="18">
        <v>82757.789999999994</v>
      </c>
      <c r="H532" s="18">
        <v>10577.14</v>
      </c>
      <c r="I532" s="18">
        <v>1179.69</v>
      </c>
      <c r="J532" s="18">
        <v>388.23</v>
      </c>
      <c r="K532" s="18">
        <v>4321.09</v>
      </c>
      <c r="L532" s="88">
        <f>SUM(F532:K532)</f>
        <v>280162.83</v>
      </c>
      <c r="M532" s="8"/>
      <c r="N532" s="266"/>
    </row>
    <row r="533" spans="1:14" s="3" customFormat="1" ht="12.2" customHeight="1" x14ac:dyDescent="0.15">
      <c r="A533" s="22" t="s">
        <v>634</v>
      </c>
      <c r="B533" s="105">
        <v>21</v>
      </c>
      <c r="C533" s="105">
        <v>10</v>
      </c>
      <c r="D533" s="2" t="s">
        <v>432</v>
      </c>
      <c r="E533" s="105"/>
      <c r="F533" s="18">
        <v>84321.39</v>
      </c>
      <c r="G533" s="18">
        <v>38567.54</v>
      </c>
      <c r="H533" s="18">
        <v>4929.25</v>
      </c>
      <c r="I533" s="18">
        <v>549.77</v>
      </c>
      <c r="J533" s="18">
        <v>180.93</v>
      </c>
      <c r="K533" s="18">
        <v>2013.75</v>
      </c>
      <c r="L533" s="88">
        <f>SUM(F533:K533)</f>
        <v>130562.62999999999</v>
      </c>
      <c r="M533" s="8"/>
      <c r="N533" s="266"/>
    </row>
    <row r="534" spans="1:14" s="3" customFormat="1" ht="12.2" customHeight="1" thickBot="1" x14ac:dyDescent="0.2">
      <c r="A534" s="22" t="s">
        <v>635</v>
      </c>
      <c r="B534" s="105">
        <v>21</v>
      </c>
      <c r="C534" s="105">
        <v>11</v>
      </c>
      <c r="D534" s="2" t="s">
        <v>432</v>
      </c>
      <c r="E534" s="105"/>
      <c r="F534" s="18">
        <v>95244.6</v>
      </c>
      <c r="G534" s="18">
        <v>43563.68</v>
      </c>
      <c r="H534" s="18">
        <v>5567.8</v>
      </c>
      <c r="I534" s="18">
        <v>620.99</v>
      </c>
      <c r="J534" s="18">
        <v>204.37</v>
      </c>
      <c r="K534" s="18">
        <v>2274.62</v>
      </c>
      <c r="L534" s="88">
        <f>SUM(F534:K534)</f>
        <v>147476.05999999997</v>
      </c>
      <c r="M534" s="8"/>
      <c r="N534" s="266"/>
    </row>
    <row r="535" spans="1:14" s="3" customFormat="1" ht="12.2" customHeight="1" thickTop="1" x14ac:dyDescent="0.15">
      <c r="A535" s="139" t="s">
        <v>67</v>
      </c>
      <c r="B535" s="107">
        <v>21</v>
      </c>
      <c r="C535" s="107">
        <v>12</v>
      </c>
      <c r="D535" s="158" t="s">
        <v>432</v>
      </c>
      <c r="E535" s="107"/>
      <c r="F535" s="89">
        <f>SUM(F532:F534)</f>
        <v>360504.88</v>
      </c>
      <c r="G535" s="89">
        <f t="shared" ref="G535:L535" si="38">SUM(G532:G534)</f>
        <v>164889.00999999998</v>
      </c>
      <c r="H535" s="89">
        <f t="shared" si="38"/>
        <v>21074.19</v>
      </c>
      <c r="I535" s="89">
        <f t="shared" si="38"/>
        <v>2350.4499999999998</v>
      </c>
      <c r="J535" s="89">
        <f t="shared" si="38"/>
        <v>773.53000000000009</v>
      </c>
      <c r="K535" s="89">
        <f t="shared" si="38"/>
        <v>8609.4599999999991</v>
      </c>
      <c r="L535" s="89">
        <f t="shared" si="38"/>
        <v>558201.52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390.03</v>
      </c>
      <c r="I537" s="18"/>
      <c r="J537" s="18"/>
      <c r="K537" s="18"/>
      <c r="L537" s="88">
        <f>SUM(F537:K537)</f>
        <v>390.03</v>
      </c>
      <c r="M537" s="8"/>
      <c r="N537" s="266"/>
    </row>
    <row r="538" spans="1:14" s="3" customFormat="1" ht="12.2" customHeight="1" x14ac:dyDescent="0.15">
      <c r="A538" s="22" t="s">
        <v>634</v>
      </c>
      <c r="B538" s="105">
        <v>21</v>
      </c>
      <c r="C538" s="105">
        <v>14</v>
      </c>
      <c r="D538" s="2" t="s">
        <v>432</v>
      </c>
      <c r="E538" s="105"/>
      <c r="F538" s="18"/>
      <c r="G538" s="18"/>
      <c r="H538" s="18">
        <v>181.76</v>
      </c>
      <c r="I538" s="18"/>
      <c r="J538" s="18"/>
      <c r="K538" s="18"/>
      <c r="L538" s="88">
        <f>SUM(F538:K538)</f>
        <v>181.76</v>
      </c>
      <c r="M538" s="8"/>
      <c r="N538" s="266"/>
    </row>
    <row r="539" spans="1:14" s="3" customFormat="1" ht="12.2" customHeight="1" thickBot="1" x14ac:dyDescent="0.2">
      <c r="A539" s="22" t="s">
        <v>635</v>
      </c>
      <c r="B539" s="105">
        <v>21</v>
      </c>
      <c r="C539" s="105">
        <v>15</v>
      </c>
      <c r="D539" s="2" t="s">
        <v>432</v>
      </c>
      <c r="E539" s="105"/>
      <c r="F539" s="18"/>
      <c r="G539" s="18"/>
      <c r="H539" s="18">
        <v>205.31</v>
      </c>
      <c r="I539" s="18"/>
      <c r="J539" s="18"/>
      <c r="K539" s="18"/>
      <c r="L539" s="88">
        <f>SUM(F539:K539)</f>
        <v>205.31</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777.09999999999991</v>
      </c>
      <c r="I540" s="89">
        <f t="shared" si="39"/>
        <v>0</v>
      </c>
      <c r="J540" s="89">
        <f t="shared" si="39"/>
        <v>0</v>
      </c>
      <c r="K540" s="89">
        <f t="shared" si="39"/>
        <v>0</v>
      </c>
      <c r="L540" s="89">
        <f t="shared" si="39"/>
        <v>777.09999999999991</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178369.4</v>
      </c>
      <c r="I542" s="18"/>
      <c r="J542" s="18"/>
      <c r="K542" s="18"/>
      <c r="L542" s="88">
        <f>SUM(F542:K542)</f>
        <v>178369.4</v>
      </c>
      <c r="M542" s="8"/>
      <c r="N542" s="266"/>
    </row>
    <row r="543" spans="1:14" s="3" customFormat="1" ht="12.2" customHeight="1" x14ac:dyDescent="0.15">
      <c r="A543" s="22" t="s">
        <v>634</v>
      </c>
      <c r="B543" s="105">
        <v>21</v>
      </c>
      <c r="C543" s="105">
        <v>18</v>
      </c>
      <c r="D543" s="2" t="s">
        <v>432</v>
      </c>
      <c r="E543" s="105"/>
      <c r="F543" s="18"/>
      <c r="G543" s="18"/>
      <c r="H543" s="18">
        <v>86239.57</v>
      </c>
      <c r="I543" s="18"/>
      <c r="J543" s="18"/>
      <c r="K543" s="18"/>
      <c r="L543" s="88">
        <f>SUM(F543:K543)</f>
        <v>86239.57</v>
      </c>
      <c r="M543" s="8"/>
      <c r="N543" s="266"/>
    </row>
    <row r="544" spans="1:14" s="3" customFormat="1" ht="12.2" customHeight="1" thickBot="1" x14ac:dyDescent="0.2">
      <c r="A544" s="22" t="s">
        <v>635</v>
      </c>
      <c r="B544" s="105">
        <v>21</v>
      </c>
      <c r="C544" s="105">
        <v>19</v>
      </c>
      <c r="D544" s="2" t="s">
        <v>432</v>
      </c>
      <c r="E544" s="105"/>
      <c r="F544" s="18"/>
      <c r="G544" s="18"/>
      <c r="H544" s="18">
        <v>153172.03</v>
      </c>
      <c r="I544" s="18"/>
      <c r="J544" s="18"/>
      <c r="K544" s="18"/>
      <c r="L544" s="88">
        <f>SUM(F544:K544)</f>
        <v>153172.03</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417781</v>
      </c>
      <c r="I545" s="193">
        <f t="shared" si="40"/>
        <v>0</v>
      </c>
      <c r="J545" s="193">
        <f t="shared" si="40"/>
        <v>0</v>
      </c>
      <c r="K545" s="193">
        <f t="shared" si="40"/>
        <v>0</v>
      </c>
      <c r="L545" s="193">
        <f t="shared" si="40"/>
        <v>417781</v>
      </c>
      <c r="M545" s="8"/>
      <c r="N545" s="266"/>
    </row>
    <row r="546" spans="1:14" s="3" customFormat="1" ht="12.2" customHeight="1" thickTop="1" x14ac:dyDescent="0.15">
      <c r="A546" s="98" t="s">
        <v>72</v>
      </c>
      <c r="B546" s="107">
        <v>21</v>
      </c>
      <c r="C546" s="107">
        <v>21</v>
      </c>
      <c r="D546" s="158" t="s">
        <v>432</v>
      </c>
      <c r="E546" s="107"/>
      <c r="F546" s="89">
        <f>F525+F530+F535+F540+F545</f>
        <v>3191407.38</v>
      </c>
      <c r="G546" s="89">
        <f t="shared" ref="G546:L546" si="41">G525+G530+G535+G540+G545</f>
        <v>1642785.53</v>
      </c>
      <c r="H546" s="89">
        <f t="shared" si="41"/>
        <v>1844043.6700000002</v>
      </c>
      <c r="I546" s="89">
        <f t="shared" si="41"/>
        <v>18248.68</v>
      </c>
      <c r="J546" s="89">
        <f t="shared" si="41"/>
        <v>9866.590000000002</v>
      </c>
      <c r="K546" s="89">
        <f t="shared" si="41"/>
        <v>8797.7099999999991</v>
      </c>
      <c r="L546" s="89">
        <f t="shared" si="41"/>
        <v>6715149.5600000005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2175296.2200000002</v>
      </c>
      <c r="G550" s="87">
        <f>L527</f>
        <v>326124.32</v>
      </c>
      <c r="H550" s="87">
        <f>L532</f>
        <v>280162.83</v>
      </c>
      <c r="I550" s="87">
        <f>L537</f>
        <v>390.03</v>
      </c>
      <c r="J550" s="87">
        <f>L542</f>
        <v>178369.4</v>
      </c>
      <c r="K550" s="87">
        <f>SUM(F550:J550)</f>
        <v>2960342.8</v>
      </c>
      <c r="L550" s="24" t="s">
        <v>288</v>
      </c>
      <c r="M550" s="8"/>
      <c r="N550" s="266"/>
    </row>
    <row r="551" spans="1:14" s="3" customFormat="1" ht="12.2" customHeight="1" x14ac:dyDescent="0.15">
      <c r="A551" s="22" t="s">
        <v>634</v>
      </c>
      <c r="B551" s="75">
        <v>21</v>
      </c>
      <c r="C551" s="75">
        <v>23</v>
      </c>
      <c r="D551" s="2" t="s">
        <v>432</v>
      </c>
      <c r="E551" s="75"/>
      <c r="F551" s="87">
        <f>L523</f>
        <v>771749.57</v>
      </c>
      <c r="G551" s="87">
        <f>L528</f>
        <v>217957.22000000003</v>
      </c>
      <c r="H551" s="87">
        <f>L533</f>
        <v>130562.62999999999</v>
      </c>
      <c r="I551" s="87">
        <f>L538</f>
        <v>181.76</v>
      </c>
      <c r="J551" s="87">
        <f>L543</f>
        <v>86239.57</v>
      </c>
      <c r="K551" s="87">
        <f>SUM(F551:J551)</f>
        <v>1206690.75</v>
      </c>
      <c r="L551" s="24" t="s">
        <v>288</v>
      </c>
      <c r="M551" s="8"/>
      <c r="N551" s="266"/>
    </row>
    <row r="552" spans="1:14" s="3" customFormat="1" ht="12.2" customHeight="1" thickBot="1" x14ac:dyDescent="0.2">
      <c r="A552" s="22" t="s">
        <v>635</v>
      </c>
      <c r="B552" s="75">
        <v>21</v>
      </c>
      <c r="C552" s="75">
        <v>24</v>
      </c>
      <c r="D552" s="2" t="s">
        <v>432</v>
      </c>
      <c r="E552" s="75"/>
      <c r="F552" s="87">
        <f>L524</f>
        <v>2029408.2400000002</v>
      </c>
      <c r="G552" s="87">
        <f>L529</f>
        <v>217854.37000000002</v>
      </c>
      <c r="H552" s="87">
        <f>L534</f>
        <v>147476.05999999997</v>
      </c>
      <c r="I552" s="87">
        <f>L539</f>
        <v>205.31</v>
      </c>
      <c r="J552" s="87">
        <f>L544</f>
        <v>153172.03</v>
      </c>
      <c r="K552" s="87">
        <f>SUM(F552:J552)</f>
        <v>2548116.0100000002</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4976454.03</v>
      </c>
      <c r="G553" s="89">
        <f t="shared" si="42"/>
        <v>761935.91</v>
      </c>
      <c r="H553" s="89">
        <f t="shared" si="42"/>
        <v>558201.52</v>
      </c>
      <c r="I553" s="89">
        <f t="shared" si="42"/>
        <v>777.09999999999991</v>
      </c>
      <c r="J553" s="89">
        <f t="shared" si="42"/>
        <v>417781</v>
      </c>
      <c r="K553" s="89">
        <f t="shared" si="42"/>
        <v>6715149.5600000005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35665.769999999997</v>
      </c>
      <c r="G563" s="18">
        <v>8853.74</v>
      </c>
      <c r="H563" s="18"/>
      <c r="I563" s="18">
        <v>36.130000000000003</v>
      </c>
      <c r="J563" s="18"/>
      <c r="K563" s="18"/>
      <c r="L563" s="88">
        <f>SUM(F563:K563)</f>
        <v>44555.639999999992</v>
      </c>
      <c r="M563" s="8"/>
      <c r="N563" s="266"/>
    </row>
    <row r="564" spans="1:14" s="3" customFormat="1" ht="12.2" customHeight="1" x14ac:dyDescent="0.15">
      <c r="A564" s="22" t="s">
        <v>634</v>
      </c>
      <c r="B564" s="105">
        <v>22</v>
      </c>
      <c r="C564" s="115">
        <v>6</v>
      </c>
      <c r="D564" s="2" t="s">
        <v>432</v>
      </c>
      <c r="E564" s="115"/>
      <c r="F564" s="18">
        <v>16621.28</v>
      </c>
      <c r="G564" s="18">
        <v>4126.1000000000004</v>
      </c>
      <c r="H564" s="18"/>
      <c r="I564" s="18">
        <v>16.84</v>
      </c>
      <c r="J564" s="18"/>
      <c r="K564" s="18"/>
      <c r="L564" s="88">
        <f>SUM(F564:K564)</f>
        <v>20764.219999999998</v>
      </c>
      <c r="M564" s="8"/>
      <c r="N564" s="266"/>
    </row>
    <row r="565" spans="1:14" s="3" customFormat="1" ht="12.2" customHeight="1" thickBot="1" x14ac:dyDescent="0.2">
      <c r="A565" s="22" t="s">
        <v>635</v>
      </c>
      <c r="B565" s="105">
        <v>22</v>
      </c>
      <c r="C565" s="118">
        <v>7</v>
      </c>
      <c r="D565" s="2" t="s">
        <v>432</v>
      </c>
      <c r="E565" s="118"/>
      <c r="F565" s="18">
        <v>18774.45</v>
      </c>
      <c r="G565" s="18">
        <v>4660.6000000000004</v>
      </c>
      <c r="H565" s="18"/>
      <c r="I565" s="18">
        <v>19.02</v>
      </c>
      <c r="J565" s="18"/>
      <c r="K565" s="18"/>
      <c r="L565" s="88">
        <f>SUM(F565:K565)</f>
        <v>23454.070000000003</v>
      </c>
      <c r="M565" s="8"/>
      <c r="N565" s="266"/>
    </row>
    <row r="566" spans="1:14" s="3" customFormat="1" ht="12.2" customHeight="1" thickTop="1" x14ac:dyDescent="0.15">
      <c r="A566" s="139" t="s">
        <v>65</v>
      </c>
      <c r="B566" s="107">
        <v>22</v>
      </c>
      <c r="C566" s="107">
        <v>8</v>
      </c>
      <c r="D566" s="196" t="s">
        <v>432</v>
      </c>
      <c r="E566" s="107"/>
      <c r="F566" s="89">
        <f t="shared" ref="F566:L566" si="44">SUM(F563:F565)</f>
        <v>71061.5</v>
      </c>
      <c r="G566" s="89">
        <f t="shared" si="44"/>
        <v>17640.440000000002</v>
      </c>
      <c r="H566" s="89">
        <f t="shared" si="44"/>
        <v>0</v>
      </c>
      <c r="I566" s="89">
        <f t="shared" si="44"/>
        <v>71.989999999999995</v>
      </c>
      <c r="J566" s="89">
        <f t="shared" si="44"/>
        <v>0</v>
      </c>
      <c r="K566" s="89">
        <f t="shared" si="44"/>
        <v>0</v>
      </c>
      <c r="L566" s="89">
        <f t="shared" si="44"/>
        <v>88773.93</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v>1018.86</v>
      </c>
      <c r="G568" s="18">
        <v>168.62</v>
      </c>
      <c r="H568" s="18"/>
      <c r="I568" s="18"/>
      <c r="J568" s="18"/>
      <c r="K568" s="18">
        <v>815.58</v>
      </c>
      <c r="L568" s="88">
        <f>SUM(F568:K568)</f>
        <v>2003.06</v>
      </c>
      <c r="M568" s="8"/>
      <c r="N568" s="266"/>
    </row>
    <row r="569" spans="1:14" s="3" customFormat="1" ht="12.2" customHeight="1" x14ac:dyDescent="0.15">
      <c r="A569" s="22" t="s">
        <v>634</v>
      </c>
      <c r="B569" s="105">
        <v>22</v>
      </c>
      <c r="C569" s="105">
        <v>10</v>
      </c>
      <c r="D569" s="2" t="s">
        <v>432</v>
      </c>
      <c r="E569" s="105"/>
      <c r="F569" s="18">
        <v>474.82</v>
      </c>
      <c r="G569" s="18">
        <v>78.58</v>
      </c>
      <c r="H569" s="18"/>
      <c r="I569" s="18"/>
      <c r="J569" s="18"/>
      <c r="K569" s="18">
        <v>380.09</v>
      </c>
      <c r="L569" s="88">
        <f>SUM(F569:K569)</f>
        <v>933.49</v>
      </c>
      <c r="M569" s="8"/>
      <c r="N569" s="266"/>
    </row>
    <row r="570" spans="1:14" s="3" customFormat="1" ht="12.2" customHeight="1" thickBot="1" x14ac:dyDescent="0.2">
      <c r="A570" s="22" t="s">
        <v>635</v>
      </c>
      <c r="B570" s="105">
        <v>22</v>
      </c>
      <c r="C570" s="105">
        <v>11</v>
      </c>
      <c r="D570" s="2" t="s">
        <v>432</v>
      </c>
      <c r="E570" s="105"/>
      <c r="F570" s="18">
        <v>536.33000000000004</v>
      </c>
      <c r="G570" s="18">
        <v>88.76</v>
      </c>
      <c r="H570" s="18"/>
      <c r="I570" s="18"/>
      <c r="J570" s="18"/>
      <c r="K570" s="18">
        <v>429.33</v>
      </c>
      <c r="L570" s="88">
        <f>SUM(F570:K570)</f>
        <v>1054.42</v>
      </c>
      <c r="M570" s="8"/>
      <c r="N570" s="266"/>
    </row>
    <row r="571" spans="1:14" s="3" customFormat="1" ht="12.2" customHeight="1" thickTop="1" thickBot="1" x14ac:dyDescent="0.2">
      <c r="A571" s="130" t="s">
        <v>67</v>
      </c>
      <c r="B571" s="191">
        <v>22</v>
      </c>
      <c r="C571" s="191">
        <v>12</v>
      </c>
      <c r="D571" s="197" t="s">
        <v>432</v>
      </c>
      <c r="E571" s="191"/>
      <c r="F571" s="193">
        <f>SUM(F568:F570)</f>
        <v>2030.0100000000002</v>
      </c>
      <c r="G571" s="193">
        <f t="shared" ref="G571:L571" si="45">SUM(G568:G570)</f>
        <v>335.96</v>
      </c>
      <c r="H571" s="193">
        <f t="shared" si="45"/>
        <v>0</v>
      </c>
      <c r="I571" s="193">
        <f t="shared" si="45"/>
        <v>0</v>
      </c>
      <c r="J571" s="193">
        <f t="shared" si="45"/>
        <v>0</v>
      </c>
      <c r="K571" s="193">
        <f t="shared" si="45"/>
        <v>1625</v>
      </c>
      <c r="L571" s="193">
        <f t="shared" si="45"/>
        <v>3990.9700000000003</v>
      </c>
      <c r="M571" s="8"/>
      <c r="N571" s="266"/>
    </row>
    <row r="572" spans="1:14" s="3" customFormat="1" ht="12.2" customHeight="1" thickTop="1" x14ac:dyDescent="0.15">
      <c r="A572" s="98" t="s">
        <v>88</v>
      </c>
      <c r="B572" s="107">
        <v>22</v>
      </c>
      <c r="C572" s="107">
        <v>13</v>
      </c>
      <c r="D572" s="158" t="s">
        <v>432</v>
      </c>
      <c r="E572" s="107"/>
      <c r="F572" s="89">
        <f>F561+F566+F571</f>
        <v>73091.509999999995</v>
      </c>
      <c r="G572" s="89">
        <f t="shared" ref="G572:L572" si="46">G561+G566+G571</f>
        <v>17976.400000000001</v>
      </c>
      <c r="H572" s="89">
        <f t="shared" si="46"/>
        <v>0</v>
      </c>
      <c r="I572" s="89">
        <f t="shared" si="46"/>
        <v>71.989999999999995</v>
      </c>
      <c r="J572" s="89">
        <f t="shared" si="46"/>
        <v>0</v>
      </c>
      <c r="K572" s="89">
        <f t="shared" si="46"/>
        <v>1625</v>
      </c>
      <c r="L572" s="89">
        <f t="shared" si="46"/>
        <v>92764.9</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v>18525</v>
      </c>
      <c r="I579" s="87">
        <f t="shared" si="47"/>
        <v>18525</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v>202877.5</v>
      </c>
      <c r="G581" s="18">
        <v>98613.119999999995</v>
      </c>
      <c r="H581" s="18">
        <v>113546.89</v>
      </c>
      <c r="I581" s="87">
        <f t="shared" si="47"/>
        <v>415037.51</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v>622578.16</v>
      </c>
      <c r="I583" s="87">
        <f t="shared" si="47"/>
        <v>622578.16</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v>222117.97</v>
      </c>
      <c r="I584" s="87">
        <f t="shared" si="47"/>
        <v>222117.97</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23769.7</v>
      </c>
      <c r="I585" s="87">
        <f t="shared" si="47"/>
        <v>23769.7</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346836.75</v>
      </c>
      <c r="I592" s="18">
        <v>161636.01</v>
      </c>
      <c r="J592" s="18">
        <v>182574.75</v>
      </c>
      <c r="K592" s="104">
        <f t="shared" ref="K592:K598" si="48">SUM(H592:J592)</f>
        <v>691047.51</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178369.4</v>
      </c>
      <c r="I593" s="18">
        <v>86239.57</v>
      </c>
      <c r="J593" s="18">
        <f>152804.03+368</f>
        <v>153172.03</v>
      </c>
      <c r="K593" s="104">
        <f t="shared" si="48"/>
        <v>417781</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111333</v>
      </c>
      <c r="K594" s="104">
        <f t="shared" si="48"/>
        <v>111333</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5359</v>
      </c>
      <c r="J595" s="18">
        <v>31938.5</v>
      </c>
      <c r="K595" s="104">
        <f t="shared" si="48"/>
        <v>37297.5</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f>1897.5+1713.5</f>
        <v>3611</v>
      </c>
      <c r="I596" s="18">
        <v>3446.5</v>
      </c>
      <c r="J596" s="18">
        <v>2203.85</v>
      </c>
      <c r="K596" s="104">
        <f t="shared" si="48"/>
        <v>9261.35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528817.15</v>
      </c>
      <c r="I599" s="108">
        <f>SUM(I592:I598)</f>
        <v>256681.08000000002</v>
      </c>
      <c r="J599" s="108">
        <f>SUM(J592:J598)</f>
        <v>481222.13</v>
      </c>
      <c r="K599" s="108">
        <f>SUM(K592:K598)</f>
        <v>1266720.3600000001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82613.95</v>
      </c>
      <c r="I605" s="18">
        <v>61337.35</v>
      </c>
      <c r="J605" s="18">
        <v>18397.310000000001</v>
      </c>
      <c r="K605" s="104">
        <f>SUM(H605:J605)</f>
        <v>162348.60999999999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82613.95</v>
      </c>
      <c r="I606" s="108">
        <f>SUM(I603:I605)</f>
        <v>61337.35</v>
      </c>
      <c r="J606" s="108">
        <f>SUM(J603:J605)</f>
        <v>18397.310000000001</v>
      </c>
      <c r="K606" s="108">
        <f>SUM(K603:K605)</f>
        <v>162348.60999999999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69550.8</v>
      </c>
      <c r="G612" s="18">
        <v>14404.78</v>
      </c>
      <c r="H612" s="18">
        <v>738.67</v>
      </c>
      <c r="I612" s="18">
        <v>445.55</v>
      </c>
      <c r="J612" s="18"/>
      <c r="K612" s="18"/>
      <c r="L612" s="88">
        <f>SUM(F612:K612)</f>
        <v>85139.8</v>
      </c>
      <c r="M612" s="8"/>
      <c r="N612" s="266"/>
    </row>
    <row r="613" spans="1:14" s="3" customFormat="1" ht="12.2" customHeight="1" x14ac:dyDescent="0.15">
      <c r="A613" s="22" t="s">
        <v>634</v>
      </c>
      <c r="B613" s="75">
        <v>23</v>
      </c>
      <c r="C613" s="75">
        <v>14</v>
      </c>
      <c r="D613" s="2" t="s">
        <v>432</v>
      </c>
      <c r="E613" s="75"/>
      <c r="F613" s="18">
        <v>17829.16</v>
      </c>
      <c r="G613" s="18">
        <v>2920.39</v>
      </c>
      <c r="H613" s="18">
        <v>344.24</v>
      </c>
      <c r="I613" s="18"/>
      <c r="J613" s="18"/>
      <c r="K613" s="18"/>
      <c r="L613" s="88">
        <f>SUM(F613:K613)</f>
        <v>21093.79</v>
      </c>
      <c r="M613" s="8"/>
      <c r="N613" s="266"/>
    </row>
    <row r="614" spans="1:14" s="3" customFormat="1" ht="12.2" customHeight="1" thickBot="1" x14ac:dyDescent="0.2">
      <c r="A614" s="22" t="s">
        <v>645</v>
      </c>
      <c r="B614" s="75">
        <v>23</v>
      </c>
      <c r="C614" s="75">
        <v>15</v>
      </c>
      <c r="D614" s="2" t="s">
        <v>432</v>
      </c>
      <c r="E614" s="75"/>
      <c r="F614" s="18">
        <v>7754.18</v>
      </c>
      <c r="G614" s="18">
        <v>1793.46</v>
      </c>
      <c r="H614" s="18">
        <v>388.83</v>
      </c>
      <c r="I614" s="18">
        <v>3</v>
      </c>
      <c r="J614" s="18"/>
      <c r="K614" s="18"/>
      <c r="L614" s="88">
        <f>SUM(F614:K614)</f>
        <v>9939.4699999999993</v>
      </c>
      <c r="M614" s="8"/>
      <c r="N614" s="266"/>
    </row>
    <row r="615" spans="1:14" s="3" customFormat="1" ht="12.2" customHeight="1" thickTop="1" x14ac:dyDescent="0.15">
      <c r="A615" s="98" t="s">
        <v>340</v>
      </c>
      <c r="B615" s="107">
        <v>23</v>
      </c>
      <c r="C615" s="107">
        <v>16</v>
      </c>
      <c r="D615" s="39" t="s">
        <v>432</v>
      </c>
      <c r="E615" s="107"/>
      <c r="F615" s="108">
        <f t="shared" ref="F615:L615" si="49">SUM(F612:F614)</f>
        <v>95134.140000000014</v>
      </c>
      <c r="G615" s="108">
        <f t="shared" si="49"/>
        <v>19118.63</v>
      </c>
      <c r="H615" s="108">
        <f t="shared" si="49"/>
        <v>1471.7399999999998</v>
      </c>
      <c r="I615" s="108">
        <f t="shared" si="49"/>
        <v>448.55</v>
      </c>
      <c r="J615" s="108">
        <f t="shared" si="49"/>
        <v>0</v>
      </c>
      <c r="K615" s="108">
        <f t="shared" si="49"/>
        <v>0</v>
      </c>
      <c r="L615" s="89">
        <f t="shared" si="49"/>
        <v>116173.06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1982405.8299999998</v>
      </c>
      <c r="H618" s="109">
        <f>SUM(F52)</f>
        <v>1982405.83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107715.63</v>
      </c>
      <c r="H619" s="109">
        <f>SUM(G52)</f>
        <v>107715.63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243304.27</v>
      </c>
      <c r="H620" s="109">
        <f>SUM(H52)</f>
        <v>243304.27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2882230.93</v>
      </c>
      <c r="H622" s="109">
        <f>SUM(J52)</f>
        <v>2882230.93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1736474.25</v>
      </c>
      <c r="H623" s="109">
        <f>F477</f>
        <v>1736474.2500000037</v>
      </c>
      <c r="I623" s="121" t="s">
        <v>101</v>
      </c>
      <c r="J623" s="109">
        <f t="shared" ref="J623:J656" si="50">G623-H623</f>
        <v>-3.7252902984619141E-9</v>
      </c>
      <c r="K623" s="109"/>
      <c r="L623" s="109"/>
      <c r="M623" s="8"/>
    </row>
    <row r="624" spans="1:14" s="3" customFormat="1" ht="12.2" customHeight="1" x14ac:dyDescent="0.15">
      <c r="A624" s="97"/>
      <c r="B624" s="105"/>
      <c r="C624" s="119"/>
      <c r="D624" s="119"/>
      <c r="E624" s="119"/>
      <c r="F624" s="119" t="s">
        <v>866</v>
      </c>
      <c r="G624" s="109">
        <f>G51</f>
        <v>18759.3</v>
      </c>
      <c r="H624" s="109">
        <f>G477</f>
        <v>18759.29999999993</v>
      </c>
      <c r="I624" s="121" t="s">
        <v>102</v>
      </c>
      <c r="J624" s="109">
        <f t="shared" si="50"/>
        <v>6.9121597334742546E-11</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2882230.93</v>
      </c>
      <c r="H627" s="109">
        <f>J477</f>
        <v>2882230.93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23822033.349999998</v>
      </c>
      <c r="H628" s="104">
        <f>SUM(F469)</f>
        <v>23822033.350000001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519468.45999999996</v>
      </c>
      <c r="H629" s="104">
        <f>SUM(G469)</f>
        <v>519468.46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840832.52999999991</v>
      </c>
      <c r="H630" s="104">
        <f>SUM(H469)</f>
        <v>840832.53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311916.59000000003</v>
      </c>
      <c r="H632" s="104">
        <f>SUM(J469)</f>
        <v>311916.59000000003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23390745.969999999</v>
      </c>
      <c r="H633" s="104">
        <f>SUM(F473)</f>
        <v>23390745.969999999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840832.52999999991</v>
      </c>
      <c r="H634" s="104">
        <f>SUM(H473)</f>
        <v>840832.53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1373.1</v>
      </c>
      <c r="H635" s="104">
        <f>I370</f>
        <v>1373.1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526309.78999999992</v>
      </c>
      <c r="H636" s="104">
        <f>SUM(G473)</f>
        <v>526309.79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311916.58999999997</v>
      </c>
      <c r="H638" s="164">
        <f>SUM(J469)</f>
        <v>311916.59000000003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84598.010000000009</v>
      </c>
      <c r="H639" s="164">
        <f>SUM(J473)</f>
        <v>84598.01</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190070.3</v>
      </c>
      <c r="H640" s="104">
        <f>SUM(F462)</f>
        <v>190070.3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1579587.28</v>
      </c>
      <c r="H641" s="104">
        <f>SUM(G462)</f>
        <v>1579587.28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1112573.3500000001</v>
      </c>
      <c r="H642" s="104">
        <f>SUM(H462)</f>
        <v>1112573.3500000001</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2882230.93</v>
      </c>
      <c r="H643" s="104">
        <f>SUM(I462)</f>
        <v>2882230.93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311916.59000000003</v>
      </c>
      <c r="H645" s="104">
        <f>H409</f>
        <v>311916.58999999997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311916.59000000003</v>
      </c>
      <c r="H647" s="104">
        <f>L409</f>
        <v>311916.58999999997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1266720.3600000001</v>
      </c>
      <c r="H648" s="104">
        <f>L209+L227+L245</f>
        <v>1266720.3599999999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162348.60999999999</v>
      </c>
      <c r="H649" s="104">
        <f>(J258+J339)-(J256+J337)</f>
        <v>162348.60999999999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528817.15</v>
      </c>
      <c r="H650" s="104">
        <f>H599</f>
        <v>528817.15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256681.08000000002</v>
      </c>
      <c r="H651" s="104">
        <f>I599</f>
        <v>256681.08000000002</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481222.13</v>
      </c>
      <c r="H652" s="104">
        <f>J599</f>
        <v>481222.13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11000</v>
      </c>
      <c r="H653" s="104">
        <f>K264+K346</f>
        <v>11000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11669900.75</v>
      </c>
      <c r="G661" s="19">
        <f>(L230+L310+L360)</f>
        <v>4934863.05</v>
      </c>
      <c r="H661" s="19">
        <f>(L248+L329+L361)</f>
        <v>6999244.6599999992</v>
      </c>
      <c r="I661" s="19">
        <f>SUM(F661:H661)</f>
        <v>23604008.460000001</v>
      </c>
      <c r="J661" s="13"/>
      <c r="K661" s="13"/>
      <c r="L661" s="13"/>
      <c r="M661" s="9"/>
    </row>
    <row r="662" spans="1:13" s="3" customFormat="1" ht="12.2" customHeight="1" x14ac:dyDescent="0.2">
      <c r="A662" s="1" t="s">
        <v>127</v>
      </c>
      <c r="F662" s="19">
        <f>(L359/IF(SUM(L359:L361)=0,1,SUM(L359:L361))*(SUM(G97:G110)))</f>
        <v>90239.980973011538</v>
      </c>
      <c r="G662" s="19">
        <f>(L360/IF(SUM(L359:L361)=0,1,SUM(L359:L361))*(SUM(G97:G110)))</f>
        <v>42054.455187652515</v>
      </c>
      <c r="H662" s="19">
        <f>(L361/IF(SUM(L359:L361)=0,1,SUM(L359:L361))*(SUM(G97:G110)))</f>
        <v>47502.293839335958</v>
      </c>
      <c r="I662" s="19">
        <f>SUM(F662:H662)</f>
        <v>179796.73</v>
      </c>
      <c r="J662"/>
      <c r="K662" s="13"/>
      <c r="L662" s="13"/>
      <c r="M662" s="8"/>
    </row>
    <row r="663" spans="1:13" s="3" customFormat="1" ht="12.2" customHeight="1" x14ac:dyDescent="0.2">
      <c r="A663" s="1" t="s">
        <v>128</v>
      </c>
      <c r="F663" s="19">
        <f>(L209+L288)-(J209+J288)</f>
        <v>528817.15</v>
      </c>
      <c r="G663" s="19">
        <f>(L227+L307)-(J227+J307)</f>
        <v>256681.08000000002</v>
      </c>
      <c r="H663" s="19">
        <f>(L245+L326)-(J245+J326)</f>
        <v>481222.13</v>
      </c>
      <c r="I663" s="19">
        <f>SUM(F663:H663)</f>
        <v>1266720.3599999999</v>
      </c>
      <c r="J663"/>
      <c r="K663" s="13"/>
      <c r="L663" s="13"/>
      <c r="M663" s="9"/>
    </row>
    <row r="664" spans="1:13" s="3" customFormat="1" ht="12.2" customHeight="1" x14ac:dyDescent="0.15">
      <c r="A664" s="198" t="s">
        <v>129</v>
      </c>
      <c r="B664" s="169"/>
      <c r="C664" s="169"/>
      <c r="D664" s="169"/>
      <c r="E664" s="169"/>
      <c r="F664" s="199">
        <f>SUM(F576:F588)+SUM(H603:H605)+SUM(L612)</f>
        <v>370631.25</v>
      </c>
      <c r="G664" s="199">
        <f>SUM(G576:G588)+SUM(I603:I605)+L613</f>
        <v>181044.26</v>
      </c>
      <c r="H664" s="199">
        <f>SUM(H576:H588)+SUM(J603:J605)+L614</f>
        <v>1028874.5</v>
      </c>
      <c r="I664" s="19">
        <f>SUM(F664:H664)</f>
        <v>1580550.01</v>
      </c>
      <c r="J664" s="13"/>
      <c r="K664" s="13"/>
      <c r="L664" s="13"/>
      <c r="M664" s="9"/>
    </row>
    <row r="665" spans="1:13" s="3" customFormat="1" ht="12.2" customHeight="1" x14ac:dyDescent="0.15">
      <c r="A665" s="1" t="s">
        <v>130</v>
      </c>
      <c r="F665" s="19">
        <f>F661-SUM(F662:F664)</f>
        <v>10680212.369026989</v>
      </c>
      <c r="G665" s="19">
        <f>G661-SUM(G662:G664)</f>
        <v>4455083.2548123477</v>
      </c>
      <c r="H665" s="19">
        <f>H661-SUM(H662:H664)</f>
        <v>5441645.7361606639</v>
      </c>
      <c r="I665" s="19">
        <f>I661-SUM(I662:I664)</f>
        <v>20576941.359999999</v>
      </c>
      <c r="J665" s="13"/>
      <c r="K665" s="13"/>
      <c r="L665" s="13"/>
      <c r="M665" s="8"/>
    </row>
    <row r="666" spans="1:13" s="3" customFormat="1" ht="12.2" customHeight="1" x14ac:dyDescent="0.2">
      <c r="A666" s="1" t="s">
        <v>131</v>
      </c>
      <c r="F666" s="246">
        <f>38.53+115.11+537.36</f>
        <v>691</v>
      </c>
      <c r="G666" s="247">
        <v>322.05</v>
      </c>
      <c r="H666" s="247">
        <v>363.81</v>
      </c>
      <c r="I666" s="19">
        <f>SUM(F666:H666)</f>
        <v>1376.86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15456.17</v>
      </c>
      <c r="G668" s="19">
        <f>ROUND(G665/G666,2)</f>
        <v>13833.51</v>
      </c>
      <c r="H668" s="19">
        <f>ROUND(H665/H666,2)</f>
        <v>14957.38</v>
      </c>
      <c r="I668" s="19">
        <f>ROUND(I665/I666,2)</f>
        <v>14944.83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-2.39</v>
      </c>
      <c r="I671" s="19">
        <f>SUM(F671:H671)</f>
        <v>-2.39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15456.17</v>
      </c>
      <c r="G673" s="19">
        <f>ROUND((G665+G670)/(G666+G671),2)</f>
        <v>13833.51</v>
      </c>
      <c r="H673" s="19">
        <f>ROUND((H665+H670)/(H666+H671),2)</f>
        <v>15056.29</v>
      </c>
      <c r="I673" s="19">
        <f>ROUND((I665+I670)/(I666+I671),2)</f>
        <v>14970.82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F14" sqref="F14"/>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Jaffrey-Rindge Cooperative School District</v>
      </c>
      <c r="C5" s="344"/>
      <c r="D5" s="344"/>
      <c r="E5" s="344"/>
      <c r="F5" s="344"/>
    </row>
    <row r="8" spans="1:9" ht="18" x14ac:dyDescent="0.25">
      <c r="A8" s="323" t="s">
        <v>1591</v>
      </c>
      <c r="F8" s="330" t="s">
        <v>1609</v>
      </c>
    </row>
    <row r="9" spans="1:9" ht="15" x14ac:dyDescent="0.2">
      <c r="A9" s="321" t="s">
        <v>1592</v>
      </c>
      <c r="B9" s="324">
        <f>'DOE25'!G97</f>
        <v>179796.73</v>
      </c>
      <c r="F9" s="321" t="s">
        <v>1605</v>
      </c>
    </row>
    <row r="10" spans="1:9" ht="15" x14ac:dyDescent="0.2">
      <c r="A10" s="321" t="s">
        <v>1593</v>
      </c>
      <c r="B10" s="324">
        <f>'DOE25'!G112-'DOE25'!G97</f>
        <v>0</v>
      </c>
      <c r="F10" s="321" t="s">
        <v>1606</v>
      </c>
    </row>
    <row r="11" spans="1:9" ht="15" x14ac:dyDescent="0.2">
      <c r="A11" s="321" t="s">
        <v>1594</v>
      </c>
      <c r="B11" s="324">
        <f>'DOE25'!G140</f>
        <v>8109.19</v>
      </c>
      <c r="F11" s="321" t="s">
        <v>1607</v>
      </c>
    </row>
    <row r="12" spans="1:9" ht="15" x14ac:dyDescent="0.2">
      <c r="A12" s="321" t="s">
        <v>1595</v>
      </c>
      <c r="B12" s="324">
        <f>'DOE25'!G170</f>
        <v>320562.53999999998</v>
      </c>
      <c r="F12" s="321" t="s">
        <v>1608</v>
      </c>
    </row>
    <row r="13" spans="1:9" ht="15" x14ac:dyDescent="0.2">
      <c r="A13" s="321" t="s">
        <v>1596</v>
      </c>
      <c r="B13" s="324">
        <f>'DOE25'!G193-'DOE25'!G180</f>
        <v>0</v>
      </c>
      <c r="F13" s="321" t="s">
        <v>1618</v>
      </c>
    </row>
    <row r="14" spans="1:9" ht="18" x14ac:dyDescent="0.25">
      <c r="A14" s="323" t="s">
        <v>732</v>
      </c>
      <c r="B14" s="325">
        <f>SUM(B9:B13)</f>
        <v>508468.45999999996</v>
      </c>
    </row>
    <row r="16" spans="1:9" ht="18" x14ac:dyDescent="0.25">
      <c r="A16" s="323" t="s">
        <v>786</v>
      </c>
      <c r="F16" s="330" t="s">
        <v>1610</v>
      </c>
    </row>
    <row r="17" spans="1:6" ht="15" x14ac:dyDescent="0.2">
      <c r="A17" s="321" t="s">
        <v>1597</v>
      </c>
      <c r="B17" s="324">
        <f>'DOE25'!L363-'DOE25'!L362</f>
        <v>526309.78999999992</v>
      </c>
      <c r="F17" s="321" t="s">
        <v>1611</v>
      </c>
    </row>
    <row r="18" spans="1:6" ht="15" x14ac:dyDescent="0.2">
      <c r="A18" s="321" t="s">
        <v>1598</v>
      </c>
      <c r="B18" s="338"/>
      <c r="F18" s="330" t="s">
        <v>1637</v>
      </c>
    </row>
    <row r="19" spans="1:6" ht="18" x14ac:dyDescent="0.25">
      <c r="A19" s="323" t="s">
        <v>725</v>
      </c>
      <c r="B19" s="325">
        <f>SUM(B17:B18)</f>
        <v>526309.78999999992</v>
      </c>
    </row>
    <row r="21" spans="1:6" ht="18.75" thickBot="1" x14ac:dyDescent="0.3">
      <c r="A21" s="323" t="s">
        <v>1599</v>
      </c>
    </row>
    <row r="22" spans="1:6" ht="18.75" thickTop="1" x14ac:dyDescent="0.25">
      <c r="A22" s="323" t="s">
        <v>1600</v>
      </c>
      <c r="B22" s="329">
        <f>B14-B19</f>
        <v>-17841.329999999958</v>
      </c>
      <c r="F22" s="321" t="s">
        <v>1612</v>
      </c>
    </row>
    <row r="26" spans="1:6" ht="18" x14ac:dyDescent="0.25">
      <c r="A26" s="323" t="s">
        <v>186</v>
      </c>
    </row>
    <row r="27" spans="1:6" ht="15" x14ac:dyDescent="0.2">
      <c r="A27" s="321" t="s">
        <v>1601</v>
      </c>
      <c r="B27" s="324">
        <f>'DOE25'!G180</f>
        <v>11000</v>
      </c>
      <c r="F27" s="321" t="s">
        <v>1613</v>
      </c>
    </row>
    <row r="28" spans="1:6" ht="15" x14ac:dyDescent="0.2">
      <c r="A28" s="321" t="s">
        <v>1603</v>
      </c>
      <c r="B28" s="324">
        <f>'DOE25'!L362</f>
        <v>0</v>
      </c>
      <c r="F28" s="321" t="s">
        <v>1614</v>
      </c>
    </row>
    <row r="31" spans="1:6" ht="15" x14ac:dyDescent="0.2">
      <c r="A31" s="321" t="s">
        <v>1640</v>
      </c>
      <c r="B31" s="324">
        <f>'DOE25'!G466</f>
        <v>25600.63</v>
      </c>
      <c r="F31" s="321" t="s">
        <v>1615</v>
      </c>
    </row>
    <row r="33" spans="1:6" ht="15" x14ac:dyDescent="0.2">
      <c r="A33" s="321" t="s">
        <v>1641</v>
      </c>
      <c r="B33" s="324">
        <f>'DOE25'!G477</f>
        <v>18759.29999999993</v>
      </c>
      <c r="F33" s="321" t="s">
        <v>1616</v>
      </c>
    </row>
    <row r="36" spans="1:6" ht="15" x14ac:dyDescent="0.2">
      <c r="A36" s="321" t="s">
        <v>1602</v>
      </c>
      <c r="B36" s="341">
        <v>44670.69</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F14" sqref="F1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Jaffrey-Rindge Cooperative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5341512.84</v>
      </c>
      <c r="C9" s="229">
        <f>'DOE25'!G198+'DOE25'!G216+'DOE25'!G234+'DOE25'!G277+'DOE25'!G296+'DOE25'!G315</f>
        <v>2632050.31</v>
      </c>
    </row>
    <row r="10" spans="1:3" x14ac:dyDescent="0.2">
      <c r="A10" t="s">
        <v>775</v>
      </c>
      <c r="B10" s="240">
        <f>5209686.93+8191.2+894.65+49.59</f>
        <v>5218822.37</v>
      </c>
      <c r="C10" s="240">
        <f>2563850.39-17401.02+0.06+3.79-4.59-10.42-924.18</f>
        <v>2545514.0300000003</v>
      </c>
    </row>
    <row r="11" spans="1:3" x14ac:dyDescent="0.2">
      <c r="A11" t="s">
        <v>776</v>
      </c>
      <c r="B11" s="240">
        <f>1339.2+37122.89</f>
        <v>38462.089999999997</v>
      </c>
      <c r="C11" s="240">
        <v>10916.67</v>
      </c>
    </row>
    <row r="12" spans="1:3" x14ac:dyDescent="0.2">
      <c r="A12" t="s">
        <v>777</v>
      </c>
      <c r="B12" s="240">
        <f>50662.13+33626.25-60</f>
        <v>84228.38</v>
      </c>
      <c r="C12" s="240">
        <f>6470.94+5071.5+4225.5+59851.67</f>
        <v>75619.61</v>
      </c>
    </row>
    <row r="13" spans="1:3" x14ac:dyDescent="0.2">
      <c r="A13" t="str">
        <f>IF(B9=B13,IF(C9=C13,"Check Total OK","Check Total Error"),"Check Total Error")</f>
        <v>Check Total OK</v>
      </c>
      <c r="B13" s="231">
        <f>SUM(B10:B12)</f>
        <v>5341512.84</v>
      </c>
      <c r="C13" s="231">
        <f>SUM(C10:C12)</f>
        <v>2632050.31</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3014435.72</v>
      </c>
      <c r="C18" s="229">
        <f>'DOE25'!G199+'DOE25'!G217+'DOE25'!G235+'DOE25'!G278+'DOE25'!G297+'DOE25'!G316</f>
        <v>1530715.44</v>
      </c>
    </row>
    <row r="19" spans="1:3" x14ac:dyDescent="0.2">
      <c r="A19" t="s">
        <v>775</v>
      </c>
      <c r="B19" s="240">
        <f>1578149.09-90-90+90+90+108.75+250</f>
        <v>1578507.84</v>
      </c>
      <c r="C19" s="240">
        <f>794736.55-22.91-0.03-0.03-266.42+1.31+16.02+5.58+0.03+0.03+266.42</f>
        <v>794736.55</v>
      </c>
    </row>
    <row r="20" spans="1:3" x14ac:dyDescent="0.2">
      <c r="A20" t="s">
        <v>776</v>
      </c>
      <c r="B20" s="240">
        <f>1051952.46-223.65+223.65+209.5+208</f>
        <v>1052369.96</v>
      </c>
      <c r="C20" s="240">
        <f>582206.75-24.95+24.95-4258.94-4311.09-4310.81</f>
        <v>569325.91</v>
      </c>
    </row>
    <row r="21" spans="1:3" x14ac:dyDescent="0.2">
      <c r="A21" t="s">
        <v>777</v>
      </c>
      <c r="B21" s="240">
        <f>92948+214655+52744.58+17318.54+5737.5-1093.38+1247.68</f>
        <v>383557.92</v>
      </c>
      <c r="C21" s="240">
        <f>48701.54+83786.79+32347.98+1325.04+438.93-182.12+234.82</f>
        <v>166652.98000000001</v>
      </c>
    </row>
    <row r="22" spans="1:3" x14ac:dyDescent="0.2">
      <c r="A22" t="str">
        <f>IF(B18=B22,IF(C18=C22,"Check Total OK","Check Total Error"),"Check Total Error")</f>
        <v>Check Total OK</v>
      </c>
      <c r="B22" s="231">
        <f>SUM(B19:B21)</f>
        <v>3014435.7199999997</v>
      </c>
      <c r="C22" s="231">
        <f>SUM(C19:C21)</f>
        <v>1530715.44</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286474.38</v>
      </c>
      <c r="C27" s="234">
        <f>'DOE25'!G200+'DOE25'!G218+'DOE25'!G236+'DOE25'!G279+'DOE25'!G298+'DOE25'!G317</f>
        <v>112533</v>
      </c>
    </row>
    <row r="28" spans="1:3" x14ac:dyDescent="0.2">
      <c r="A28" t="s">
        <v>775</v>
      </c>
      <c r="B28" s="240">
        <v>273505.38</v>
      </c>
      <c r="C28" s="240">
        <v>111540.83</v>
      </c>
    </row>
    <row r="29" spans="1:3" x14ac:dyDescent="0.2">
      <c r="A29" t="s">
        <v>776</v>
      </c>
      <c r="B29" s="240">
        <v>12969</v>
      </c>
      <c r="C29" s="240">
        <v>992.17</v>
      </c>
    </row>
    <row r="30" spans="1:3" x14ac:dyDescent="0.2">
      <c r="A30" t="s">
        <v>777</v>
      </c>
      <c r="B30" s="240">
        <v>0</v>
      </c>
      <c r="C30" s="240">
        <v>0</v>
      </c>
    </row>
    <row r="31" spans="1:3" x14ac:dyDescent="0.2">
      <c r="A31" t="str">
        <f>IF(B27=B31,IF(C27=C31,"Check Total OK","Check Total Error"),"Check Total Error")</f>
        <v>Check Total OK</v>
      </c>
      <c r="B31" s="231">
        <f>SUM(B28:B30)</f>
        <v>286474.38</v>
      </c>
      <c r="C31" s="231">
        <f>SUM(C28:C30)</f>
        <v>112533</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358557.64</v>
      </c>
      <c r="C36" s="235">
        <f>'DOE25'!G201+'DOE25'!G219+'DOE25'!G237+'DOE25'!G280+'DOE25'!G299+'DOE25'!G318</f>
        <v>77537.400000000009</v>
      </c>
    </row>
    <row r="37" spans="1:3" x14ac:dyDescent="0.2">
      <c r="A37" t="s">
        <v>775</v>
      </c>
      <c r="B37" s="240">
        <v>119565.14</v>
      </c>
      <c r="C37" s="240">
        <v>30660.32</v>
      </c>
    </row>
    <row r="38" spans="1:3" x14ac:dyDescent="0.2">
      <c r="A38" t="s">
        <v>776</v>
      </c>
      <c r="B38" s="240">
        <v>18797.45</v>
      </c>
      <c r="C38" s="240">
        <v>2946.34</v>
      </c>
    </row>
    <row r="39" spans="1:3" x14ac:dyDescent="0.2">
      <c r="A39" t="s">
        <v>777</v>
      </c>
      <c r="B39" s="240">
        <f>140000+5835+76047.55-1687.5</f>
        <v>220195.05</v>
      </c>
      <c r="C39" s="240">
        <f>44059.84-129.1</f>
        <v>43930.74</v>
      </c>
    </row>
    <row r="40" spans="1:3" x14ac:dyDescent="0.2">
      <c r="A40" t="str">
        <f>IF(B36=B40,IF(C36=C40,"Check Total OK","Check Total Error"),"Check Total Error")</f>
        <v>Check Total OK</v>
      </c>
      <c r="B40" s="231">
        <f>SUM(B37:B39)</f>
        <v>358557.64</v>
      </c>
      <c r="C40" s="231">
        <f>SUM(C37:C39)</f>
        <v>77537.399999999994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14" sqref="F14"/>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Jaffrey-Rindge Cooperative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14314152.460000001</v>
      </c>
      <c r="D5" s="20">
        <f>SUM('DOE25'!L198:L201)+SUM('DOE25'!L216:L219)+SUM('DOE25'!L234:L237)-F5-G5-H5</f>
        <v>14254659.65</v>
      </c>
      <c r="E5" s="243"/>
      <c r="F5" s="244">
        <v>0</v>
      </c>
      <c r="G5" s="53">
        <f>SUM('DOE25'!J198:J201)+SUM('DOE25'!J216:J219)+SUM('DOE25'!J234:J237)</f>
        <v>35015.1</v>
      </c>
      <c r="H5" s="53">
        <f>SUM('DOE25'!K198:K201)+SUM('DOE25'!K216:K219)+SUM('DOE25'!K234:K237)</f>
        <v>24477.71</v>
      </c>
      <c r="I5" s="256"/>
    </row>
    <row r="6" spans="1:9" x14ac:dyDescent="0.2">
      <c r="A6" s="32">
        <v>2100</v>
      </c>
      <c r="B6" t="s">
        <v>796</v>
      </c>
      <c r="C6" s="276">
        <f t="shared" si="0"/>
        <v>1666222.8200000003</v>
      </c>
      <c r="D6" s="20">
        <f>'DOE25'!L203+'DOE25'!L221+'DOE25'!L239-F6-G6-H6</f>
        <v>1666147.8200000003</v>
      </c>
      <c r="E6" s="243"/>
      <c r="F6" s="244">
        <v>0</v>
      </c>
      <c r="G6" s="53">
        <f>'DOE25'!J203+'DOE25'!J221+'DOE25'!J239</f>
        <v>0</v>
      </c>
      <c r="H6" s="53">
        <f>'DOE25'!K203+'DOE25'!K221+'DOE25'!K239</f>
        <v>75</v>
      </c>
      <c r="I6" s="256"/>
    </row>
    <row r="7" spans="1:9" x14ac:dyDescent="0.2">
      <c r="A7" s="32">
        <v>2200</v>
      </c>
      <c r="B7" t="s">
        <v>821</v>
      </c>
      <c r="C7" s="276">
        <f t="shared" si="0"/>
        <v>474252.23999999993</v>
      </c>
      <c r="D7" s="20">
        <f>'DOE25'!L204+'DOE25'!L222+'DOE25'!L240-F7-G7-H7</f>
        <v>467832.23999999993</v>
      </c>
      <c r="E7" s="243"/>
      <c r="F7" s="244">
        <v>0</v>
      </c>
      <c r="G7" s="53">
        <f>'DOE25'!J204+'DOE25'!J222+'DOE25'!J240</f>
        <v>600</v>
      </c>
      <c r="H7" s="53">
        <f>'DOE25'!K204+'DOE25'!K222+'DOE25'!K240</f>
        <v>5820</v>
      </c>
      <c r="I7" s="256"/>
    </row>
    <row r="8" spans="1:9" x14ac:dyDescent="0.2">
      <c r="A8" s="32">
        <v>2300</v>
      </c>
      <c r="B8" t="s">
        <v>797</v>
      </c>
      <c r="C8" s="276">
        <f t="shared" si="0"/>
        <v>71257.100000000006</v>
      </c>
      <c r="D8" s="243"/>
      <c r="E8" s="20">
        <f>'DOE25'!L205+'DOE25'!L223+'DOE25'!L241-F8-G8-H8-D9-D11</f>
        <v>61167.010000000009</v>
      </c>
      <c r="F8" s="244">
        <v>0</v>
      </c>
      <c r="G8" s="53">
        <f>'DOE25'!J205+'DOE25'!J223+'DOE25'!J241</f>
        <v>0</v>
      </c>
      <c r="H8" s="53">
        <f>'DOE25'!K205+'DOE25'!K223+'DOE25'!K241</f>
        <v>10090.09</v>
      </c>
      <c r="I8" s="256"/>
    </row>
    <row r="9" spans="1:9" ht="14.25" x14ac:dyDescent="0.2">
      <c r="A9" s="32">
        <v>2310</v>
      </c>
      <c r="B9" s="185" t="s">
        <v>890</v>
      </c>
      <c r="C9" s="276">
        <f t="shared" si="0"/>
        <v>58988.41</v>
      </c>
      <c r="D9" s="244">
        <v>58988.41</v>
      </c>
      <c r="E9" s="243"/>
      <c r="F9" s="253"/>
      <c r="G9" s="253"/>
      <c r="H9" s="253"/>
      <c r="I9" s="256"/>
    </row>
    <row r="10" spans="1:9" ht="14.25" x14ac:dyDescent="0.2">
      <c r="A10" s="32">
        <v>2317</v>
      </c>
      <c r="B10" s="185" t="s">
        <v>891</v>
      </c>
      <c r="C10" s="276">
        <f t="shared" si="0"/>
        <v>21000</v>
      </c>
      <c r="D10" s="243"/>
      <c r="E10" s="244">
        <v>21000</v>
      </c>
      <c r="F10" s="253"/>
      <c r="G10" s="253"/>
      <c r="H10" s="253"/>
      <c r="I10" s="256"/>
    </row>
    <row r="11" spans="1:9" ht="14.25" x14ac:dyDescent="0.2">
      <c r="A11" s="32">
        <v>2321</v>
      </c>
      <c r="B11" s="185" t="s">
        <v>892</v>
      </c>
      <c r="C11" s="276">
        <f t="shared" si="0"/>
        <v>315150.36</v>
      </c>
      <c r="D11" s="244">
        <v>315150.36</v>
      </c>
      <c r="E11" s="243"/>
      <c r="F11" s="253"/>
      <c r="G11" s="253"/>
      <c r="H11" s="253"/>
      <c r="I11" s="256"/>
    </row>
    <row r="12" spans="1:9" x14ac:dyDescent="0.2">
      <c r="A12" s="32">
        <v>2400</v>
      </c>
      <c r="B12" t="s">
        <v>711</v>
      </c>
      <c r="C12" s="276">
        <f t="shared" si="0"/>
        <v>1284972.25</v>
      </c>
      <c r="D12" s="20">
        <f>'DOE25'!L206+'DOE25'!L224+'DOE25'!L242-F12-G12-H12</f>
        <v>1279465.51</v>
      </c>
      <c r="E12" s="243"/>
      <c r="F12" s="244">
        <v>0</v>
      </c>
      <c r="G12" s="53">
        <f>'DOE25'!J206+'DOE25'!J224+'DOE25'!J242</f>
        <v>673.99</v>
      </c>
      <c r="H12" s="53">
        <f>'DOE25'!K206+'DOE25'!K224+'DOE25'!K242</f>
        <v>4832.75</v>
      </c>
      <c r="I12" s="256"/>
    </row>
    <row r="13" spans="1:9" x14ac:dyDescent="0.2">
      <c r="A13" s="32">
        <v>2500</v>
      </c>
      <c r="B13" t="s">
        <v>798</v>
      </c>
      <c r="C13" s="276">
        <f t="shared" si="0"/>
        <v>517930.45999999996</v>
      </c>
      <c r="D13" s="243"/>
      <c r="E13" s="20">
        <f>'DOE25'!L207+'DOE25'!L225+'DOE25'!L243-F13-G13-H13</f>
        <v>500418.38999999996</v>
      </c>
      <c r="F13" s="244">
        <v>0</v>
      </c>
      <c r="G13" s="53">
        <f>'DOE25'!J207+'DOE25'!J225+'DOE25'!J243</f>
        <v>1340.52</v>
      </c>
      <c r="H13" s="53">
        <f>'DOE25'!K207+'DOE25'!K225+'DOE25'!K243</f>
        <v>16171.550000000001</v>
      </c>
      <c r="I13" s="256"/>
    </row>
    <row r="14" spans="1:9" x14ac:dyDescent="0.2">
      <c r="A14" s="32">
        <v>2600</v>
      </c>
      <c r="B14" t="s">
        <v>819</v>
      </c>
      <c r="C14" s="276">
        <f t="shared" si="0"/>
        <v>1732668.6099999999</v>
      </c>
      <c r="D14" s="20">
        <f>'DOE25'!L208+'DOE25'!L226+'DOE25'!L244-F14-G14-H14</f>
        <v>1393794.68</v>
      </c>
      <c r="E14" s="243"/>
      <c r="F14" s="244">
        <f>222800-25000+35580-25000+28347.8-25000+48484.33-25000+25420-25000+32157.1-25000</f>
        <v>242789.22999999998</v>
      </c>
      <c r="G14" s="53">
        <f>'DOE25'!J208+'DOE25'!J226+'DOE25'!J244</f>
        <v>95555.45</v>
      </c>
      <c r="H14" s="53">
        <f>'DOE25'!K208+'DOE25'!K226+'DOE25'!K244</f>
        <v>529.25</v>
      </c>
      <c r="I14" s="256"/>
    </row>
    <row r="15" spans="1:9" x14ac:dyDescent="0.2">
      <c r="A15" s="32">
        <v>2700</v>
      </c>
      <c r="B15" t="s">
        <v>799</v>
      </c>
      <c r="C15" s="276">
        <f t="shared" si="0"/>
        <v>1266720.3599999999</v>
      </c>
      <c r="D15" s="20">
        <f>'DOE25'!L209+'DOE25'!L227+'DOE25'!L245-F15-G15-H15</f>
        <v>123663.58999999985</v>
      </c>
      <c r="E15" s="243"/>
      <c r="F15" s="244">
        <f>1168056.77-25000</f>
        <v>1143056.77</v>
      </c>
      <c r="G15" s="53">
        <f>'DOE25'!J209+'DOE25'!J227+'DOE25'!J245</f>
        <v>0</v>
      </c>
      <c r="H15" s="53">
        <f>'DOE25'!K209+'DOE25'!K227+'DOE25'!K245</f>
        <v>0</v>
      </c>
      <c r="I15" s="256"/>
    </row>
    <row r="16" spans="1:9" x14ac:dyDescent="0.2">
      <c r="A16" s="32">
        <v>2800</v>
      </c>
      <c r="B16" t="s">
        <v>800</v>
      </c>
      <c r="C16" s="276">
        <f t="shared" si="0"/>
        <v>542551.07000000007</v>
      </c>
      <c r="D16" s="243"/>
      <c r="E16" s="20">
        <f>'DOE25'!L210+'DOE25'!L228+'DOE25'!L246-F16-G16-H16</f>
        <v>502318.72000000009</v>
      </c>
      <c r="F16" s="244">
        <f>27639.41-25000+34323.45-25000</f>
        <v>11962.86</v>
      </c>
      <c r="G16" s="53">
        <f>'DOE25'!J210+'DOE25'!J228+'DOE25'!J246</f>
        <v>28269.489999999998</v>
      </c>
      <c r="H16" s="53">
        <f>'DOE25'!K210+'DOE25'!K228+'DOE25'!K246</f>
        <v>0</v>
      </c>
      <c r="I16" s="256"/>
    </row>
    <row r="17" spans="1:9" x14ac:dyDescent="0.2">
      <c r="A17" s="32">
        <v>1600</v>
      </c>
      <c r="B17" t="s">
        <v>801</v>
      </c>
      <c r="C17" s="276">
        <f t="shared" si="0"/>
        <v>0</v>
      </c>
      <c r="D17" s="20">
        <f>'DOE25'!L252-F17-G17-H17</f>
        <v>0</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0</v>
      </c>
      <c r="D19" s="20">
        <f>'DOE25'!L254-F19-G19-H19</f>
        <v>0</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281644.2</v>
      </c>
      <c r="D22" s="243"/>
      <c r="E22" s="243"/>
      <c r="F22" s="243"/>
      <c r="G22" s="53">
        <f>'DOE25'!L256+'DOE25'!L337</f>
        <v>281644.2</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853235.63</v>
      </c>
      <c r="D25" s="243"/>
      <c r="E25" s="243"/>
      <c r="F25" s="255"/>
      <c r="G25" s="253"/>
      <c r="H25" s="253"/>
      <c r="I25" s="254">
        <f>'DOE25'!L261+'DOE25'!L262+'DOE25'!L342+'DOE25'!L343</f>
        <v>853235.63</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526309.78999999992</v>
      </c>
      <c r="D29" s="284">
        <f>'DOE25'!L359+'DOE25'!L360+'DOE25'!L361-'DOE25'!I368-F29-G29-H29</f>
        <v>256452.75999999989</v>
      </c>
      <c r="E29" s="243"/>
      <c r="F29" s="244">
        <f>294857.03-25000</f>
        <v>269857.03000000003</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832832.52999999991</v>
      </c>
      <c r="D31" s="20">
        <f>'DOE25'!L291+'DOE25'!L310+'DOE25'!L329+'DOE25'!L334+'DOE25'!L335+'DOE25'!L336-F31-G31-H31</f>
        <v>831738.46999999986</v>
      </c>
      <c r="E31" s="243"/>
      <c r="F31" s="244">
        <v>0</v>
      </c>
      <c r="G31" s="53">
        <f>'DOE25'!J291+'DOE25'!J310+'DOE25'!J329+'DOE25'!J334+'DOE25'!J335+'DOE25'!J336</f>
        <v>894.06</v>
      </c>
      <c r="H31" s="53">
        <f>'DOE25'!K291+'DOE25'!K310+'DOE25'!K329+'DOE25'!K334+'DOE25'!K335+'DOE25'!K336</f>
        <v>200</v>
      </c>
      <c r="I31" s="256"/>
    </row>
    <row r="32" spans="1:9" ht="12" thickBot="1" x14ac:dyDescent="0.25">
      <c r="C32" s="277"/>
      <c r="G32" s="251"/>
      <c r="H32" s="251"/>
      <c r="I32" s="258"/>
    </row>
    <row r="33" spans="1:9" ht="12" thickTop="1" x14ac:dyDescent="0.2">
      <c r="B33" t="s">
        <v>809</v>
      </c>
      <c r="D33" s="245">
        <f t="shared" ref="D33:I33" si="1">SUM(D5:D31)</f>
        <v>20647893.490000002</v>
      </c>
      <c r="E33" s="245">
        <f t="shared" si="1"/>
        <v>1084904.1200000001</v>
      </c>
      <c r="F33" s="245">
        <f t="shared" si="1"/>
        <v>1667665.8900000001</v>
      </c>
      <c r="G33" s="245">
        <f t="shared" si="1"/>
        <v>443992.81</v>
      </c>
      <c r="H33" s="245">
        <f t="shared" si="1"/>
        <v>62196.350000000006</v>
      </c>
      <c r="I33" s="245">
        <f t="shared" si="1"/>
        <v>853235.63</v>
      </c>
    </row>
    <row r="35" spans="1:9" ht="12" thickBot="1" x14ac:dyDescent="0.25">
      <c r="B35" s="251" t="s">
        <v>831</v>
      </c>
      <c r="D35" s="252">
        <f>E33</f>
        <v>1084904.1200000001</v>
      </c>
      <c r="E35" s="248"/>
    </row>
    <row r="36" spans="1:9" ht="12" thickTop="1" x14ac:dyDescent="0.2">
      <c r="B36" t="s">
        <v>810</v>
      </c>
      <c r="D36" s="20">
        <f>D33</f>
        <v>20647893.490000002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F14" sqref="F1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Jaffrey-Rindge Cooperative School District</v>
      </c>
      <c r="B2" s="126">
        <f>'DOE25'!B2</f>
        <v>274</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11405745.859999999</v>
      </c>
      <c r="G4" s="303">
        <f>'DOE25'!L212+'DOE25'!L291</f>
        <v>11405745.859999999</v>
      </c>
      <c r="H4" s="337">
        <f>F4-G4</f>
        <v>0</v>
      </c>
      <c r="I4" s="309" t="str">
        <f>IF(H4=0,"","Does not match DOE25 page 7 and 11 Totals!!")</f>
        <v/>
      </c>
      <c r="N4"/>
    </row>
    <row r="5" spans="1:18" x14ac:dyDescent="0.2">
      <c r="A5" s="21" t="s">
        <v>1151</v>
      </c>
      <c r="B5" s="304">
        <f>IFERROR(VLOOKUP(A5,'School Tables'!$C$3:$D$365,2,FALSE),"")</f>
        <v>22275</v>
      </c>
      <c r="C5" s="297" t="str">
        <f>IFERROR(INDEX('School Tables'!$B$3:$B$365,MATCH('School Level Expenditures'!B5,'School Tables'!$D$3:$D$365,0)),"")</f>
        <v>Jaffrey-Rindge Cooperative</v>
      </c>
      <c r="D5" s="294">
        <f>743374.39+1168037.99+2952858.37-88428.06</f>
        <v>4775842.6900000004</v>
      </c>
      <c r="E5" s="294">
        <f>308606.11+18079.58+443.82+32520.64</f>
        <v>359650.15</v>
      </c>
      <c r="F5" s="312">
        <f>D5+E5</f>
        <v>5135492.8400000008</v>
      </c>
      <c r="G5" s="297"/>
      <c r="H5" s="297"/>
      <c r="I5" s="126"/>
      <c r="N5"/>
    </row>
    <row r="6" spans="1:18" x14ac:dyDescent="0.2">
      <c r="A6" s="21" t="s">
        <v>1149</v>
      </c>
      <c r="B6" s="304">
        <f>IFERROR(VLOOKUP(A6,'School Tables'!$C$3:$D$365,2,FALSE),"")</f>
        <v>22320</v>
      </c>
      <c r="C6" s="297" t="str">
        <f>IFERROR(INDEX('School Tables'!$B$3:$B$365,MATCH('School Level Expenditures'!B6,'School Tables'!$D$3:$D$365,0)),"")</f>
        <v>Jaffrey-Rindge Cooperative</v>
      </c>
      <c r="D6" s="294">
        <f>962003.88+1511751.95+3393901.08-114449.44</f>
        <v>5753207.4699999997</v>
      </c>
      <c r="E6" s="294">
        <f>56784.47+574.42+1500+42090.36+82163.3+87344.78+28761.96+14719.59+229.17</f>
        <v>314168.05</v>
      </c>
      <c r="F6" s="307">
        <f t="shared" ref="F6:F20" si="0">D6+E6</f>
        <v>6067375.5199999996</v>
      </c>
      <c r="G6" s="297"/>
      <c r="H6" s="297"/>
      <c r="I6" s="126"/>
      <c r="N6"/>
    </row>
    <row r="7" spans="1:18" x14ac:dyDescent="0.2">
      <c r="A7" s="21" t="s">
        <v>1562</v>
      </c>
      <c r="B7" s="304">
        <f>IFERROR(VLOOKUP(A7,'School Tables'!$C$3:$D$365,2,FALSE),"")</f>
        <v>99999</v>
      </c>
      <c r="C7" s="297" t="str">
        <f>IFERROR(INDEX('School Tables'!$B$3:$B$365,MATCH('School Level Expenditures'!B7,'School Tables'!$D$3:$D$365,0)),"")</f>
        <v>Other District Expenditures</v>
      </c>
      <c r="D7" s="294">
        <v>202877.5</v>
      </c>
      <c r="E7" s="294"/>
      <c r="F7" s="307">
        <f t="shared" si="0"/>
        <v>202877.5</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4811759.1900000004</v>
      </c>
      <c r="G24" s="303">
        <f>'DOE25'!L230+'DOE25'!L310</f>
        <v>4811759.1899999995</v>
      </c>
      <c r="H24" s="337">
        <f>F24-G24</f>
        <v>0</v>
      </c>
      <c r="I24" s="309" t="str">
        <f>IF(H24=0,"","Does not match DOE25 page 8 and 12 Totals!!")</f>
        <v/>
      </c>
      <c r="N24"/>
    </row>
    <row r="25" spans="1:14" x14ac:dyDescent="0.2">
      <c r="A25" s="21" t="s">
        <v>1152</v>
      </c>
      <c r="B25" s="304">
        <f>IFERROR(VLOOKUP(A25,'School Tables'!$I$3:$J$80,2,FALSE),"")</f>
        <v>22280</v>
      </c>
      <c r="C25" s="297" t="str">
        <f t="array" ref="C25">IFERROR(INDEX('School Tables'!$H$3:$H$80,MATCH('School Level Expenditures'!B25,'School Tables'!$J$3:$J$80,0)),"")</f>
        <v>Jaffrey-Rindge Cooperative</v>
      </c>
      <c r="D25" s="294">
        <f>4697030.44-98613.12</f>
        <v>4598417.32</v>
      </c>
      <c r="E25" s="294">
        <v>114728.75</v>
      </c>
      <c r="F25" s="307">
        <f>D25+E25</f>
        <v>4713146.07</v>
      </c>
      <c r="G25" s="297"/>
      <c r="H25" s="297"/>
      <c r="I25" s="126"/>
      <c r="N25"/>
    </row>
    <row r="26" spans="1:14" x14ac:dyDescent="0.2">
      <c r="A26" s="21" t="s">
        <v>1562</v>
      </c>
      <c r="B26" s="304">
        <f>IFERROR(VLOOKUP(A26,'School Tables'!$I$3:$J$80,2,FALSE),"")</f>
        <v>99999</v>
      </c>
      <c r="C26" s="297" t="str">
        <f t="array" ref="C26">IFERROR(INDEX('School Tables'!$H$3:$H$80,MATCH('School Level Expenditures'!B26,'School Tables'!$J$3:$J$80,0)),"")</f>
        <v>Other District Expenditures</v>
      </c>
      <c r="D26" s="294">
        <v>98613.119999999995</v>
      </c>
      <c r="E26" s="294"/>
      <c r="F26" s="307">
        <f t="shared" ref="F26:F32" si="1">D26+E26</f>
        <v>98613.119999999995</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6860193.6200000001</v>
      </c>
      <c r="G36" s="303">
        <f>'DOE25'!L248+'DOE25'!L329</f>
        <v>6860193.6199999992</v>
      </c>
      <c r="H36" s="337">
        <f>F36-G36</f>
        <v>0</v>
      </c>
      <c r="I36" s="309" t="str">
        <f>IF(H36=0,"","Does not match DOE25 page 9 and 13 Totals!!")</f>
        <v/>
      </c>
      <c r="N36"/>
    </row>
    <row r="37" spans="1:14" x14ac:dyDescent="0.2">
      <c r="A37" s="21" t="s">
        <v>1150</v>
      </c>
      <c r="B37" s="304">
        <f>IFERROR(VLOOKUP(A37,'School Tables'!$O$3:$P$118,2,FALSE),"")</f>
        <v>22265</v>
      </c>
      <c r="C37" s="297" t="str">
        <f t="array" ref="C37">IFERROR(INDEX('School Tables'!$N$3:$N$118,MATCH('School Level Expenditures'!B37,'School Tables'!$P$3:$P$118,0)),"")</f>
        <v>Jaffrey-Rindge Cooperative</v>
      </c>
      <c r="D37" s="294">
        <f>6815908.04-1000537.72</f>
        <v>5815370.3200000003</v>
      </c>
      <c r="E37" s="294">
        <v>44285.58</v>
      </c>
      <c r="F37" s="307">
        <f>D37+E37</f>
        <v>5859655.9000000004</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v>222117.97</v>
      </c>
      <c r="E38" s="294"/>
      <c r="F38" s="307">
        <f t="shared" ref="F38:F41" si="2">D38+E38</f>
        <v>222117.97</v>
      </c>
      <c r="G38" s="297"/>
      <c r="H38" s="297"/>
      <c r="I38" s="126"/>
      <c r="N38"/>
    </row>
    <row r="39" spans="1:14" x14ac:dyDescent="0.2">
      <c r="A39" s="21" t="s">
        <v>1562</v>
      </c>
      <c r="B39" s="304">
        <f>IFERROR(VLOOKUP(A39,'School Tables'!$O$3:$P$118,2,FALSE),"")</f>
        <v>99999</v>
      </c>
      <c r="C39" s="297" t="str">
        <f t="array" ref="C39">IFERROR(INDEX('School Tables'!$N$3:$N$118,MATCH('School Level Expenditures'!B39,'School Tables'!$P$3:$P$118,0)),"")</f>
        <v>Other District Expenditures</v>
      </c>
      <c r="D39" s="294">
        <v>622578.16</v>
      </c>
      <c r="E39" s="294"/>
      <c r="F39" s="307">
        <f t="shared" si="2"/>
        <v>622578.16</v>
      </c>
      <c r="G39" s="297"/>
      <c r="H39" s="297"/>
      <c r="I39" s="126"/>
      <c r="N39"/>
    </row>
    <row r="40" spans="1:14" x14ac:dyDescent="0.2">
      <c r="A40" s="21" t="s">
        <v>1562</v>
      </c>
      <c r="B40" s="304">
        <f>IFERROR(VLOOKUP(A40,'School Tables'!$O$3:$P$118,2,FALSE),"")</f>
        <v>99999</v>
      </c>
      <c r="C40" s="297" t="str">
        <f t="array" ref="C40">IFERROR(INDEX('School Tables'!$N$3:$N$118,MATCH('School Level Expenditures'!B40,'School Tables'!$P$3:$P$118,0)),"")</f>
        <v>Other District Expenditures</v>
      </c>
      <c r="D40" s="294">
        <v>113546.89</v>
      </c>
      <c r="E40" s="294"/>
      <c r="F40" s="307">
        <f t="shared" si="2"/>
        <v>113546.89</v>
      </c>
      <c r="G40" s="297"/>
      <c r="H40" s="297"/>
      <c r="I40" s="126"/>
      <c r="N40"/>
    </row>
    <row r="41" spans="1:14" x14ac:dyDescent="0.2">
      <c r="A41" s="21" t="s">
        <v>1562</v>
      </c>
      <c r="B41" s="304">
        <f>IFERROR(VLOOKUP(A41,'School Tables'!$O$3:$P$118,2,FALSE),"")</f>
        <v>99999</v>
      </c>
      <c r="C41" s="297" t="str">
        <f t="array" ref="C41">IFERROR(INDEX('School Tables'!$N$3:$N$118,MATCH('School Level Expenditures'!B41,'School Tables'!$P$3:$P$118,0)),"")</f>
        <v>Other District Expenditures</v>
      </c>
      <c r="D41" s="21">
        <f>23769.7+18525</f>
        <v>42294.7</v>
      </c>
      <c r="E41" s="21"/>
      <c r="F41" s="307">
        <f t="shared" si="2"/>
        <v>42294.7</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C141" sqref="C14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Jaffrey-Rindge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1775737.98</v>
      </c>
      <c r="D8" s="95">
        <f>'DOE25'!G9</f>
        <v>205.03</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2882230.93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188757.67</v>
      </c>
      <c r="D11" s="95">
        <f>'DOE25'!G12</f>
        <v>54546.6</v>
      </c>
      <c r="E11" s="95">
        <f>'DOE25'!H12</f>
        <v>0</v>
      </c>
      <c r="F11" s="95">
        <f>'DOE25'!I12</f>
        <v>0</v>
      </c>
      <c r="G11" s="95">
        <f>'DOE25'!J12</f>
        <v>0</v>
      </c>
      <c r="H11" s="124"/>
      <c r="I11" s="124"/>
    </row>
    <row r="12" spans="1:9" x14ac:dyDescent="0.2">
      <c r="A12" s="1" t="s">
        <v>143</v>
      </c>
      <c r="B12" s="6">
        <v>140</v>
      </c>
      <c r="C12" s="95">
        <f>'DOE25'!F13</f>
        <v>2423.0500000000002</v>
      </c>
      <c r="D12" s="95">
        <f>'DOE25'!G13</f>
        <v>34503.07</v>
      </c>
      <c r="E12" s="95">
        <f>'DOE25'!H13</f>
        <v>243304.27</v>
      </c>
      <c r="F12" s="95">
        <f>'DOE25'!I13</f>
        <v>0</v>
      </c>
      <c r="G12" s="95">
        <f>'DOE25'!J13</f>
        <v>0</v>
      </c>
      <c r="H12" s="124"/>
      <c r="I12" s="124"/>
    </row>
    <row r="13" spans="1:9" x14ac:dyDescent="0.2">
      <c r="A13" s="1" t="s">
        <v>144</v>
      </c>
      <c r="B13" s="6">
        <v>150</v>
      </c>
      <c r="C13" s="95">
        <f>'DOE25'!F14</f>
        <v>7436.63</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18460.93</v>
      </c>
      <c r="E15" s="95">
        <f>'DOE25'!H16</f>
        <v>0</v>
      </c>
      <c r="F15" s="95">
        <f>'DOE25'!I16</f>
        <v>0</v>
      </c>
      <c r="G15" s="24" t="s">
        <v>288</v>
      </c>
      <c r="H15" s="124"/>
      <c r="I15" s="124"/>
    </row>
    <row r="16" spans="1:9" x14ac:dyDescent="0.2">
      <c r="A16" s="1" t="s">
        <v>147</v>
      </c>
      <c r="B16" s="6">
        <v>180</v>
      </c>
      <c r="C16" s="95">
        <f>'DOE25'!F17</f>
        <v>8050.5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1982405.8299999998</v>
      </c>
      <c r="D18" s="41">
        <f>SUM(D8:D17)</f>
        <v>107715.63</v>
      </c>
      <c r="E18" s="41">
        <f>SUM(E8:E17)</f>
        <v>243304.27</v>
      </c>
      <c r="F18" s="41">
        <f>SUM(F8:F17)</f>
        <v>0</v>
      </c>
      <c r="G18" s="41">
        <f>SUM(G8:G17)</f>
        <v>2882230.93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243304.27</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187991.73</v>
      </c>
      <c r="D23" s="95">
        <f>'DOE25'!G24</f>
        <v>0</v>
      </c>
      <c r="E23" s="95">
        <f>'DOE25'!H24</f>
        <v>0</v>
      </c>
      <c r="F23" s="95">
        <f>'DOE25'!I24</f>
        <v>0</v>
      </c>
      <c r="G23" s="95">
        <f>'DOE25'!J24</f>
        <v>0</v>
      </c>
      <c r="H23" s="124"/>
      <c r="I23" s="124"/>
    </row>
    <row r="24" spans="1:9" x14ac:dyDescent="0.2">
      <c r="A24" s="1" t="s">
        <v>153</v>
      </c>
      <c r="B24" s="6">
        <v>430</v>
      </c>
      <c r="C24" s="95">
        <f>'DOE25'!F25</f>
        <v>0</v>
      </c>
      <c r="D24" s="95">
        <f>'DOE25'!G25</f>
        <v>65031.3</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36386.22</v>
      </c>
      <c r="D27" s="95">
        <f>'DOE25'!G28</f>
        <v>366.25</v>
      </c>
      <c r="E27" s="95">
        <f>'DOE25'!H28</f>
        <v>0</v>
      </c>
      <c r="F27" s="95">
        <f>'DOE25'!I28</f>
        <v>0</v>
      </c>
      <c r="G27" s="24" t="s">
        <v>288</v>
      </c>
      <c r="H27" s="124"/>
      <c r="I27" s="124"/>
    </row>
    <row r="28" spans="1:9" x14ac:dyDescent="0.2">
      <c r="A28" s="1" t="s">
        <v>157</v>
      </c>
      <c r="B28" s="6">
        <v>470</v>
      </c>
      <c r="C28" s="95">
        <f>'DOE25'!F29</f>
        <v>21553.629999999997</v>
      </c>
      <c r="D28" s="95">
        <f>'DOE25'!G29</f>
        <v>65.69</v>
      </c>
      <c r="E28" s="95">
        <f>'DOE25'!H29</f>
        <v>0</v>
      </c>
      <c r="F28" s="95">
        <f>'DOE25'!I29</f>
        <v>0</v>
      </c>
      <c r="G28" s="24" t="s">
        <v>288</v>
      </c>
      <c r="H28" s="124"/>
      <c r="I28" s="124"/>
    </row>
    <row r="29" spans="1:9" x14ac:dyDescent="0.2">
      <c r="A29" s="1" t="s">
        <v>158</v>
      </c>
      <c r="B29" s="6">
        <v>480</v>
      </c>
      <c r="C29" s="95">
        <f>'DOE25'!F30</f>
        <v>0</v>
      </c>
      <c r="D29" s="95">
        <f>'DOE25'!G30</f>
        <v>23493.09</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245931.58000000002</v>
      </c>
      <c r="D31" s="41">
        <f>SUM(D21:D30)</f>
        <v>88956.33</v>
      </c>
      <c r="E31" s="41">
        <f>SUM(E21:E30)</f>
        <v>243304.27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8050.5</v>
      </c>
      <c r="D35" s="95">
        <f>'DOE25'!G36</f>
        <v>18460.93</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298.37</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2882230.93</v>
      </c>
      <c r="H42" s="124"/>
      <c r="I42" s="124"/>
    </row>
    <row r="43" spans="1:9" x14ac:dyDescent="0.2">
      <c r="A43" s="1" t="s">
        <v>863</v>
      </c>
      <c r="B43" s="6">
        <v>755</v>
      </c>
      <c r="C43" s="95">
        <f>'DOE25'!F44</f>
        <v>300000</v>
      </c>
      <c r="D43" s="95">
        <f>'DOE25'!G44</f>
        <v>0</v>
      </c>
      <c r="E43" s="95">
        <f>'DOE25'!H44</f>
        <v>0</v>
      </c>
      <c r="F43" s="95">
        <f>'DOE25'!I44</f>
        <v>0</v>
      </c>
      <c r="G43" s="24" t="s">
        <v>288</v>
      </c>
      <c r="H43" s="124"/>
      <c r="I43" s="124"/>
    </row>
    <row r="44" spans="1:9" x14ac:dyDescent="0.2">
      <c r="A44" s="1" t="s">
        <v>864</v>
      </c>
      <c r="B44" s="6">
        <v>753</v>
      </c>
      <c r="C44" s="95">
        <f>'DOE25'!F45</f>
        <v>200000</v>
      </c>
      <c r="D44" s="95">
        <f>'DOE25'!G45</f>
        <v>0</v>
      </c>
      <c r="E44" s="95">
        <f>'DOE25'!H45</f>
        <v>0</v>
      </c>
      <c r="F44" s="95">
        <f>'DOE25'!I45</f>
        <v>0</v>
      </c>
      <c r="G44" s="95">
        <f>'DOE25'!J45</f>
        <v>0</v>
      </c>
      <c r="H44" s="124"/>
      <c r="I44" s="124"/>
    </row>
    <row r="45" spans="1:9" x14ac:dyDescent="0.2">
      <c r="A45" s="1" t="s">
        <v>880</v>
      </c>
      <c r="B45" s="6"/>
      <c r="C45" s="95">
        <f>'DOE25'!F46</f>
        <v>437107</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167911.2</v>
      </c>
      <c r="D48" s="95">
        <f>'DOE25'!G49</f>
        <v>0</v>
      </c>
      <c r="E48" s="95">
        <f>'DOE25'!H49</f>
        <v>0</v>
      </c>
      <c r="F48" s="95">
        <f>'DOE25'!I49</f>
        <v>0</v>
      </c>
      <c r="G48" s="95">
        <f>'DOE25'!J49</f>
        <v>0</v>
      </c>
      <c r="H48" s="124"/>
      <c r="I48" s="124"/>
    </row>
    <row r="49" spans="1:9" ht="12" thickBot="1" x14ac:dyDescent="0.25">
      <c r="A49" s="29" t="s">
        <v>883</v>
      </c>
      <c r="B49" s="71">
        <v>770</v>
      </c>
      <c r="C49" s="95">
        <f>'DOE25'!F50</f>
        <v>623405.55000000005</v>
      </c>
      <c r="D49" s="24" t="s">
        <v>288</v>
      </c>
      <c r="E49" s="24" t="s">
        <v>288</v>
      </c>
      <c r="F49" s="24" t="s">
        <v>288</v>
      </c>
      <c r="G49" s="24" t="s">
        <v>288</v>
      </c>
      <c r="H49" s="124"/>
      <c r="I49" s="124"/>
    </row>
    <row r="50" spans="1:9" ht="12.75" thickTop="1" thickBot="1" x14ac:dyDescent="0.25">
      <c r="A50" s="38" t="s">
        <v>884</v>
      </c>
      <c r="B50" s="48"/>
      <c r="C50" s="41">
        <f>SUM(C34:C49)</f>
        <v>1736474.25</v>
      </c>
      <c r="D50" s="41">
        <f>SUM(D34:D49)</f>
        <v>18759.3</v>
      </c>
      <c r="E50" s="41">
        <f>SUM(E34:E49)</f>
        <v>0</v>
      </c>
      <c r="F50" s="41">
        <f>SUM(F34:F49)</f>
        <v>0</v>
      </c>
      <c r="G50" s="41">
        <f>SUM(G34:G49)</f>
        <v>2882230.93</v>
      </c>
      <c r="H50" s="124"/>
      <c r="I50" s="124"/>
    </row>
    <row r="51" spans="1:9" ht="12" thickTop="1" x14ac:dyDescent="0.2">
      <c r="A51" s="38" t="s">
        <v>885</v>
      </c>
      <c r="B51" s="2"/>
      <c r="C51" s="41">
        <f>C50+C31</f>
        <v>1982405.83</v>
      </c>
      <c r="D51" s="41">
        <f>D50+D31</f>
        <v>107715.63</v>
      </c>
      <c r="E51" s="41">
        <f>E50+E31</f>
        <v>243304.27</v>
      </c>
      <c r="F51" s="41">
        <f>F50+F31</f>
        <v>0</v>
      </c>
      <c r="G51" s="41">
        <f>G50+G31</f>
        <v>2882230.93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15246533</v>
      </c>
      <c r="D56" s="95">
        <f>'DOE25'!G60</f>
        <v>0</v>
      </c>
      <c r="E56" s="95">
        <f>'DOE25'!H60</f>
        <v>0</v>
      </c>
      <c r="F56" s="95">
        <f>'DOE25'!I60</f>
        <v>0</v>
      </c>
      <c r="G56" s="95">
        <f>'DOE25'!J60</f>
        <v>0</v>
      </c>
      <c r="H56"/>
      <c r="I56"/>
    </row>
    <row r="57" spans="1:9" x14ac:dyDescent="0.2">
      <c r="A57" s="1" t="s">
        <v>164</v>
      </c>
      <c r="B57" s="6" t="s">
        <v>165</v>
      </c>
      <c r="C57" s="95">
        <f>'DOE25'!F79</f>
        <v>3274.2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16464.45</v>
      </c>
      <c r="D59" s="95">
        <f>'DOE25'!G96</f>
        <v>0</v>
      </c>
      <c r="E59" s="95">
        <f>'DOE25'!H96</f>
        <v>0</v>
      </c>
      <c r="F59" s="95">
        <f>'DOE25'!I96</f>
        <v>0</v>
      </c>
      <c r="G59" s="95">
        <f>'DOE25'!J96</f>
        <v>311916.59000000003</v>
      </c>
      <c r="H59"/>
      <c r="I59"/>
    </row>
    <row r="60" spans="1:9" x14ac:dyDescent="0.2">
      <c r="A60" s="1" t="s">
        <v>170</v>
      </c>
      <c r="B60" s="118" t="s">
        <v>171</v>
      </c>
      <c r="C60" s="24" t="s">
        <v>288</v>
      </c>
      <c r="D60" s="95">
        <f>'DOE25'!G97</f>
        <v>179796.73</v>
      </c>
      <c r="E60" s="24" t="s">
        <v>288</v>
      </c>
      <c r="F60" s="24" t="s">
        <v>288</v>
      </c>
      <c r="G60" s="24" t="s">
        <v>288</v>
      </c>
      <c r="H60"/>
      <c r="I60"/>
    </row>
    <row r="61" spans="1:9" ht="12" thickBot="1" x14ac:dyDescent="0.25">
      <c r="A61" s="1" t="s">
        <v>172</v>
      </c>
      <c r="B61" s="118" t="s">
        <v>173</v>
      </c>
      <c r="C61" s="95">
        <f>SUM('DOE25'!F98:F110)</f>
        <v>286637.58</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306376.23000000004</v>
      </c>
      <c r="D62" s="130">
        <f>SUM(D57:D61)</f>
        <v>179796.73</v>
      </c>
      <c r="E62" s="130">
        <f>SUM(E57:E61)</f>
        <v>0</v>
      </c>
      <c r="F62" s="130">
        <f>SUM(F57:F61)</f>
        <v>0</v>
      </c>
      <c r="G62" s="130">
        <f>SUM(G57:G61)</f>
        <v>311916.59000000003</v>
      </c>
      <c r="H62"/>
      <c r="I62"/>
    </row>
    <row r="63" spans="1:9" ht="12" thickTop="1" x14ac:dyDescent="0.2">
      <c r="A63" s="29" t="s">
        <v>175</v>
      </c>
      <c r="B63" s="6"/>
      <c r="C63" s="22">
        <f>C56+C62</f>
        <v>15552909.23</v>
      </c>
      <c r="D63" s="22">
        <f>D56+D62</f>
        <v>179796.73</v>
      </c>
      <c r="E63" s="22">
        <f>E56+E62</f>
        <v>0</v>
      </c>
      <c r="F63" s="22">
        <f>F56+F62</f>
        <v>0</v>
      </c>
      <c r="G63" s="22">
        <f>G56+G62</f>
        <v>311916.59000000003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5125195.18</v>
      </c>
      <c r="D66" s="24" t="s">
        <v>288</v>
      </c>
      <c r="E66" s="24" t="s">
        <v>288</v>
      </c>
      <c r="F66" s="24" t="s">
        <v>288</v>
      </c>
      <c r="G66" s="24" t="s">
        <v>288</v>
      </c>
      <c r="H66"/>
      <c r="I66"/>
    </row>
    <row r="67" spans="1:9" x14ac:dyDescent="0.2">
      <c r="A67" s="1" t="s">
        <v>770</v>
      </c>
      <c r="B67" s="6">
        <v>3112</v>
      </c>
      <c r="C67" s="95">
        <f>'DOE25'!F118</f>
        <v>2237785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7362980.1799999997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325898.36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539034.75</v>
      </c>
      <c r="D75" s="24" t="s">
        <v>288</v>
      </c>
      <c r="E75" s="24" t="s">
        <v>288</v>
      </c>
      <c r="F75" s="24" t="s">
        <v>288</v>
      </c>
      <c r="G75" s="24" t="s">
        <v>288</v>
      </c>
      <c r="H75"/>
      <c r="I75"/>
    </row>
    <row r="76" spans="1:9" x14ac:dyDescent="0.2">
      <c r="A76" s="1" t="s">
        <v>257</v>
      </c>
      <c r="B76" s="6" t="s">
        <v>179</v>
      </c>
      <c r="C76" s="95">
        <f>SUM('DOE25'!F127:F130)</f>
        <v>19564.419999999998</v>
      </c>
      <c r="D76" s="24" t="s">
        <v>288</v>
      </c>
      <c r="E76" s="95">
        <f>SUM('DOE25'!H127:H130)</f>
        <v>1099.57</v>
      </c>
      <c r="F76" s="95">
        <f>SUM('DOE25'!I127:I130)</f>
        <v>0</v>
      </c>
      <c r="G76" s="24" t="s">
        <v>288</v>
      </c>
      <c r="H76"/>
      <c r="I76"/>
    </row>
    <row r="77" spans="1:9" ht="12" thickBot="1" x14ac:dyDescent="0.25">
      <c r="A77" s="1" t="s">
        <v>258</v>
      </c>
      <c r="B77" s="6" t="s">
        <v>180</v>
      </c>
      <c r="C77" s="95">
        <f>SUM('DOE25'!F131:F135)</f>
        <v>110.86</v>
      </c>
      <c r="D77" s="95">
        <f>SUM('DOE25'!G131:G135)</f>
        <v>8109.19</v>
      </c>
      <c r="E77" s="95">
        <f>SUM('DOE25'!H131:H135)</f>
        <v>0</v>
      </c>
      <c r="F77" s="95">
        <f>SUM('DOE25'!I131:I135)</f>
        <v>0</v>
      </c>
      <c r="G77" s="95">
        <f>SUM('DOE25'!J131:J135)</f>
        <v>0</v>
      </c>
      <c r="H77"/>
      <c r="I77"/>
    </row>
    <row r="78" spans="1:9" ht="12.75" thickTop="1" thickBot="1" x14ac:dyDescent="0.25">
      <c r="A78" s="29" t="s">
        <v>259</v>
      </c>
      <c r="B78" s="6"/>
      <c r="C78" s="130">
        <f>SUM(C72:C77)</f>
        <v>884608.39</v>
      </c>
      <c r="D78" s="130">
        <f>SUM(D72:D77)</f>
        <v>8109.19</v>
      </c>
      <c r="E78" s="130">
        <f>SUM(E72:E77)</f>
        <v>1099.57</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8247588.5699999994</v>
      </c>
      <c r="D81" s="130">
        <f>SUM(D79:D80)+D78+D70</f>
        <v>8109.19</v>
      </c>
      <c r="E81" s="130">
        <f>SUM(E79:E80)+E78+E70</f>
        <v>1099.57</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39" t="s">
        <v>184</v>
      </c>
      <c r="C88" s="340">
        <f>SUM('DOE25'!F153:F162)</f>
        <v>13535.55</v>
      </c>
      <c r="D88" s="340">
        <f>SUM('DOE25'!G153:G162)</f>
        <v>320562.53999999998</v>
      </c>
      <c r="E88" s="340">
        <f>SUM('DOE25'!H153:H162)</f>
        <v>839732.96</v>
      </c>
      <c r="F88" s="34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13535.55</v>
      </c>
      <c r="D91" s="131">
        <f>SUM(D85:D90)</f>
        <v>320562.53999999998</v>
      </c>
      <c r="E91" s="131">
        <f>SUM(E85:E90)</f>
        <v>839732.96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11000</v>
      </c>
      <c r="E96" s="95">
        <f>'DOE25'!H180</f>
        <v>0</v>
      </c>
      <c r="F96" s="95">
        <f>'DOE25'!I180</f>
        <v>0</v>
      </c>
      <c r="G96" s="95">
        <f>'DOE25'!J180</f>
        <v>0</v>
      </c>
    </row>
    <row r="97" spans="1:7" x14ac:dyDescent="0.2">
      <c r="A97" t="s">
        <v>754</v>
      </c>
      <c r="B97" s="32" t="s">
        <v>188</v>
      </c>
      <c r="C97" s="95">
        <f>SUM('DOE25'!F181:F182)</f>
        <v>8000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8000</v>
      </c>
      <c r="D103" s="86">
        <f>SUM(D93:D102)</f>
        <v>11000</v>
      </c>
      <c r="E103" s="86">
        <f>SUM(E93:E102)</f>
        <v>0</v>
      </c>
      <c r="F103" s="86">
        <f>SUM(F93:F102)</f>
        <v>0</v>
      </c>
      <c r="G103" s="86">
        <f>SUM(G93:G102)</f>
        <v>0</v>
      </c>
    </row>
    <row r="104" spans="1:7" ht="12.75" thickTop="1" thickBot="1" x14ac:dyDescent="0.25">
      <c r="A104" s="33" t="s">
        <v>761</v>
      </c>
      <c r="C104" s="86">
        <f>C63+C81+C91+C103</f>
        <v>23822033.350000001</v>
      </c>
      <c r="D104" s="86">
        <f>D63+D81+D91+D103</f>
        <v>519468.45999999996</v>
      </c>
      <c r="E104" s="86">
        <f>E63+E81+E91+E103</f>
        <v>840832.52999999991</v>
      </c>
      <c r="F104" s="86">
        <f>F63+F81+F91+F103</f>
        <v>0</v>
      </c>
      <c r="G104" s="86">
        <f>G63+G81+G103</f>
        <v>311916.59000000003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7902016.1500000004</v>
      </c>
      <c r="D109" s="24" t="s">
        <v>288</v>
      </c>
      <c r="E109" s="95">
        <f>('DOE25'!L277)+('DOE25'!L296)+('DOE25'!L315)</f>
        <v>279133.99</v>
      </c>
      <c r="F109" s="24" t="s">
        <v>288</v>
      </c>
      <c r="G109" s="24" t="s">
        <v>288</v>
      </c>
    </row>
    <row r="110" spans="1:7" x14ac:dyDescent="0.2">
      <c r="A110" t="s">
        <v>198</v>
      </c>
      <c r="B110" s="32" t="s">
        <v>199</v>
      </c>
      <c r="C110" s="95">
        <f>('DOE25'!L199)+('DOE25'!L217)+('DOE25'!L235)</f>
        <v>5481685.1299999999</v>
      </c>
      <c r="D110" s="24" t="s">
        <v>288</v>
      </c>
      <c r="E110" s="95">
        <f>('DOE25'!L278)+('DOE25'!L297)+('DOE25'!L316)</f>
        <v>387829.46</v>
      </c>
      <c r="F110" s="24" t="s">
        <v>288</v>
      </c>
      <c r="G110" s="24" t="s">
        <v>288</v>
      </c>
    </row>
    <row r="111" spans="1:7" x14ac:dyDescent="0.2">
      <c r="A111" t="s">
        <v>200</v>
      </c>
      <c r="B111" s="32" t="s">
        <v>165</v>
      </c>
      <c r="C111" s="95">
        <f>('DOE25'!L200)+('DOE25'!L218)+('DOE25'!L236)</f>
        <v>436868.68</v>
      </c>
      <c r="D111" s="24" t="s">
        <v>288</v>
      </c>
      <c r="E111" s="95">
        <f>('DOE25'!L279)+('DOE25'!L298)+('DOE25'!L317)</f>
        <v>0</v>
      </c>
      <c r="F111" s="24" t="s">
        <v>288</v>
      </c>
      <c r="G111" s="24" t="s">
        <v>288</v>
      </c>
    </row>
    <row r="112" spans="1:7" x14ac:dyDescent="0.2">
      <c r="A112" t="s">
        <v>201</v>
      </c>
      <c r="B112" s="32" t="s">
        <v>167</v>
      </c>
      <c r="C112" s="95">
        <f>('DOE25'!L201)+('DOE25'!L219)+('DOE25'!L237)</f>
        <v>493582.5</v>
      </c>
      <c r="D112" s="24" t="s">
        <v>288</v>
      </c>
      <c r="E112" s="95">
        <f>+('DOE25'!L280)+('DOE25'!L299)+('DOE25'!L318)</f>
        <v>3089.7299999999996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14314152.460000001</v>
      </c>
      <c r="D115" s="86">
        <f>SUM(D109:D114)</f>
        <v>0</v>
      </c>
      <c r="E115" s="86">
        <f>SUM(E109:E114)</f>
        <v>670053.17999999993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1666222.8200000003</v>
      </c>
      <c r="D118" s="24" t="s">
        <v>288</v>
      </c>
      <c r="E118" s="95">
        <f>+('DOE25'!L282)+('DOE25'!L301)+('DOE25'!L320)</f>
        <v>34981.96</v>
      </c>
      <c r="F118" s="24" t="s">
        <v>288</v>
      </c>
      <c r="G118" s="24" t="s">
        <v>288</v>
      </c>
    </row>
    <row r="119" spans="1:7" x14ac:dyDescent="0.2">
      <c r="A119" t="s">
        <v>208</v>
      </c>
      <c r="B119" s="32" t="s">
        <v>209</v>
      </c>
      <c r="C119" s="95">
        <f>('DOE25'!L204)+('DOE25'!L222)+('DOE25'!L240)</f>
        <v>474252.23999999993</v>
      </c>
      <c r="D119" s="24" t="s">
        <v>288</v>
      </c>
      <c r="E119" s="95">
        <f>+('DOE25'!L283)+('DOE25'!L302)+('DOE25'!L321)</f>
        <v>127797.39000000001</v>
      </c>
      <c r="F119" s="24" t="s">
        <v>288</v>
      </c>
      <c r="G119" s="24" t="s">
        <v>288</v>
      </c>
    </row>
    <row r="120" spans="1:7" x14ac:dyDescent="0.2">
      <c r="A120" t="s">
        <v>210</v>
      </c>
      <c r="B120" s="32" t="s">
        <v>211</v>
      </c>
      <c r="C120" s="95">
        <f>('DOE25'!L205)+('DOE25'!L223)+('DOE25'!L241)</f>
        <v>445395.87000000005</v>
      </c>
      <c r="D120" s="24" t="s">
        <v>288</v>
      </c>
      <c r="E120" s="95">
        <f>+('DOE25'!L284)+('DOE25'!L303)+('DOE25'!L322)</f>
        <v>0</v>
      </c>
      <c r="F120" s="24" t="s">
        <v>288</v>
      </c>
      <c r="G120" s="24" t="s">
        <v>288</v>
      </c>
    </row>
    <row r="121" spans="1:7" x14ac:dyDescent="0.2">
      <c r="A121" t="s">
        <v>212</v>
      </c>
      <c r="B121" s="32" t="s">
        <v>213</v>
      </c>
      <c r="C121" s="95">
        <f>('DOE25'!L206)+('DOE25'!L224)+('DOE25'!L242)</f>
        <v>1284972.25</v>
      </c>
      <c r="D121" s="24" t="s">
        <v>288</v>
      </c>
      <c r="E121" s="95">
        <f>+('DOE25'!L285)+('DOE25'!L304)+('DOE25'!L323)</f>
        <v>0</v>
      </c>
      <c r="F121" s="24" t="s">
        <v>288</v>
      </c>
      <c r="G121" s="24" t="s">
        <v>288</v>
      </c>
    </row>
    <row r="122" spans="1:7" x14ac:dyDescent="0.2">
      <c r="A122" t="s">
        <v>214</v>
      </c>
      <c r="B122" s="32" t="s">
        <v>215</v>
      </c>
      <c r="C122" s="95">
        <f>('DOE25'!L207)+('DOE25'!L225)+('DOE25'!L243)</f>
        <v>517930.45999999996</v>
      </c>
      <c r="D122" s="24" t="s">
        <v>288</v>
      </c>
      <c r="E122" s="95">
        <f>+('DOE25'!L286)+('DOE25'!L305)+('DOE25'!L324)</f>
        <v>0</v>
      </c>
      <c r="F122" s="24" t="s">
        <v>288</v>
      </c>
      <c r="G122" s="24" t="s">
        <v>288</v>
      </c>
    </row>
    <row r="123" spans="1:7" x14ac:dyDescent="0.2">
      <c r="A123" t="s">
        <v>216</v>
      </c>
      <c r="B123" s="32" t="s">
        <v>217</v>
      </c>
      <c r="C123" s="95">
        <f>('DOE25'!L208)+('DOE25'!L226)+('DOE25'!L244)</f>
        <v>1732668.6099999999</v>
      </c>
      <c r="D123" s="24" t="s">
        <v>288</v>
      </c>
      <c r="E123" s="95">
        <f>+('DOE25'!L287)+('DOE25'!L306)+('DOE25'!L325)</f>
        <v>0</v>
      </c>
      <c r="F123" s="24" t="s">
        <v>288</v>
      </c>
      <c r="G123" s="24" t="s">
        <v>288</v>
      </c>
    </row>
    <row r="124" spans="1:7" x14ac:dyDescent="0.2">
      <c r="A124" t="s">
        <v>218</v>
      </c>
      <c r="B124" s="32" t="s">
        <v>219</v>
      </c>
      <c r="C124" s="95">
        <f>('DOE25'!L209)+('DOE25'!L227)+('DOE25'!L245+'DOE25'!L255)</f>
        <v>1266720.3599999999</v>
      </c>
      <c r="D124" s="24" t="s">
        <v>288</v>
      </c>
      <c r="E124" s="95">
        <f>+('DOE25'!L288)+('DOE25'!L307)+('DOE25'!L326)</f>
        <v>0</v>
      </c>
      <c r="F124" s="24" t="s">
        <v>288</v>
      </c>
      <c r="G124" s="24" t="s">
        <v>288</v>
      </c>
    </row>
    <row r="125" spans="1:7" x14ac:dyDescent="0.2">
      <c r="A125" t="s">
        <v>220</v>
      </c>
      <c r="B125" s="32" t="s">
        <v>221</v>
      </c>
      <c r="C125" s="95">
        <f>('DOE25'!L210)+('DOE25'!L228)+('DOE25'!L246)</f>
        <v>542551.07000000007</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526309.78999999992</v>
      </c>
      <c r="E127" s="24" t="s">
        <v>288</v>
      </c>
      <c r="F127" s="24" t="s">
        <v>288</v>
      </c>
      <c r="G127" s="24" t="s">
        <v>288</v>
      </c>
    </row>
    <row r="128" spans="1:7" ht="12.75" thickTop="1" thickBot="1" x14ac:dyDescent="0.25">
      <c r="A128" s="33" t="s">
        <v>226</v>
      </c>
      <c r="C128" s="86">
        <f>SUM(C118:C127)</f>
        <v>7930713.6799999997</v>
      </c>
      <c r="D128" s="86">
        <f>SUM(D118:D127)</f>
        <v>526309.78999999992</v>
      </c>
      <c r="E128" s="86">
        <f>SUM(E118:E127)</f>
        <v>162779.35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281644.2</v>
      </c>
      <c r="D130" s="24" t="s">
        <v>288</v>
      </c>
      <c r="E130" s="129">
        <f>'DOE25'!L337</f>
        <v>0</v>
      </c>
      <c r="F130" s="129">
        <f>SUM('DOE25'!L375:'DOE25'!L381)</f>
        <v>0</v>
      </c>
      <c r="G130" s="24" t="s">
        <v>288</v>
      </c>
    </row>
    <row r="131" spans="1:7" x14ac:dyDescent="0.2">
      <c r="A131" t="s">
        <v>229</v>
      </c>
      <c r="B131" s="32">
        <v>5110</v>
      </c>
      <c r="C131" s="95">
        <f>'DOE25'!L261</f>
        <v>760000</v>
      </c>
      <c r="D131" s="24" t="s">
        <v>288</v>
      </c>
      <c r="E131" s="129">
        <f>'DOE25'!L342</f>
        <v>0</v>
      </c>
      <c r="F131" s="24" t="s">
        <v>288</v>
      </c>
      <c r="G131" s="24" t="s">
        <v>288</v>
      </c>
    </row>
    <row r="132" spans="1:7" x14ac:dyDescent="0.2">
      <c r="A132" t="s">
        <v>230</v>
      </c>
      <c r="B132" s="32">
        <v>5120</v>
      </c>
      <c r="C132" s="95">
        <f>'DOE25'!L262</f>
        <v>93235.63</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8000</v>
      </c>
      <c r="F134" s="95">
        <f>'DOE25'!K382</f>
        <v>0</v>
      </c>
      <c r="G134" s="95">
        <f>'DOE25'!K435</f>
        <v>0</v>
      </c>
    </row>
    <row r="135" spans="1:7" x14ac:dyDescent="0.2">
      <c r="A135" t="s">
        <v>233</v>
      </c>
      <c r="B135" s="32" t="s">
        <v>234</v>
      </c>
      <c r="C135" s="95">
        <f>'DOE25'!L264</f>
        <v>11000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3701.79</v>
      </c>
      <c r="D138" s="24" t="s">
        <v>288</v>
      </c>
      <c r="E138" s="24" t="s">
        <v>288</v>
      </c>
      <c r="F138" s="24" t="s">
        <v>288</v>
      </c>
      <c r="G138" s="24" t="s">
        <v>288</v>
      </c>
    </row>
    <row r="139" spans="1:7" x14ac:dyDescent="0.2">
      <c r="A139" t="s">
        <v>239</v>
      </c>
      <c r="B139" s="32">
        <v>5252</v>
      </c>
      <c r="C139" s="95">
        <f>'DOE25'!L402</f>
        <v>159750.38</v>
      </c>
      <c r="D139" s="24" t="s">
        <v>288</v>
      </c>
      <c r="E139" s="24" t="s">
        <v>288</v>
      </c>
      <c r="F139" s="24" t="s">
        <v>288</v>
      </c>
      <c r="G139" s="24" t="s">
        <v>288</v>
      </c>
    </row>
    <row r="140" spans="1:7" x14ac:dyDescent="0.2">
      <c r="A140" t="s">
        <v>240</v>
      </c>
      <c r="B140" s="32">
        <v>5253</v>
      </c>
      <c r="C140" s="95">
        <f>'DOE25'!L408</f>
        <v>148464.41999999998</v>
      </c>
      <c r="D140" s="24" t="s">
        <v>288</v>
      </c>
      <c r="E140" s="24" t="s">
        <v>288</v>
      </c>
      <c r="F140" s="24" t="s">
        <v>288</v>
      </c>
      <c r="G140" s="24" t="s">
        <v>288</v>
      </c>
    </row>
    <row r="141" spans="1:7" x14ac:dyDescent="0.2">
      <c r="A141" t="s">
        <v>762</v>
      </c>
      <c r="B141" s="32">
        <v>5254</v>
      </c>
      <c r="C141" s="95">
        <f>('DOE25'!L267+'DOE25'!K348) - (C138+C139+C140)</f>
        <v>-311916.58999999997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1145879.83</v>
      </c>
      <c r="D144" s="141">
        <f>SUM(D130:D143)</f>
        <v>0</v>
      </c>
      <c r="E144" s="141">
        <f>SUM(E130:E143)</f>
        <v>8000</v>
      </c>
      <c r="F144" s="141">
        <f>SUM(F130:F143)</f>
        <v>0</v>
      </c>
      <c r="G144" s="141">
        <f>SUM(G130:G143)</f>
        <v>0</v>
      </c>
    </row>
    <row r="145" spans="1:9" ht="12.75" thickTop="1" thickBot="1" x14ac:dyDescent="0.25">
      <c r="A145" s="33" t="s">
        <v>244</v>
      </c>
      <c r="C145" s="86">
        <f>(C115+C128+C144)</f>
        <v>23390745.969999999</v>
      </c>
      <c r="D145" s="86">
        <f>(D115+D128+D144)</f>
        <v>526309.78999999992</v>
      </c>
      <c r="E145" s="86">
        <f>(E115+E128+E144)</f>
        <v>840832.52999999991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15</v>
      </c>
      <c r="C151" s="153">
        <f>'DOE25'!G491</f>
        <v>10</v>
      </c>
      <c r="D151" s="153">
        <f>'DOE25'!H491</f>
        <v>0</v>
      </c>
      <c r="E151" s="153">
        <f>'DOE25'!I491</f>
        <v>0</v>
      </c>
      <c r="F151" s="153">
        <f>'DOE25'!J491</f>
        <v>0</v>
      </c>
      <c r="G151" s="24" t="s">
        <v>288</v>
      </c>
    </row>
    <row r="152" spans="1:9" x14ac:dyDescent="0.2">
      <c r="A152" s="136" t="s">
        <v>28</v>
      </c>
      <c r="B152" s="152" t="str">
        <f>'DOE25'!F492</f>
        <v>07/06</v>
      </c>
      <c r="C152" s="152" t="str">
        <f>'DOE25'!G492</f>
        <v>07/17</v>
      </c>
      <c r="D152" s="152">
        <f>'DOE25'!H492</f>
        <v>0</v>
      </c>
      <c r="E152" s="152">
        <f>'DOE25'!I492</f>
        <v>0</v>
      </c>
      <c r="F152" s="152">
        <f>'DOE25'!J492</f>
        <v>0</v>
      </c>
      <c r="G152" s="24" t="s">
        <v>288</v>
      </c>
    </row>
    <row r="153" spans="1:9" x14ac:dyDescent="0.2">
      <c r="A153" s="136" t="s">
        <v>29</v>
      </c>
      <c r="B153" s="152" t="str">
        <f>'DOE25'!F493</f>
        <v>08/21</v>
      </c>
      <c r="C153" s="152" t="str">
        <f>'DOE25'!G493</f>
        <v>08/27</v>
      </c>
      <c r="D153" s="152">
        <f>'DOE25'!H493</f>
        <v>0</v>
      </c>
      <c r="E153" s="152">
        <f>'DOE25'!I493</f>
        <v>0</v>
      </c>
      <c r="F153" s="152">
        <f>'DOE25'!J493</f>
        <v>0</v>
      </c>
      <c r="G153" s="24" t="s">
        <v>288</v>
      </c>
    </row>
    <row r="154" spans="1:9" x14ac:dyDescent="0.2">
      <c r="A154" s="136" t="s">
        <v>30</v>
      </c>
      <c r="B154" s="137">
        <f>'DOE25'!F494</f>
        <v>9247684</v>
      </c>
      <c r="C154" s="137">
        <f>'DOE25'!G494</f>
        <v>1446400</v>
      </c>
      <c r="D154" s="137">
        <f>'DOE25'!H494</f>
        <v>0</v>
      </c>
      <c r="E154" s="137">
        <f>'DOE25'!I494</f>
        <v>0</v>
      </c>
      <c r="F154" s="137">
        <f>'DOE25'!J494</f>
        <v>0</v>
      </c>
      <c r="G154" s="24" t="s">
        <v>288</v>
      </c>
    </row>
    <row r="155" spans="1:9" x14ac:dyDescent="0.2">
      <c r="A155" s="136" t="s">
        <v>31</v>
      </c>
      <c r="B155" s="137">
        <f>'DOE25'!F495</f>
        <v>5</v>
      </c>
      <c r="C155" s="137">
        <f>'DOE25'!G495</f>
        <v>5.0999999999999996</v>
      </c>
      <c r="D155" s="137">
        <f>'DOE25'!H495</f>
        <v>0</v>
      </c>
      <c r="E155" s="137">
        <f>'DOE25'!I495</f>
        <v>0</v>
      </c>
      <c r="F155" s="137">
        <f>'DOE25'!J495</f>
        <v>0</v>
      </c>
      <c r="G155" s="24" t="s">
        <v>288</v>
      </c>
    </row>
    <row r="156" spans="1:9" x14ac:dyDescent="0.2">
      <c r="A156" s="22" t="s">
        <v>32</v>
      </c>
      <c r="B156" s="137">
        <f>'DOE25'!F496</f>
        <v>1845000</v>
      </c>
      <c r="C156" s="137">
        <f>'DOE25'!G496</f>
        <v>1305000</v>
      </c>
      <c r="D156" s="137">
        <f>'DOE25'!H496</f>
        <v>0</v>
      </c>
      <c r="E156" s="137">
        <f>'DOE25'!I496</f>
        <v>0</v>
      </c>
      <c r="F156" s="137">
        <f>'DOE25'!J496</f>
        <v>0</v>
      </c>
      <c r="G156" s="138">
        <f>SUM(B156:F156)</f>
        <v>3150000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615000</v>
      </c>
      <c r="C158" s="137">
        <f>'DOE25'!G498</f>
        <v>145000</v>
      </c>
      <c r="D158" s="137">
        <f>'DOE25'!H498</f>
        <v>0</v>
      </c>
      <c r="E158" s="137">
        <f>'DOE25'!I498</f>
        <v>0</v>
      </c>
      <c r="F158" s="137">
        <f>'DOE25'!J498</f>
        <v>0</v>
      </c>
      <c r="G158" s="138">
        <f t="shared" si="0"/>
        <v>760000</v>
      </c>
    </row>
    <row r="159" spans="1:9" x14ac:dyDescent="0.2">
      <c r="A159" s="22" t="s">
        <v>35</v>
      </c>
      <c r="B159" s="137">
        <f>'DOE25'!F499</f>
        <v>1230000</v>
      </c>
      <c r="C159" s="137">
        <f>'DOE25'!G499</f>
        <v>1160000</v>
      </c>
      <c r="D159" s="137">
        <f>'DOE25'!H499</f>
        <v>0</v>
      </c>
      <c r="E159" s="137">
        <f>'DOE25'!I499</f>
        <v>0</v>
      </c>
      <c r="F159" s="137">
        <f>'DOE25'!J499</f>
        <v>0</v>
      </c>
      <c r="G159" s="138">
        <f t="shared" si="0"/>
        <v>2390000</v>
      </c>
    </row>
    <row r="160" spans="1:9" x14ac:dyDescent="0.2">
      <c r="A160" s="22" t="s">
        <v>36</v>
      </c>
      <c r="B160" s="137">
        <f>'DOE25'!F500</f>
        <v>15040.63</v>
      </c>
      <c r="C160" s="137">
        <f>'DOE25'!G500</f>
        <v>236640</v>
      </c>
      <c r="D160" s="137">
        <f>'DOE25'!H500</f>
        <v>0</v>
      </c>
      <c r="E160" s="137">
        <f>'DOE25'!I500</f>
        <v>0</v>
      </c>
      <c r="F160" s="137">
        <f>'DOE25'!J500</f>
        <v>0</v>
      </c>
      <c r="G160" s="138">
        <f t="shared" si="0"/>
        <v>251680.63</v>
      </c>
    </row>
    <row r="161" spans="1:7" x14ac:dyDescent="0.2">
      <c r="A161" s="22" t="s">
        <v>37</v>
      </c>
      <c r="B161" s="137">
        <f>'DOE25'!F501</f>
        <v>1245040.6299999999</v>
      </c>
      <c r="C161" s="137">
        <f>'DOE25'!G501</f>
        <v>1396640</v>
      </c>
      <c r="D161" s="137">
        <f>'DOE25'!H501</f>
        <v>0</v>
      </c>
      <c r="E161" s="137">
        <f>'DOE25'!I501</f>
        <v>0</v>
      </c>
      <c r="F161" s="137">
        <f>'DOE25'!J501</f>
        <v>0</v>
      </c>
      <c r="G161" s="138">
        <f t="shared" si="0"/>
        <v>2641680.63</v>
      </c>
    </row>
    <row r="162" spans="1:7" x14ac:dyDescent="0.2">
      <c r="A162" s="22" t="s">
        <v>38</v>
      </c>
      <c r="B162" s="137">
        <f>'DOE25'!F502</f>
        <v>615000</v>
      </c>
      <c r="C162" s="137">
        <f>'DOE25'!G502</f>
        <v>145000</v>
      </c>
      <c r="D162" s="137">
        <f>'DOE25'!H502</f>
        <v>0</v>
      </c>
      <c r="E162" s="137">
        <f>'DOE25'!I502</f>
        <v>0</v>
      </c>
      <c r="F162" s="137">
        <f>'DOE25'!J502</f>
        <v>0</v>
      </c>
      <c r="G162" s="138">
        <f t="shared" si="0"/>
        <v>760000</v>
      </c>
    </row>
    <row r="163" spans="1:7" x14ac:dyDescent="0.2">
      <c r="A163" s="22" t="s">
        <v>39</v>
      </c>
      <c r="B163" s="137">
        <f>'DOE25'!F503</f>
        <v>14934.38</v>
      </c>
      <c r="C163" s="137">
        <f>'DOE25'!G503</f>
        <v>55462.5</v>
      </c>
      <c r="D163" s="137">
        <f>'DOE25'!H503</f>
        <v>0</v>
      </c>
      <c r="E163" s="137">
        <f>'DOE25'!I503</f>
        <v>0</v>
      </c>
      <c r="F163" s="137">
        <f>'DOE25'!J503</f>
        <v>0</v>
      </c>
      <c r="G163" s="138">
        <f t="shared" si="0"/>
        <v>70396.88</v>
      </c>
    </row>
    <row r="164" spans="1:7" x14ac:dyDescent="0.2">
      <c r="A164" s="22" t="s">
        <v>246</v>
      </c>
      <c r="B164" s="137">
        <f>'DOE25'!F504</f>
        <v>629934.38</v>
      </c>
      <c r="C164" s="137">
        <f>'DOE25'!G504</f>
        <v>200462.5</v>
      </c>
      <c r="D164" s="137">
        <f>'DOE25'!H504</f>
        <v>0</v>
      </c>
      <c r="E164" s="137">
        <f>'DOE25'!I504</f>
        <v>0</v>
      </c>
      <c r="F164" s="137">
        <f>'DOE25'!J504</f>
        <v>0</v>
      </c>
      <c r="G164" s="138">
        <f t="shared" si="0"/>
        <v>830396.88</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41" sqref="C4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Jaffrey-Rindge Cooperative School District</v>
      </c>
    </row>
    <row r="3" spans="1:4" x14ac:dyDescent="0.2">
      <c r="B3" s="188" t="s">
        <v>1587</v>
      </c>
    </row>
    <row r="4" spans="1:4" x14ac:dyDescent="0.2">
      <c r="B4" t="s">
        <v>61</v>
      </c>
      <c r="C4" s="179">
        <f>IF('DOE25'!F666+'DOE25'!F671=0,0,ROUND('DOE25'!F673,0))</f>
        <v>15456</v>
      </c>
    </row>
    <row r="5" spans="1:4" x14ac:dyDescent="0.2">
      <c r="B5" t="s">
        <v>700</v>
      </c>
      <c r="C5" s="179">
        <f>IF('DOE25'!G666+'DOE25'!G671=0,0,ROUND('DOE25'!G673,0))</f>
        <v>13834</v>
      </c>
    </row>
    <row r="6" spans="1:4" x14ac:dyDescent="0.2">
      <c r="B6" t="s">
        <v>62</v>
      </c>
      <c r="C6" s="179">
        <f>IF('DOE25'!H666+'DOE25'!H671=0,0,ROUND('DOE25'!H673,0))</f>
        <v>15056</v>
      </c>
    </row>
    <row r="7" spans="1:4" x14ac:dyDescent="0.2">
      <c r="B7" t="s">
        <v>701</v>
      </c>
      <c r="C7" s="179">
        <f>IF('DOE25'!I666+'DOE25'!I671=0,0,ROUND('DOE25'!I673,0))</f>
        <v>14971</v>
      </c>
    </row>
    <row r="9" spans="1:4" x14ac:dyDescent="0.2">
      <c r="A9" s="187" t="s">
        <v>94</v>
      </c>
      <c r="B9" s="188" t="s">
        <v>1588</v>
      </c>
      <c r="C9" s="181" t="s">
        <v>720</v>
      </c>
      <c r="D9" s="181" t="s">
        <v>721</v>
      </c>
    </row>
    <row r="10" spans="1:4" x14ac:dyDescent="0.2">
      <c r="A10">
        <v>1100</v>
      </c>
      <c r="B10" t="s">
        <v>702</v>
      </c>
      <c r="C10" s="179">
        <f>ROUND('DOE25'!L198+'DOE25'!L216+'DOE25'!L234+'DOE25'!L277+'DOE25'!L296+'DOE25'!L315,0)</f>
        <v>8181150</v>
      </c>
      <c r="D10" s="182">
        <f>ROUND((C10/$C$28)*100,1)</f>
        <v>34.799999999999997</v>
      </c>
    </row>
    <row r="11" spans="1:4" x14ac:dyDescent="0.2">
      <c r="A11">
        <v>1200</v>
      </c>
      <c r="B11" t="s">
        <v>703</v>
      </c>
      <c r="C11" s="179">
        <f>ROUND('DOE25'!L199+'DOE25'!L217+'DOE25'!L235+'DOE25'!L278+'DOE25'!L297+'DOE25'!L316,0)</f>
        <v>5869515</v>
      </c>
      <c r="D11" s="182">
        <f>ROUND((C11/$C$28)*100,1)</f>
        <v>25</v>
      </c>
    </row>
    <row r="12" spans="1:4" x14ac:dyDescent="0.2">
      <c r="A12">
        <v>1300</v>
      </c>
      <c r="B12" t="s">
        <v>704</v>
      </c>
      <c r="C12" s="179">
        <f>ROUND('DOE25'!L200+'DOE25'!L218+'DOE25'!L236+'DOE25'!L279+'DOE25'!L298+'DOE25'!L317,0)</f>
        <v>436869</v>
      </c>
      <c r="D12" s="182">
        <f>ROUND((C12/$C$28)*100,1)</f>
        <v>1.9</v>
      </c>
    </row>
    <row r="13" spans="1:4" x14ac:dyDescent="0.2">
      <c r="A13">
        <v>1400</v>
      </c>
      <c r="B13" t="s">
        <v>705</v>
      </c>
      <c r="C13" s="179">
        <f>ROUND('DOE25'!L201+'DOE25'!L219+'DOE25'!L237+'DOE25'!L280+'DOE25'!L299+'DOE25'!L318,0)</f>
        <v>496672</v>
      </c>
      <c r="D13" s="182">
        <f>ROUND((C13/$C$28)*100,1)</f>
        <v>2.1</v>
      </c>
    </row>
    <row r="14" spans="1:4" x14ac:dyDescent="0.2">
      <c r="D14" s="182"/>
    </row>
    <row r="15" spans="1:4" x14ac:dyDescent="0.2">
      <c r="A15">
        <v>2100</v>
      </c>
      <c r="B15" t="s">
        <v>706</v>
      </c>
      <c r="C15" s="179">
        <f>ROUND('DOE25'!L203+'DOE25'!L221+'DOE25'!L239+'DOE25'!L282+'DOE25'!L301+'DOE25'!L320,0)</f>
        <v>1701205</v>
      </c>
      <c r="D15" s="182">
        <f t="shared" ref="D15:D27" si="0">ROUND((C15/$C$28)*100,1)</f>
        <v>7.2</v>
      </c>
    </row>
    <row r="16" spans="1:4" x14ac:dyDescent="0.2">
      <c r="A16">
        <v>2200</v>
      </c>
      <c r="B16" t="s">
        <v>707</v>
      </c>
      <c r="C16" s="179">
        <f>ROUND('DOE25'!L204+'DOE25'!L222+'DOE25'!L240+'DOE25'!L283+'DOE25'!L302+'DOE25'!L321,0)</f>
        <v>602050</v>
      </c>
      <c r="D16" s="182">
        <f t="shared" si="0"/>
        <v>2.6</v>
      </c>
    </row>
    <row r="17" spans="1:4" x14ac:dyDescent="0.2">
      <c r="A17" s="183" t="s">
        <v>723</v>
      </c>
      <c r="B17" t="s">
        <v>738</v>
      </c>
      <c r="C17" s="179">
        <f>ROUND('DOE25'!L205+'DOE25'!L210+'DOE25'!L223+'DOE25'!L228+'DOE25'!L241+'DOE25'!L246+'DOE25'!L284+'DOE25'!L289+'DOE25'!L303+'DOE25'!L308+'DOE25'!L322+'DOE25'!L327,0)</f>
        <v>987947</v>
      </c>
      <c r="D17" s="182">
        <f t="shared" si="0"/>
        <v>4.2</v>
      </c>
    </row>
    <row r="18" spans="1:4" x14ac:dyDescent="0.2">
      <c r="A18">
        <v>2400</v>
      </c>
      <c r="B18" t="s">
        <v>711</v>
      </c>
      <c r="C18" s="179">
        <f>ROUND('DOE25'!L206+'DOE25'!L224+'DOE25'!L242+'DOE25'!L285+'DOE25'!L304+'DOE25'!L323,0)</f>
        <v>1284972</v>
      </c>
      <c r="D18" s="182">
        <f t="shared" si="0"/>
        <v>5.5</v>
      </c>
    </row>
    <row r="19" spans="1:4" x14ac:dyDescent="0.2">
      <c r="A19">
        <v>2500</v>
      </c>
      <c r="B19" t="s">
        <v>708</v>
      </c>
      <c r="C19" s="179">
        <f>ROUND('DOE25'!L207+'DOE25'!L225+'DOE25'!L243+'DOE25'!L286+'DOE25'!L305+'DOE25'!L324,0)</f>
        <v>517930</v>
      </c>
      <c r="D19" s="182">
        <f t="shared" si="0"/>
        <v>2.2000000000000002</v>
      </c>
    </row>
    <row r="20" spans="1:4" x14ac:dyDescent="0.2">
      <c r="A20">
        <v>2600</v>
      </c>
      <c r="B20" t="s">
        <v>709</v>
      </c>
      <c r="C20" s="179">
        <f>ROUND('DOE25'!L208+'DOE25'!L226+'DOE25'!L244+'DOE25'!L287+'DOE25'!L306+'DOE25'!L325,0)</f>
        <v>1732669</v>
      </c>
      <c r="D20" s="182">
        <f t="shared" si="0"/>
        <v>7.4</v>
      </c>
    </row>
    <row r="21" spans="1:4" x14ac:dyDescent="0.2">
      <c r="A21">
        <v>2700</v>
      </c>
      <c r="B21" t="s">
        <v>710</v>
      </c>
      <c r="C21" s="179">
        <f>ROUND('DOE25'!L209+'DOE25'!L227+'DOE25'!L245+'DOE25'!L288+'DOE25'!L307+'DOE25'!L326,0)</f>
        <v>1266720</v>
      </c>
      <c r="D21" s="182">
        <f t="shared" si="0"/>
        <v>5.4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93236</v>
      </c>
      <c r="D25" s="182">
        <f t="shared" si="0"/>
        <v>0.4</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346513.27</v>
      </c>
      <c r="D27" s="182">
        <f t="shared" si="0"/>
        <v>1.5</v>
      </c>
    </row>
    <row r="28" spans="1:4" x14ac:dyDescent="0.2">
      <c r="B28" s="187" t="s">
        <v>719</v>
      </c>
      <c r="C28" s="180">
        <f>SUM(C10:C27)</f>
        <v>23517448.27</v>
      </c>
      <c r="D28" s="184">
        <f>ROUND(SUM(D10:D27),0)</f>
        <v>100</v>
      </c>
    </row>
    <row r="29" spans="1:4" x14ac:dyDescent="0.2">
      <c r="A29">
        <v>4000</v>
      </c>
      <c r="B29" t="s">
        <v>724</v>
      </c>
      <c r="C29" s="179">
        <f>ROUND('DOE25'!L256+'DOE25'!L337+'DOE25'!L375+'DOE25'!L376+'DOE25'!L377+'DOE25'!L378+'DOE25'!L379+'DOE25'!L380+'DOE25'!L381,0)</f>
        <v>281644</v>
      </c>
    </row>
    <row r="30" spans="1:4" x14ac:dyDescent="0.2">
      <c r="B30" s="187" t="s">
        <v>725</v>
      </c>
      <c r="C30" s="180">
        <f>SUM(C28:C29)</f>
        <v>23799092.27</v>
      </c>
    </row>
    <row r="31" spans="1:4" x14ac:dyDescent="0.2">
      <c r="B31" s="33"/>
      <c r="C31" s="180"/>
    </row>
    <row r="32" spans="1:4" x14ac:dyDescent="0.2">
      <c r="A32">
        <v>5100</v>
      </c>
      <c r="B32" s="33" t="s">
        <v>726</v>
      </c>
      <c r="C32" s="180">
        <f>ROUND('DOE25'!L261+'DOE25'!L342,0)</f>
        <v>760000</v>
      </c>
    </row>
    <row r="34" spans="1:4" x14ac:dyDescent="0.2">
      <c r="A34" s="187" t="s">
        <v>94</v>
      </c>
      <c r="B34" s="188" t="s">
        <v>1589</v>
      </c>
      <c r="C34" s="181" t="s">
        <v>720</v>
      </c>
      <c r="D34" s="181" t="s">
        <v>721</v>
      </c>
    </row>
    <row r="35" spans="1:4" x14ac:dyDescent="0.2">
      <c r="A35">
        <v>1100</v>
      </c>
      <c r="B35" s="185" t="s">
        <v>727</v>
      </c>
      <c r="C35" s="179">
        <f>ROUND('DOE25'!F60+'DOE25'!G60+'DOE25'!H60+'DOE25'!I60+'DOE25'!J60,0)</f>
        <v>15246533</v>
      </c>
      <c r="D35" s="182">
        <f t="shared" ref="D35:D40" si="1">ROUND((C35/$C$41)*100,1)</f>
        <v>60.3</v>
      </c>
    </row>
    <row r="36" spans="1:4" x14ac:dyDescent="0.2">
      <c r="B36" s="185" t="s">
        <v>739</v>
      </c>
      <c r="C36" s="179">
        <f>SUM('DOE25'!F112:J112)-SUM('DOE25'!G97:G110)+('DOE25'!F175+'DOE25'!F176+'DOE25'!I175+'DOE25'!I176)-C35</f>
        <v>618292.81999999844</v>
      </c>
      <c r="D36" s="182">
        <f t="shared" si="1"/>
        <v>2.4</v>
      </c>
    </row>
    <row r="37" spans="1:4" x14ac:dyDescent="0.2">
      <c r="A37" s="183" t="s">
        <v>835</v>
      </c>
      <c r="B37" s="185" t="s">
        <v>728</v>
      </c>
      <c r="C37" s="179">
        <f>ROUND('DOE25'!F117+'DOE25'!F118,0)</f>
        <v>7362980</v>
      </c>
      <c r="D37" s="182">
        <f t="shared" si="1"/>
        <v>29.1</v>
      </c>
    </row>
    <row r="38" spans="1:4" x14ac:dyDescent="0.2">
      <c r="A38" s="183" t="s">
        <v>734</v>
      </c>
      <c r="B38" s="185" t="s">
        <v>729</v>
      </c>
      <c r="C38" s="179">
        <f>ROUND(SUM('DOE25'!F140:J140)-SUM('DOE25'!F117:F119),0)</f>
        <v>893817</v>
      </c>
      <c r="D38" s="182">
        <f t="shared" si="1"/>
        <v>3.5</v>
      </c>
    </row>
    <row r="39" spans="1:4" x14ac:dyDescent="0.2">
      <c r="A39">
        <v>4000</v>
      </c>
      <c r="B39" s="185" t="s">
        <v>730</v>
      </c>
      <c r="C39" s="179">
        <f>ROUND('DOE25'!F170+'DOE25'!G170+'DOE25'!H170+'DOE25'!I170,0)</f>
        <v>1173831</v>
      </c>
      <c r="D39" s="182">
        <f t="shared" si="1"/>
        <v>4.5999999999999996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25295453.82</v>
      </c>
      <c r="D41" s="184">
        <f>SUM(D35:D40)</f>
        <v>99.899999999999991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Jaffrey-Rindge Cooperative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2020-09-01T23:34:49Z</cp:lastPrinted>
  <dcterms:created xsi:type="dcterms:W3CDTF">1997-12-04T19:04:30Z</dcterms:created>
  <dcterms:modified xsi:type="dcterms:W3CDTF">2020-12-11T15:14:23Z</dcterms:modified>
</cp:coreProperties>
</file>