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916"/>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H49" i="1" l="1"/>
  <c r="H48" i="1"/>
  <c r="H469" i="1"/>
  <c r="I469" i="1"/>
  <c r="I49" i="1"/>
  <c r="H155" i="1"/>
  <c r="F127" i="1"/>
  <c r="F70" i="1"/>
  <c r="H13" i="1"/>
  <c r="F8" i="13"/>
  <c r="F14" i="13" l="1"/>
  <c r="F6" i="13"/>
  <c r="F5" i="13"/>
  <c r="F31" i="13"/>
  <c r="F15" i="13"/>
  <c r="G158" i="1" l="1"/>
  <c r="G132" i="1"/>
  <c r="H493" i="1" l="1"/>
  <c r="H492"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E111" i="2" s="1"/>
  <c r="L318" i="1"/>
  <c r="C13" i="10" s="1"/>
  <c r="L320" i="1"/>
  <c r="L321" i="1"/>
  <c r="L322" i="1"/>
  <c r="L323" i="1"/>
  <c r="L324" i="1"/>
  <c r="L325" i="1"/>
  <c r="E123" i="2" s="1"/>
  <c r="L326" i="1"/>
  <c r="H663" i="1" s="1"/>
  <c r="L327" i="1"/>
  <c r="L334" i="1"/>
  <c r="E114" i="2" s="1"/>
  <c r="L335" i="1"/>
  <c r="L336" i="1"/>
  <c r="L261" i="1"/>
  <c r="C32" i="10" s="1"/>
  <c r="L262" i="1"/>
  <c r="C132" i="2" s="1"/>
  <c r="L342" i="1"/>
  <c r="L343" i="1"/>
  <c r="L256" i="1"/>
  <c r="L337" i="1"/>
  <c r="E130" i="2" s="1"/>
  <c r="C11" i="13"/>
  <c r="C10" i="13"/>
  <c r="C9" i="13"/>
  <c r="L362" i="1"/>
  <c r="B4" i="12"/>
  <c r="B36" i="12"/>
  <c r="C36" i="12"/>
  <c r="B40" i="12"/>
  <c r="A40" i="12" s="1"/>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I121" i="1"/>
  <c r="I136" i="1"/>
  <c r="J121" i="1"/>
  <c r="J140" i="1" s="1"/>
  <c r="J136" i="1"/>
  <c r="F147" i="1"/>
  <c r="F170" i="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19" i="2"/>
  <c r="E120" i="2"/>
  <c r="E121" i="2"/>
  <c r="E124" i="2"/>
  <c r="E125" i="2"/>
  <c r="F128" i="2"/>
  <c r="G128" i="2"/>
  <c r="C130"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H409" i="1" s="1"/>
  <c r="H645" i="1" s="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H462" i="1" s="1"/>
  <c r="H642" i="1" s="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46" i="1"/>
  <c r="G651" i="1"/>
  <c r="G652" i="1"/>
  <c r="G653" i="1"/>
  <c r="H653" i="1"/>
  <c r="G654" i="1"/>
  <c r="H654" i="1"/>
  <c r="G655" i="1"/>
  <c r="H655" i="1"/>
  <c r="H656" i="1"/>
  <c r="J656" i="1" s="1"/>
  <c r="G62" i="2"/>
  <c r="J572" i="1"/>
  <c r="I170" i="1"/>
  <c r="H140" i="1"/>
  <c r="L257" i="1" l="1"/>
  <c r="E85" i="2"/>
  <c r="G339" i="1"/>
  <c r="G353" i="1" s="1"/>
  <c r="G477" i="1"/>
  <c r="C91" i="2"/>
  <c r="J652" i="1"/>
  <c r="G553" i="1"/>
  <c r="H477" i="1"/>
  <c r="H625" i="1" s="1"/>
  <c r="J625" i="1" s="1"/>
  <c r="L402" i="1"/>
  <c r="C139" i="2" s="1"/>
  <c r="I370" i="1"/>
  <c r="H635" i="1" s="1"/>
  <c r="J635" i="1" s="1"/>
  <c r="G662" i="1"/>
  <c r="C12" i="10"/>
  <c r="E112" i="2"/>
  <c r="K339" i="1"/>
  <c r="K353" i="1" s="1"/>
  <c r="E110" i="2"/>
  <c r="C125" i="2"/>
  <c r="C20" i="10"/>
  <c r="C119" i="2"/>
  <c r="F258" i="1"/>
  <c r="F272" i="1" s="1"/>
  <c r="A31" i="12"/>
  <c r="J258" i="1"/>
  <c r="E13" i="13"/>
  <c r="C13" i="13" s="1"/>
  <c r="D15" i="13"/>
  <c r="C15" i="13" s="1"/>
  <c r="D6" i="13"/>
  <c r="C6" i="13" s="1"/>
  <c r="C112" i="2"/>
  <c r="C110" i="2"/>
  <c r="C11" i="10"/>
  <c r="C121" i="2"/>
  <c r="C120" i="2"/>
  <c r="H112" i="1"/>
  <c r="H194" i="1" s="1"/>
  <c r="G630" i="1" s="1"/>
  <c r="J630" i="1" s="1"/>
  <c r="D50" i="2"/>
  <c r="F339" i="1"/>
  <c r="F353" i="1" s="1"/>
  <c r="J642" i="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F661" i="1" s="1"/>
  <c r="H648" i="1"/>
  <c r="J645" i="1"/>
  <c r="G626" i="1"/>
  <c r="L530" i="1"/>
  <c r="H546" i="1"/>
  <c r="G164" i="2"/>
  <c r="G161" i="2"/>
  <c r="G157" i="2"/>
  <c r="G156" i="2"/>
  <c r="G81" i="2"/>
  <c r="C78" i="2"/>
  <c r="F78" i="2"/>
  <c r="F81" i="2" s="1"/>
  <c r="C70" i="2"/>
  <c r="D62" i="2"/>
  <c r="D63" i="2" s="1"/>
  <c r="E57" i="2"/>
  <c r="E62" i="2" s="1"/>
  <c r="E63" i="2" s="1"/>
  <c r="C26" i="10"/>
  <c r="C18" i="10"/>
  <c r="J641" i="1"/>
  <c r="J546" i="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G140" i="1"/>
  <c r="B11" i="16" s="1"/>
  <c r="F140" i="1"/>
  <c r="G63" i="2"/>
  <c r="J619" i="1"/>
  <c r="G42" i="2"/>
  <c r="J51" i="1"/>
  <c r="G16" i="2"/>
  <c r="G18" i="2" s="1"/>
  <c r="J19" i="1"/>
  <c r="G622" i="1" s="1"/>
  <c r="F546" i="1"/>
  <c r="H435" i="1"/>
  <c r="D103" i="2"/>
  <c r="I140" i="1"/>
  <c r="A22" i="12"/>
  <c r="G50" i="2"/>
  <c r="J653" i="1"/>
  <c r="G572" i="1"/>
  <c r="I435" i="1"/>
  <c r="G435" i="1"/>
  <c r="I664" i="1"/>
  <c r="L572" i="1" l="1"/>
  <c r="H661" i="1"/>
  <c r="H665" i="1" s="1"/>
  <c r="H668" i="1" s="1"/>
  <c r="E128" i="2"/>
  <c r="G24" i="14"/>
  <c r="E115" i="2"/>
  <c r="H649" i="1"/>
  <c r="J649" i="1" s="1"/>
  <c r="G36" i="14"/>
  <c r="H36" i="14" s="1"/>
  <c r="I36" i="14" s="1"/>
  <c r="J272" i="1"/>
  <c r="F194" i="1"/>
  <c r="G628" i="1" s="1"/>
  <c r="J628" i="1" s="1"/>
  <c r="C81" i="2"/>
  <c r="F51" i="2"/>
  <c r="E51" i="2"/>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C104" i="2" l="1"/>
  <c r="E145" i="2"/>
  <c r="F673" i="1"/>
  <c r="C4" i="10" s="1"/>
  <c r="H673" i="1"/>
  <c r="C6"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668" i="1" l="1"/>
  <c r="D28" i="10"/>
  <c r="D37" i="10"/>
  <c r="D36" i="10"/>
  <c r="D35" i="10"/>
  <c r="D40" i="10"/>
  <c r="D39" i="10"/>
  <c r="D41" i="10" l="1"/>
  <c r="I477" i="1"/>
  <c r="H626" i="1" s="1"/>
  <c r="H657" i="1" s="1"/>
  <c r="J626" i="1"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<sst xmlns="http://schemas.openxmlformats.org/spreadsheetml/2006/main" count="5554" uniqueCount="1647">
  <si>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</si>
  <si>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</si>
  <si>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</si>
  <si>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</si>
  <si>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</si>
  <si>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</si>
  <si>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</si>
  <si>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</si>
  <si>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</si>
  <si>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</si>
  <si>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</si>
  <si>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</si>
  <si>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</si>
  <si>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</si>
  <si>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</si>
  <si>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</si>
  <si>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</si>
  <si>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</si>
  <si>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</si>
  <si>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</si>
  <si>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</si>
  <si>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</si>
  <si>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</si>
  <si>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</si>
  <si>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</si>
  <si>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</si>
  <si>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</si>
  <si>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</si>
  <si>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</si>
  <si>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</si>
  <si>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</si>
  <si>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</si>
  <si>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</si>
  <si>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</si>
  <si>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</si>
  <si>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</si>
  <si>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</si>
  <si>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</si>
  <si>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</si>
  <si>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</si>
  <si>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</si>
  <si>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</si>
  <si>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</si>
  <si>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</si>
  <si>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</si>
  <si>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</si>
  <si>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</si>
  <si>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</si>
  <si>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</si>
  <si>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</si>
  <si>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</si>
  <si>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</si>
  <si>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</si>
  <si>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</si>
  <si>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</si>
  <si>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</si>
  <si>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</si>
  <si>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</si>
  <si>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</si>
  <si>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</si>
  <si>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</si>
  <si>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</si>
  <si>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</si>
  <si>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</si>
  <si>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</si>
  <si>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</si>
  <si>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</si>
  <si>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</si>
  <si>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</si>
  <si>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</si>
  <si>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</si>
  <si>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</si>
  <si>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</si>
  <si>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</si>
  <si>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</si>
  <si>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</si>
  <si>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</si>
  <si>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</si>
  <si>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</si>
  <si>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</si>
  <si>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</si>
  <si>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</si>
  <si>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</si>
  <si>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</si>
  <si>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</si>
  <si>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</si>
  <si>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</si>
  <si>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</si>
  <si>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</si>
  <si>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</si>
  <si>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</si>
  <si>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</si>
  <si>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</si>
  <si>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</si>
  <si>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</si>
  <si>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</si>
  <si>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</si>
  <si>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</si>
  <si>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</si>
  <si>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</si>
  <si>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</si>
  <si>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</si>
  <si>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</si>
  <si>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</si>
  <si>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</si>
  <si>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</si>
  <si>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</si>
  <si>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</si>
  <si>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</si>
  <si>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</si>
  <si>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</si>
  <si>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</si>
  <si>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</si>
  <si>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</si>
  <si>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</si>
  <si>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</si>
  <si>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</si>
  <si>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</si>
  <si>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</si>
  <si>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</si>
  <si>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</si>
  <si>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</si>
  <si>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</si>
  <si>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</si>
  <si>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</si>
  <si>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</si>
  <si>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</si>
  <si>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</si>
  <si>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</si>
  <si>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</si>
  <si>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</si>
  <si>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</si>
  <si>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</si>
  <si>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</si>
  <si>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</si>
  <si>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</si>
  <si>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</si>
  <si>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</si>
  <si>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</si>
  <si>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</si>
  <si>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</si>
  <si>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</si>
  <si>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</si>
  <si>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</si>
  <si>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</si>
  <si>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</si>
  <si>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</si>
  <si>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</si>
  <si>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</si>
  <si>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</si>
  <si>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</si>
  <si>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</si>
  <si>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</si>
  <si>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</si>
  <si>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</si>
  <si>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</si>
  <si>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</si>
  <si>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</si>
  <si>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</si>
  <si>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</si>
  <si>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</si>
  <si>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</si>
  <si>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</si>
  <si>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</si>
  <si>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</si>
  <si>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</si>
  <si>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</si>
  <si>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</si>
  <si>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</si>
  <si>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</si>
  <si>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</si>
  <si>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</si>
  <si>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</si>
  <si>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</si>
  <si>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</si>
  <si>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</si>
  <si>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</si>
  <si>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</si>
  <si>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</si>
  <si>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</si>
  <si>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</si>
  <si>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</si>
  <si>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</si>
  <si>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</si>
  <si>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</si>
  <si>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</si>
  <si>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</si>
  <si>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</si>
  <si>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</si>
  <si>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</si>
  <si>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</si>
  <si>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</si>
  <si>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</si>
  <si>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</si>
  <si>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</si>
  <si>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</si>
  <si>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</si>
  <si>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</si>
  <si>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</si>
  <si>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</si>
  <si>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</si>
  <si>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</si>
  <si>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</si>
  <si>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</si>
  <si>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</si>
  <si>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</si>
  <si>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</si>
  <si>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</si>
  <si>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</si>
  <si>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</si>
  <si>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</si>
  <si>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</si>
  <si>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</si>
  <si>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</si>
  <si>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</si>
  <si>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</si>
  <si>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</si>
  <si>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</si>
  <si>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</si>
  <si>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</si>
  <si>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</si>
  <si>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</si>
  <si>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</si>
  <si>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</si>
  <si>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</si>
  <si>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</si>
  <si>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</si>
  <si>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</si>
  <si>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</si>
  <si>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</si>
  <si>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</si>
  <si>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</si>
  <si>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</si>
  <si>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</si>
  <si>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</si>
  <si>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</si>
  <si>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</si>
  <si>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</si>
  <si>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</si>
  <si>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</si>
  <si>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</si>
  <si>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</si>
  <si>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</si>
  <si>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</si>
  <si>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</si>
  <si>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</si>
  <si>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</si>
  <si>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</si>
  <si>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</si>
  <si>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</si>
  <si>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</si>
  <si>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</si>
  <si>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</si>
  <si>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</si>
  <si>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</si>
  <si>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</si>
  <si>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</si>
  <si>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</si>
  <si>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</si>
  <si>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</si>
  <si>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</si>
  <si>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</si>
  <si>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</si>
  <si>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</si>
  <si>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</si>
  <si>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</si>
  <si>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</si>
  <si>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</si>
  <si>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</si>
  <si>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</si>
  <si>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</si>
  <si>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</si>
  <si>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</si>
  <si>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</si>
  <si>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</si>
  <si>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</si>
  <si>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</si>
  <si>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</si>
  <si>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</si>
  <si>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</si>
  <si>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</si>
  <si>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</si>
  <si>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</si>
  <si>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</si>
  <si>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</si>
  <si>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</si>
  <si>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</si>
  <si>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</si>
  <si>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</si>
  <si>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</si>
  <si>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</si>
  <si>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</si>
  <si>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</si>
  <si>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</si>
  <si>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</si>
  <si>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</si>
  <si>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</si>
  <si>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</si>
  <si>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</si>
  <si>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</si>
  <si>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</si>
  <si>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</si>
  <si>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</si>
  <si>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</si>
  <si>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</si>
  <si>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</si>
  <si>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</si>
  <si>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</si>
  <si>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</si>
  <si>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</si>
  <si>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</si>
  <si>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</si>
  <si>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</si>
  <si>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</si>
  <si>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</si>
  <si>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</si>
  <si>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</si>
  <si>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</si>
  <si>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</si>
  <si>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</si>
  <si>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</si>
  <si>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</si>
  <si>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</si>
  <si>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</si>
  <si>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</si>
  <si>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</si>
  <si>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</si>
  <si>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</si>
  <si>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</si>
  <si>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</si>
  <si>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</si>
  <si>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</si>
  <si>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</si>
  <si>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</si>
  <si>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</si>
  <si>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</si>
  <si>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</si>
  <si>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</si>
  <si>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</si>
  <si>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</si>
  <si>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</si>
  <si>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</si>
  <si>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</si>
  <si>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</si>
  <si>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</si>
  <si>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</si>
  <si>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</si>
  <si>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</si>
  <si>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</si>
  <si>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</si>
  <si>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</si>
  <si>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</si>
  <si>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</si>
  <si>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</si>
  <si>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</si>
  <si>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</si>
  <si>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</si>
  <si>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</si>
  <si>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</si>
  <si>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</si>
  <si>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</si>
  <si>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</si>
  <si>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</si>
  <si>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</si>
  <si>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</si>
  <si>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</si>
  <si>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</si>
  <si>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</si>
  <si>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</si>
  <si>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</si>
  <si>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</si>
  <si>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</si>
  <si>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</si>
  <si>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</si>
  <si>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</si>
  <si>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</si>
  <si>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</si>
  <si>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</si>
  <si>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</si>
  <si>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</si>
  <si>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</si>
  <si>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</si>
  <si>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</si>
  <si>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</si>
  <si>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</si>
  <si>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</si>
  <si>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</si>
  <si>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</si>
  <si>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</si>
  <si>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</si>
  <si>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</si>
  <si>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</si>
  <si>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</si>
  <si>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</si>
  <si>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</si>
  <si>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</si>
  <si>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</si>
  <si>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</si>
  <si>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</si>
  <si>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</si>
  <si>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</si>
  <si>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</si>
  <si>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</si>
  <si>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</si>
  <si>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</si>
  <si>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</si>
  <si>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</si>
  <si>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</si>
  <si>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</si>
  <si>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</si>
  <si>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</si>
  <si>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</si>
  <si>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</si>
  <si>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</si>
  <si>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</si>
  <si>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</si>
  <si>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</si>
  <si>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</si>
  <si>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</si>
  <si>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</si>
  <si>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</si>
  <si>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</si>
  <si>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</si>
  <si>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</si>
  <si>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</si>
  <si>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</si>
  <si>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</si>
  <si>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</si>
  <si>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</si>
  <si>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</si>
  <si>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</si>
  <si>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</si>
  <si>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</si>
  <si>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</si>
  <si>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</si>
  <si>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</si>
  <si>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</si>
  <si>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</si>
  <si>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</si>
  <si>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</si>
  <si>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</si>
  <si>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</si>
  <si>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</si>
  <si>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</si>
  <si>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</si>
  <si>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</si>
  <si>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</si>
  <si>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</si>
  <si>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</si>
  <si>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</si>
  <si>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</si>
  <si>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</si>
  <si>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</si>
  <si>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</si>
  <si>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</si>
  <si>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</si>
  <si>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</si>
  <si>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</si>
  <si>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</si>
  <si>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</si>
  <si>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</si>
  <si>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</si>
  <si>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</si>
  <si>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</si>
  <si>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</si>
  <si>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</si>
  <si>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</si>
  <si>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</si>
  <si>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</si>
  <si>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</si>
  <si>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</si>
  <si>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</si>
  <si>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</si>
  <si>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</si>
  <si>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</si>
  <si>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</si>
  <si>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</si>
  <si>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</si>
  <si>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</si>
  <si>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</si>
  <si>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</si>
  <si>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</si>
  <si>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</si>
  <si>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</si>
  <si>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</si>
  <si>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</si>
  <si>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</si>
  <si>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</si>
  <si>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</si>
  <si>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</si>
  <si>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</si>
  <si>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</si>
  <si>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</si>
  <si>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</si>
  <si>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</si>
  <si>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</si>
  <si>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</si>
  <si>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</si>
  <si>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</si>
  <si>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</si>
  <si>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</si>
  <si>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</si>
  <si>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</si>
  <si>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</si>
  <si>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</si>
  <si>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</si>
  <si>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</si>
  <si>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</si>
  <si>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</si>
  <si>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</si>
  <si>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</si>
  <si>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</si>
  <si>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</si>
  <si>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</si>
  <si>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</si>
  <si>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</si>
  <si>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</si>
  <si>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</si>
  <si>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</si>
  <si>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</si>
  <si>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</si>
  <si>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</si>
  <si>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</si>
  <si>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</si>
  <si>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</si>
  <si>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</si>
  <si>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</si>
  <si>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</si>
  <si>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</si>
  <si>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</si>
  <si>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</si>
  <si>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</si>
  <si>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</si>
  <si>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</si>
  <si>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</si>
  <si>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</si>
  <si>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</si>
  <si>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</si>
  <si>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</si>
  <si>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</si>
  <si>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</si>
  <si>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</si>
  <si>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</si>
  <si>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</si>
  <si>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</si>
  <si>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</si>
  <si>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</si>
  <si>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</si>
  <si>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</si>
  <si>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</si>
  <si>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</si>
  <si>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</si>
  <si>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</si>
  <si>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</si>
  <si>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</si>
  <si>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</si>
  <si>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</si>
  <si>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</si>
  <si>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</si>
  <si>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</si>
  <si>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</si>
  <si>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</si>
  <si>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</si>
  <si>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</si>
  <si>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</si>
  <si>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</si>
  <si>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</si>
  <si>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</si>
  <si>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</si>
  <si>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</si>
  <si>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</si>
  <si>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</si>
  <si>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</si>
  <si>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</si>
  <si>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</si>
  <si>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</si>
  <si>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</si>
  <si>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</si>
  <si>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</si>
  <si>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</si>
  <si>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</si>
  <si>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</si>
  <si>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</si>
  <si>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</si>
  <si>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</si>
  <si>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</si>
  <si>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</si>
  <si>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</si>
  <si>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</si>
  <si>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</si>
  <si>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</si>
  <si>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</si>
  <si>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</si>
  <si>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</si>
  <si>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</si>
  <si>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</si>
  <si>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</si>
  <si>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</si>
  <si>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</si>
  <si>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</si>
  <si>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</si>
  <si>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</si>
  <si>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</si>
  <si>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</si>
  <si>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</si>
  <si>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</si>
  <si>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</si>
  <si>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</si>
  <si>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</si>
  <si>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</si>
  <si>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</si>
  <si>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</si>
  <si>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</si>
  <si>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</si>
  <si>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</si>
  <si>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</si>
  <si>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</si>
  <si>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</si>
  <si>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</si>
  <si>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</si>
  <si>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</si>
  <si>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</si>
  <si>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</si>
  <si>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</si>
  <si>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</si>
  <si>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</si>
  <si>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</si>
  <si>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</si>
  <si>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</si>
  <si>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</si>
  <si>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</si>
  <si>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</si>
  <si>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</si>
  <si>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</si>
  <si>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</si>
  <si>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</si>
  <si>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</si>
  <si>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</si>
  <si>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</si>
  <si>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</si>
  <si>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</si>
  <si>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</si>
  <si>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</si>
  <si>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</si>
  <si>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</si>
  <si>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</si>
  <si>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</si>
  <si>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</si>
  <si>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</si>
  <si>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</si>
  <si>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</si>
  <si>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</si>
  <si>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</si>
  <si>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</si>
  <si>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</si>
  <si>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</si>
  <si>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</si>
  <si>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</si>
  <si>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</si>
  <si>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</si>
  <si>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</si>
  <si>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</si>
  <si>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</si>
  <si>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</si>
  <si>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</si>
  <si>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</si>
  <si>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</si>
  <si>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</si>
  <si>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</si>
  <si>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</si>
  <si>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</si>
  <si>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</si>
  <si>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</si>
  <si>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</si>
  <si>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</si>
  <si>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</si>
  <si>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</si>
  <si>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</si>
  <si>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</si>
  <si>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</si>
  <si>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</si>
  <si>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</si>
  <si>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</si>
  <si>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</si>
  <si>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</si>
  <si>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</si>
  <si>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</si>
  <si>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</si>
  <si>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</si>
  <si>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</si>
  <si>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</si>
  <si>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</si>
  <si>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</si>
  <si>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</si>
  <si>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</si>
  <si>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</si>
  <si>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</si>
  <si>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</si>
  <si>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</si>
  <si>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</si>
  <si>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</si>
  <si>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</si>
  <si>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</si>
  <si>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</si>
  <si>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</si>
  <si>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</si>
  <si>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</si>
  <si>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</si>
  <si>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</si>
  <si>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</si>
  <si>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</si>
  <si>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</si>
  <si>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</si>
  <si>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</si>
  <si>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</si>
  <si>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</si>
  <si>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</si>
  <si>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</si>
  <si>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</si>
  <si>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</si>
  <si>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</si>
  <si>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</si>
  <si>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</si>
  <si>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</si>
  <si>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</si>
  <si>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</si>
  <si>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</si>
  <si>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</si>
  <si>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</si>
  <si>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</si>
  <si>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</si>
  <si>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</si>
  <si>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</si>
  <si>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</si>
  <si>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</si>
  <si>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</si>
  <si>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</si>
  <si>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</si>
  <si>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</si>
  <si>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</si>
  <si>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</si>
  <si>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</si>
  <si>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</si>
  <si>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</si>
  <si>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</si>
  <si>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</si>
  <si>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</si>
  <si>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</si>
  <si>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</si>
  <si>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</si>
  <si>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</si>
  <si>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</si>
  <si>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</si>
  <si>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</si>
  <si>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</si>
  <si>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</si>
  <si>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</si>
  <si>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</si>
  <si>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</si>
  <si>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</si>
  <si>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</si>
  <si>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</si>
  <si>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</si>
  <si>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</si>
  <si>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</si>
  <si>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</si>
  <si>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</si>
  <si>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</si>
  <si>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</si>
  <si>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</si>
  <si>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</si>
  <si>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</si>
  <si>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</si>
  <si>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</si>
  <si>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</si>
  <si>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</si>
  <si>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</si>
  <si>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</si>
  <si>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</si>
  <si>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</si>
  <si>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</si>
  <si>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</si>
  <si>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</si>
  <si>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</si>
  <si>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</si>
  <si>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</si>
  <si>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</si>
  <si>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</si>
  <si>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</si>
  <si>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</si>
  <si>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</si>
  <si>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</si>
  <si>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</si>
  <si>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</si>
  <si>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</si>
  <si>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</si>
  <si>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</si>
  <si>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</si>
  <si>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</si>
  <si>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</si>
  <si>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</si>
  <si>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</si>
  <si>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</si>
  <si>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</si>
  <si>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</si>
  <si>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</si>
  <si>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</si>
  <si>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</si>
  <si>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</si>
  <si>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</si>
  <si>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</si>
  <si>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</si>
  <si>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</si>
  <si>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</si>
  <si>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</si>
  <si>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</si>
  <si>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</si>
  <si>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</si>
  <si>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</si>
  <si>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</si>
  <si>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</si>
  <si>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</si>
  <si>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</si>
  <si>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</si>
  <si>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</si>
  <si>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</si>
  <si>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</si>
  <si>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</si>
  <si>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</si>
  <si>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</si>
  <si>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</si>
  <si>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</si>
  <si>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</si>
  <si>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</si>
  <si>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</si>
  <si>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</si>
  <si>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</si>
  <si>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</si>
  <si>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</si>
  <si>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</si>
  <si>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</si>
  <si>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</si>
  <si>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</si>
  <si>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</si>
  <si>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</si>
  <si>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</si>
  <si>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</si>
  <si>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</si>
  <si>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</si>
  <si>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</si>
  <si>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</si>
  <si>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</si>
  <si>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</si>
  <si>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</si>
  <si>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</si>
  <si>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</si>
  <si>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</si>
  <si>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</si>
  <si>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</si>
  <si>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</si>
  <si>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</si>
  <si>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</si>
  <si>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</si>
  <si>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</si>
  <si>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</si>
  <si>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</si>
  <si>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</si>
  <si>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</si>
  <si>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</si>
  <si>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</si>
  <si>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</si>
  <si>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</si>
  <si>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</si>
  <si>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</si>
  <si>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</si>
  <si>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</si>
  <si>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</si>
  <si>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</si>
  <si>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</si>
  <si>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</si>
  <si>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</si>
  <si>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</si>
  <si>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</si>
  <si>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</si>
  <si>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</si>
  <si>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</si>
  <si>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</si>
  <si>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</si>
  <si>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</si>
  <si>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</si>
  <si>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</si>
  <si>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</si>
  <si>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</si>
  <si>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</si>
  <si>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</si>
  <si>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</si>
  <si>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</si>
  <si>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</si>
  <si>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</si>
  <si>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</si>
  <si>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</si>
  <si>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</si>
  <si>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</si>
  <si>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</si>
  <si>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</si>
  <si>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</si>
  <si>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</si>
  <si>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</si>
  <si>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</si>
  <si>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</si>
  <si>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</si>
  <si>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</si>
  <si>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</si>
  <si>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</si>
  <si>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</si>
  <si>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</si>
  <si>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</si>
  <si>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</si>
  <si>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</si>
  <si>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</si>
  <si>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</si>
  <si>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</si>
  <si>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</si>
  <si>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</si>
  <si>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</si>
  <si>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</si>
  <si>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</si>
  <si>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</si>
  <si>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</si>
  <si>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</si>
  <si>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</si>
  <si>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</si>
  <si>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</si>
  <si>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</si>
  <si>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</si>
  <si>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</si>
  <si>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</si>
  <si>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</si>
  <si>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</si>
  <si>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</si>
  <si>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</si>
  <si>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</si>
  <si>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</si>
  <si>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</si>
  <si>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</si>
  <si>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</si>
  <si>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</si>
  <si>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</si>
  <si>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</si>
  <si>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</si>
  <si>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</si>
  <si>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</si>
  <si>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</si>
  <si>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</si>
  <si>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</si>
  <si>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</si>
  <si>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</si>
  <si>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</si>
  <si>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</si>
  <si>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</si>
  <si>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</si>
  <si>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</si>
  <si>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</si>
  <si>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</si>
  <si>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</si>
  <si>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</si>
  <si>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</si>
  <si>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</si>
  <si>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</si>
  <si>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</si>
  <si>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</si>
  <si>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</si>
  <si>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</si>
  <si>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</si>
  <si>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</si>
  <si>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</si>
  <si>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</si>
  <si>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</si>
  <si>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</si>
  <si>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</si>
  <si>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</si>
  <si>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</si>
  <si>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</si>
  <si>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</si>
  <si>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</si>
  <si>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</si>
  <si>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</si>
  <si>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</si>
  <si>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</si>
  <si>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</si>
  <si>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</si>
  <si>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</si>
  <si>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</si>
  <si>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</si>
  <si>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</si>
  <si>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</si>
  <si>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</si>
  <si>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</si>
  <si>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</si>
  <si>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</si>
  <si>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</si>
  <si>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</si>
  <si>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</si>
  <si>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</si>
  <si>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</si>
  <si>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</si>
  <si>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</si>
  <si>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</si>
  <si>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</si>
  <si>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</si>
  <si>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</si>
  <si>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</si>
  <si>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</si>
  <si>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</si>
  <si>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</si>
  <si>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</si>
  <si>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</si>
  <si>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</si>
  <si>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</si>
  <si>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</si>
  <si>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</si>
  <si>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</si>
  <si>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</si>
  <si>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</si>
  <si>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</si>
  <si>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</si>
  <si>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</si>
  <si>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</si>
  <si>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</si>
  <si>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</si>
  <si>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</si>
  <si>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</si>
  <si>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</si>
  <si>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</si>
  <si>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</si>
  <si>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</si>
  <si>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</si>
  <si>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</si>
  <si>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</si>
  <si>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</si>
  <si>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</si>
  <si>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</si>
  <si>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</si>
  <si>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</si>
  <si>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</si>
  <si>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</si>
  <si>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</si>
  <si>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</si>
  <si>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</si>
  <si>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</si>
  <si>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</si>
  <si>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</si>
  <si>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</si>
  <si>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</si>
  <si>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</si>
  <si>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</si>
  <si>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</si>
  <si>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</si>
  <si>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</si>
  <si>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</si>
  <si>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</si>
  <si>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</si>
  <si>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</si>
  <si>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</si>
  <si>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</si>
  <si>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</si>
  <si>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</si>
  <si>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</si>
  <si>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</si>
  <si>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</si>
  <si>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</si>
  <si>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</si>
  <si>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</si>
  <si>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</si>
  <si>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</si>
  <si>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</si>
  <si>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</si>
  <si>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</si>
  <si>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</si>
  <si>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</si>
  <si>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</si>
  <si>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</si>
  <si>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</si>
  <si>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</si>
  <si>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</si>
  <si>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</si>
  <si>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</si>
  <si>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</si>
  <si>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</si>
  <si>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</si>
  <si>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</si>
  <si>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</si>
  <si>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</si>
  <si>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</si>
  <si>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</si>
  <si>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</si>
  <si>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</si>
  <si>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</si>
  <si>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</si>
  <si>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</si>
  <si>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</si>
  <si>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</si>
  <si>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</si>
  <si>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</si>
  <si>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</si>
  <si>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</si>
  <si>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</si>
  <si>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</si>
  <si>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</si>
  <si>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</si>
  <si>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</si>
  <si>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</si>
  <si>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</si>
  <si>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</si>
  <si>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</si>
  <si>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</si>
  <si>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</si>
  <si>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</si>
  <si>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</si>
  <si>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</si>
  <si>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</si>
  <si>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</si>
  <si>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</si>
  <si>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</si>
  <si>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</si>
  <si>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</si>
  <si>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</si>
  <si>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</si>
  <si>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</si>
  <si>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</si>
  <si>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</si>
  <si>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</si>
  <si>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</si>
  <si>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</si>
  <si>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</si>
  <si>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</si>
  <si>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</si>
  <si>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</si>
  <si>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</si>
  <si>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</si>
  <si>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</si>
  <si>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</si>
  <si>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</si>
  <si>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</si>
  <si>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</si>
  <si>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</si>
  <si>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</si>
  <si>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</si>
  <si>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</si>
  <si>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</si>
  <si>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</si>
  <si>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</si>
  <si>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</si>
  <si>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</si>
  <si>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</si>
  <si>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</si>
  <si>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</si>
  <si>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</si>
  <si>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</si>
  <si>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</si>
  <si>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</si>
  <si>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</si>
  <si>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</si>
  <si>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</si>
  <si>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</si>
  <si>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</si>
  <si>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</si>
  <si>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</si>
  <si>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</si>
  <si>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</si>
  <si>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</si>
  <si>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</si>
  <si>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</si>
  <si>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</si>
  <si>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</si>
  <si>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</si>
  <si>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</si>
  <si>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</si>
  <si>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</si>
  <si>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</si>
  <si>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</si>
  <si>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</si>
  <si>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</si>
  <si>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</si>
  <si>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</si>
  <si>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</si>
  <si>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</si>
  <si>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</si>
  <si>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</si>
  <si>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</si>
  <si>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</si>
  <si>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</si>
  <si>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</si>
  <si>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</si>
  <si>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</si>
  <si>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</si>
  <si>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</si>
  <si>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</si>
  <si>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</si>
  <si>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</si>
  <si>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</si>
  <si>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</si>
  <si>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</si>
  <si>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</si>
  <si>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</si>
  <si>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</si>
  <si>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</si>
  <si>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</si>
  <si>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</si>
  <si>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</si>
  <si>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</si>
  <si>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</si>
  <si>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</si>
  <si>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</si>
  <si>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</si>
  <si>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</si>
  <si>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</si>
  <si>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</si>
  <si>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</si>
  <si>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</si>
  <si>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</si>
  <si>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</si>
  <si>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</si>
  <si>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</si>
  <si>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</si>
  <si>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</si>
  <si>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</si>
  <si>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</si>
  <si>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</si>
  <si>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</si>
  <si>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</si>
  <si>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</si>
  <si>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</si>
  <si>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</si>
  <si>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</si>
  <si>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</si>
  <si>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</si>
  <si>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</si>
  <si>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</si>
  <si>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</si>
  <si>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</si>
  <si>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</si>
  <si>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</si>
  <si>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</si>
  <si>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</si>
  <si>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</si>
  <si>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</si>
  <si>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</si>
  <si>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</si>
  <si>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</si>
  <si>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</si>
  <si>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</si>
  <si>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</si>
  <si>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</si>
  <si>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</si>
  <si>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</si>
  <si>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</si>
  <si>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</si>
  <si>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</si>
  <si>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</si>
  <si>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</si>
  <si>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</si>
  <si>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</si>
  <si>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</si>
  <si>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</si>
  <si>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</si>
  <si>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</si>
  <si>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</si>
  <si>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</si>
  <si>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</si>
  <si>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</si>
  <si>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</si>
  <si>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</si>
  <si>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</si>
  <si>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</si>
  <si>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</si>
  <si>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</si>
  <si>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</si>
  <si>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</si>
  <si>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</si>
  <si>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</si>
  <si>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</si>
  <si>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</si>
  <si>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</si>
  <si>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</si>
  <si>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</si>
  <si>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</si>
  <si>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</si>
  <si>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</si>
  <si>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</si>
  <si>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</si>
  <si>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</si>
  <si>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</si>
  <si>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</si>
  <si>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</si>
  <si>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</si>
  <si>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</si>
  <si>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</si>
  <si>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</si>
  <si>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</si>
  <si>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</si>
  <si>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</si>
  <si>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</si>
  <si>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</si>
  <si>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</si>
  <si>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</si>
  <si>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</si>
  <si>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</si>
  <si>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</si>
  <si>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</si>
  <si>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</si>
  <si>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</si>
  <si>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</si>
  <si>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</si>
  <si>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</si>
  <si>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</si>
  <si>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</si>
  <si>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</si>
  <si>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</si>
  <si>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</si>
  <si>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</si>
  <si>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</si>
  <si>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</si>
  <si>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</si>
  <si>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</si>
  <si>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</si>
  <si>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</si>
  <si>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</si>
  <si>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</si>
  <si>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</si>
  <si>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</si>
  <si>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</si>
  <si>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</si>
  <si>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</si>
  <si>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</si>
  <si>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</si>
  <si>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</si>
  <si>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</si>
  <si>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</si>
  <si>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</si>
  <si>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</si>
  <si>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</si>
  <si>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</si>
  <si>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</si>
  <si>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</si>
  <si>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</si>
  <si>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</si>
  <si>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</si>
  <si>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</si>
  <si>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</si>
  <si>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</si>
  <si>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</si>
  <si>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</si>
  <si>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</si>
  <si>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</si>
  <si>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</si>
  <si>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</si>
  <si>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</si>
  <si>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</si>
  <si>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</si>
  <si>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</si>
  <si>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</si>
  <si>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</si>
  <si>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</si>
  <si>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</si>
  <si>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</si>
  <si>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</si>
  <si>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</si>
  <si>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</si>
  <si>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</si>
  <si>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</si>
  <si>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</si>
  <si>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</si>
  <si>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</si>
  <si>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</si>
  <si>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</si>
  <si>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</si>
  <si>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</si>
  <si>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</si>
  <si>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</si>
  <si>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</si>
  <si>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</si>
  <si>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</si>
  <si>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</si>
  <si>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</si>
  <si>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</si>
  <si>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</si>
  <si>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</si>
  <si>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</si>
  <si>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</si>
  <si>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</si>
  <si>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</si>
  <si>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</si>
  <si>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</si>
  <si>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</si>
  <si>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</si>
  <si>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</si>
  <si>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</si>
  <si>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</si>
  <si>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</si>
  <si>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</si>
  <si>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</si>
  <si>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</si>
  <si>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</si>
  <si>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</si>
  <si>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</si>
  <si>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</si>
  <si>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</si>
  <si>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</si>
  <si>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</si>
  <si>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</si>
  <si>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</si>
  <si>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</si>
  <si>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</si>
  <si>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</si>
  <si>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</si>
  <si>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</si>
  <si>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</si>
  <si>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</si>
  <si>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</si>
  <si>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</si>
  <si>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</si>
  <si>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</si>
  <si>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</si>
  <si>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</si>
  <si>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</si>
  <si>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</si>
  <si>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</si>
  <si>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</si>
  <si>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</si>
  <si>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</si>
  <si>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</si>
  <si>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</si>
  <si>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</si>
  <si>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</si>
  <si>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</si>
  <si>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</si>
  <si>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</si>
  <si>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</si>
  <si>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</si>
  <si>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</si>
  <si>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</si>
  <si>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</si>
  <si>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</si>
  <si>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</si>
  <si>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</si>
  <si>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</si>
  <si>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</si>
  <si>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</si>
  <si>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</si>
  <si>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</si>
  <si>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</si>
  <si>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</si>
  <si>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</si>
  <si>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</si>
  <si>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</si>
  <si>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</si>
  <si>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</si>
  <si>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</si>
  <si>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</si>
  <si>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</si>
  <si>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</si>
  <si>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</si>
  <si>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</si>
  <si>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</si>
  <si>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</si>
  <si>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</si>
  <si>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</si>
  <si>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</si>
  <si>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</si>
  <si>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</si>
  <si>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</si>
  <si>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</si>
  <si>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</si>
  <si>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</si>
  <si>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</si>
  <si>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</si>
  <si>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</si>
  <si>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</si>
  <si>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</si>
  <si>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</si>
  <si>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</si>
  <si>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</si>
  <si>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</si>
  <si>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</si>
  <si>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</si>
  <si>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</si>
  <si>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</si>
  <si>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</si>
  <si>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</si>
  <si>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</si>
  <si>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</si>
  <si>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</si>
  <si>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</si>
  <si>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</si>
  <si>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</si>
  <si>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</si>
  <si>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</si>
  <si>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</si>
  <si>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</si>
  <si>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</si>
  <si>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</si>
  <si>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</si>
  <si>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</si>
  <si>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</si>
  <si>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</si>
  <si>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</si>
  <si>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</si>
  <si>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</si>
  <si>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</si>
  <si>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</si>
  <si>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</si>
  <si>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</si>
  <si>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</si>
  <si>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</si>
  <si>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</si>
  <si>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</si>
  <si>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</si>
  <si>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</si>
  <si>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</si>
  <si>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</si>
  <si>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</si>
  <si>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</si>
  <si>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</si>
  <si>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</si>
  <si>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</si>
  <si>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</si>
  <si>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</si>
  <si>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</si>
  <si>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</si>
  <si>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</si>
  <si>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</si>
  <si>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</si>
  <si>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</si>
  <si>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</si>
  <si>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</si>
  <si>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</si>
  <si>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</si>
  <si>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</si>
  <si>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</si>
  <si>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</si>
  <si>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</si>
  <si>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</si>
  <si>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</si>
  <si>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</si>
  <si>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</si>
  <si>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</si>
  <si>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</si>
  <si>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</si>
  <si>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</si>
  <si>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</si>
  <si>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</si>
  <si>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</si>
  <si>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</si>
  <si>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</si>
  <si>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</si>
  <si>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</si>
  <si>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</si>
  <si>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</si>
  <si>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</si>
  <si>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</si>
  <si>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</si>
  <si>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</si>
  <si>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</si>
  <si>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</si>
  <si>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</si>
  <si>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</si>
  <si>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</si>
  <si>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</si>
  <si>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</si>
  <si>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</si>
  <si>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</si>
  <si>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</si>
  <si>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</si>
  <si>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</si>
  <si>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</si>
  <si>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</si>
  <si>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</si>
  <si>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</si>
  <si>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</si>
  <si>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</si>
  <si>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</si>
  <si>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</si>
  <si>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</si>
  <si>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</si>
  <si>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</si>
  <si>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</si>
  <si>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</si>
  <si>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</si>
  <si>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</si>
  <si>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</si>
  <si>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</si>
  <si>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</si>
  <si>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</si>
  <si>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</si>
  <si>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</si>
  <si>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</si>
  <si>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</si>
  <si>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</si>
  <si>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</si>
  <si>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</si>
  <si>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</si>
  <si>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</si>
  <si>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</si>
  <si>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</si>
  <si>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</si>
  <si>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</si>
  <si>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</si>
  <si>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</si>
  <si>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</si>
  <si>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</si>
  <si>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</si>
  <si>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</si>
  <si>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</si>
  <si>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</si>
  <si>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</si>
  <si>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</si>
  <si>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</si>
  <si>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</si>
  <si>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</si>
  <si>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</si>
  <si>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</si>
  <si>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</si>
  <si>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</si>
  <si>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</si>
  <si>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</si>
  <si>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</si>
  <si>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</si>
  <si>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</si>
  <si>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</si>
  <si>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</si>
  <si>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</si>
  <si>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</si>
  <si>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</si>
  <si>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</si>
  <si>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</si>
  <si>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</si>
  <si>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</si>
  <si>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</si>
  <si>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</si>
  <si>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</si>
  <si>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</si>
  <si>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07/99</t>
  </si>
  <si>
    <t>07/10</t>
  </si>
  <si>
    <t>08/19</t>
  </si>
  <si>
    <t>08/39</t>
  </si>
  <si>
    <t>Food Service Attachment W:  2019-20 audit is underway, but has not yet been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</si>
</sst>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9"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1162</v>
      </c>
      <c r="B2" s="21">
        <v>279</v>
      </c>
      <c r="C2" s="21">
        <v>279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1846279.07</v>
      </c>
      <c r="G9" s="18">
        <v>322857.53999999998</v>
      </c>
      <c r="H9" s="18">
        <v>195127.38</v>
      </c>
      <c r="I9" s="18"/>
      <c r="J9" s="67">
        <f>SUM(I440)</f>
        <v>928794.33</v>
      </c>
      <c r="K9" s="24" t="s">
        <v>288</v>
      </c>
      <c r="L9" s="24" t="s">
        <v>288</v>
      </c>
      <c r="M9" s="8"/>
      <c r="N9" s="266"/>
    </row>
    <row r="10" spans="1:14" s="3" customFormat="1" ht="12.2" customHeight="1" x14ac:dyDescent="0.15">
      <c r="A10" s="1" t="s">
        <v>562</v>
      </c>
      <c r="B10" s="2" t="s">
        <v>289</v>
      </c>
      <c r="C10" s="6">
        <v>2</v>
      </c>
      <c r="D10" s="2" t="s">
        <v>428</v>
      </c>
      <c r="E10" s="6">
        <v>110</v>
      </c>
      <c r="F10" s="18">
        <v>313124.28999999998</v>
      </c>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627585</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2537376.06</v>
      </c>
      <c r="G13" s="18">
        <v>46914.55</v>
      </c>
      <c r="H13" s="18">
        <f>544214.51+6600+2500</f>
        <v>553314.51</v>
      </c>
      <c r="I13" s="18">
        <v>178400</v>
      </c>
      <c r="J13" s="67">
        <f>SUM(I443)</f>
        <v>0</v>
      </c>
      <c r="K13" s="24" t="s">
        <v>288</v>
      </c>
      <c r="L13" s="24" t="s">
        <v>288</v>
      </c>
      <c r="M13" s="8"/>
      <c r="N13" s="266"/>
    </row>
    <row r="14" spans="1:14" s="3" customFormat="1" ht="12.2" customHeight="1" x14ac:dyDescent="0.15">
      <c r="A14" s="1" t="s">
        <v>565</v>
      </c>
      <c r="B14" s="2" t="s">
        <v>289</v>
      </c>
      <c r="C14" s="6">
        <v>6</v>
      </c>
      <c r="D14" s="2" t="s">
        <v>428</v>
      </c>
      <c r="E14" s="6">
        <v>150</v>
      </c>
      <c r="F14" s="18">
        <v>4574.04</v>
      </c>
      <c r="G14" s="18">
        <v>1748.28</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149</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5329087.46</v>
      </c>
      <c r="G19" s="41">
        <f>SUM(G9:G18)</f>
        <v>371520.37</v>
      </c>
      <c r="H19" s="41">
        <f>SUM(H9:H18)</f>
        <v>748441.89</v>
      </c>
      <c r="I19" s="41">
        <f>SUM(I9:I18)</f>
        <v>178400</v>
      </c>
      <c r="J19" s="41">
        <f>SUM(J9:J18)</f>
        <v>928794.33</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475136.33</v>
      </c>
      <c r="I22" s="18">
        <v>152448.67000000001</v>
      </c>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469838.82</v>
      </c>
      <c r="G24" s="18"/>
      <c r="H24" s="18">
        <v>45239.62</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155864.37</v>
      </c>
      <c r="G28" s="18">
        <v>1359.41</v>
      </c>
      <c r="H28" s="18">
        <v>10601.1</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-30.6</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424.86</v>
      </c>
      <c r="G30" s="18">
        <v>47329.31</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626097.44999999995</v>
      </c>
      <c r="G32" s="41">
        <f>SUM(G22:G31)</f>
        <v>48688.72</v>
      </c>
      <c r="H32" s="41">
        <f>SUM(H22:H31)</f>
        <v>530977.05000000005</v>
      </c>
      <c r="I32" s="41">
        <f>SUM(I22:I31)</f>
        <v>152448.67000000001</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149</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v>322831.65000000002</v>
      </c>
      <c r="H37" s="18">
        <v>20785.84</v>
      </c>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v>79606.87</v>
      </c>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v>-22697.72</v>
      </c>
      <c r="J45" s="13">
        <f>I456</f>
        <v>0</v>
      </c>
      <c r="K45" s="24" t="s">
        <v>288</v>
      </c>
      <c r="L45" s="24" t="s">
        <v>288</v>
      </c>
      <c r="M45" s="8"/>
      <c r="N45" s="266"/>
    </row>
    <row r="46" spans="1:14" s="3" customFormat="1" ht="12.2" customHeight="1" x14ac:dyDescent="0.15">
      <c r="A46" s="1" t="s">
        <v>874</v>
      </c>
      <c r="B46" s="6">
        <v>1</v>
      </c>
      <c r="C46" s="6">
        <v>32</v>
      </c>
      <c r="D46" s="2"/>
      <c r="E46" s="6"/>
      <c r="F46" s="18">
        <v>850261</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f>95605.38-21044.07+18850</f>
        <v>93411.31</v>
      </c>
      <c r="I48" s="18"/>
      <c r="J48" s="13">
        <f>SUM(I460)</f>
        <v>928794.33</v>
      </c>
      <c r="K48" s="24" t="s">
        <v>288</v>
      </c>
      <c r="L48" s="24" t="s">
        <v>288</v>
      </c>
      <c r="M48" s="8"/>
      <c r="N48" s="266"/>
    </row>
    <row r="49" spans="1:14" s="3" customFormat="1" ht="12.2" customHeight="1" x14ac:dyDescent="0.15">
      <c r="A49" s="1" t="s">
        <v>859</v>
      </c>
      <c r="B49" s="2" t="s">
        <v>289</v>
      </c>
      <c r="C49" s="6">
        <v>34</v>
      </c>
      <c r="D49" s="2"/>
      <c r="E49" s="6">
        <v>753</v>
      </c>
      <c r="F49" s="18">
        <v>219771.36</v>
      </c>
      <c r="G49" s="18"/>
      <c r="H49" s="18">
        <f>14560.82+9100</f>
        <v>23660.82</v>
      </c>
      <c r="I49" s="18">
        <f>22697.72+25951.33</f>
        <v>48649.05</v>
      </c>
      <c r="J49" s="13">
        <f>I455</f>
        <v>0</v>
      </c>
      <c r="K49" s="24"/>
      <c r="L49" s="24"/>
      <c r="M49" s="8"/>
      <c r="N49" s="266"/>
    </row>
    <row r="50" spans="1:14" s="3" customFormat="1" ht="12.2" customHeight="1" thickBot="1" x14ac:dyDescent="0.2">
      <c r="A50" s="29" t="s">
        <v>840</v>
      </c>
      <c r="B50" s="2" t="s">
        <v>289</v>
      </c>
      <c r="C50" s="71">
        <v>35</v>
      </c>
      <c r="D50" s="2" t="s">
        <v>653</v>
      </c>
      <c r="E50" s="6">
        <v>770</v>
      </c>
      <c r="F50" s="18">
        <v>3632808.65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4702990.01</v>
      </c>
      <c r="G51" s="41">
        <f>SUM(G35:G50)</f>
        <v>322831.65000000002</v>
      </c>
      <c r="H51" s="41">
        <f>SUM(H35:H50)</f>
        <v>217464.84</v>
      </c>
      <c r="I51" s="41">
        <f>SUM(I35:I50)</f>
        <v>25951.33</v>
      </c>
      <c r="J51" s="41">
        <f>SUM(J35:J50)</f>
        <v>928794.33</v>
      </c>
      <c r="K51" s="45" t="s">
        <v>288</v>
      </c>
      <c r="L51" s="45" t="s">
        <v>288</v>
      </c>
      <c r="N51" s="264"/>
    </row>
    <row r="52" spans="1:14" s="3" customFormat="1" ht="12.2" customHeight="1" thickTop="1" x14ac:dyDescent="0.15">
      <c r="A52" s="38" t="s">
        <v>455</v>
      </c>
      <c r="B52" s="39" t="s">
        <v>289</v>
      </c>
      <c r="C52" s="6">
        <v>37</v>
      </c>
      <c r="D52" s="39" t="s">
        <v>653</v>
      </c>
      <c r="E52" s="39"/>
      <c r="F52" s="41">
        <f>F51+F32</f>
        <v>5329087.46</v>
      </c>
      <c r="G52" s="41">
        <f>G51+G32</f>
        <v>371520.37</v>
      </c>
      <c r="H52" s="41">
        <f>H51+H32</f>
        <v>748441.89</v>
      </c>
      <c r="I52" s="41">
        <f>I51+I32</f>
        <v>178400</v>
      </c>
      <c r="J52" s="41">
        <f>J51+J32</f>
        <v>928794.33</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30283362</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30283362</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90448.17</v>
      </c>
      <c r="G63" s="24" t="s">
        <v>288</v>
      </c>
      <c r="H63" s="18">
        <v>97323.199999999997</v>
      </c>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v>10393</v>
      </c>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v>161923.75</v>
      </c>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v>38430.1</v>
      </c>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8507279.8900000006</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3742170.35</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f>66826.05+43945.61</f>
        <v>110771.66</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12450670.07</v>
      </c>
      <c r="G79" s="45" t="s">
        <v>288</v>
      </c>
      <c r="H79" s="41">
        <f>SUM(H63:H78)</f>
        <v>308070.05</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97459.88</v>
      </c>
      <c r="G96" s="18"/>
      <c r="H96" s="18"/>
      <c r="I96" s="18"/>
      <c r="J96" s="18">
        <v>12836.14</v>
      </c>
      <c r="K96" s="24" t="s">
        <v>288</v>
      </c>
      <c r="L96" s="24" t="s">
        <v>288</v>
      </c>
      <c r="M96" s="8"/>
      <c r="N96" s="266"/>
    </row>
    <row r="97" spans="1:14" s="3" customFormat="1" ht="12.2" customHeight="1" x14ac:dyDescent="0.15">
      <c r="A97" s="1" t="s">
        <v>503</v>
      </c>
      <c r="B97" s="2" t="s">
        <v>315</v>
      </c>
      <c r="C97" s="6">
        <v>12</v>
      </c>
      <c r="D97" s="2" t="s">
        <v>430</v>
      </c>
      <c r="E97" s="6">
        <v>1600</v>
      </c>
      <c r="F97" s="24" t="s">
        <v>288</v>
      </c>
      <c r="G97" s="18">
        <v>518450.8</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1495.68</v>
      </c>
      <c r="G98" s="24" t="s">
        <v>288</v>
      </c>
      <c r="H98" s="18">
        <v>36427.79</v>
      </c>
      <c r="I98" s="24" t="s">
        <v>288</v>
      </c>
      <c r="J98" s="24" t="s">
        <v>288</v>
      </c>
      <c r="K98" s="24" t="s">
        <v>288</v>
      </c>
      <c r="L98" s="24" t="s">
        <v>288</v>
      </c>
      <c r="M98" s="8">
        <v>36427.79</v>
      </c>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61212.75</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v>3750</v>
      </c>
      <c r="H102" s="18">
        <v>78632.009999999995</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v>10</v>
      </c>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111787.97</v>
      </c>
      <c r="G105" s="18"/>
      <c r="H105" s="18">
        <v>100461.14</v>
      </c>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6157.33</v>
      </c>
      <c r="G109" s="18"/>
      <c r="H109" s="18">
        <v>368.61</v>
      </c>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147180.99</v>
      </c>
      <c r="G110" s="18">
        <v>21825</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425294.60000000003</v>
      </c>
      <c r="G111" s="41">
        <f>SUM(G96:G110)</f>
        <v>544025.80000000005</v>
      </c>
      <c r="H111" s="41">
        <f>SUM(H96:H110)</f>
        <v>215899.55</v>
      </c>
      <c r="I111" s="41">
        <f>SUM(I96:I110)</f>
        <v>0</v>
      </c>
      <c r="J111" s="41">
        <f>SUM(J96:J110)</f>
        <v>12836.14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43159326.670000002</v>
      </c>
      <c r="G112" s="41">
        <f>G60+G111</f>
        <v>544025.80000000005</v>
      </c>
      <c r="H112" s="41">
        <f>H60+H79+H94+H111</f>
        <v>523969.6</v>
      </c>
      <c r="I112" s="41">
        <f>I60+I111</f>
        <v>0</v>
      </c>
      <c r="J112" s="41">
        <f>J60+J111</f>
        <v>12836.14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12074140.26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3727087</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29565.91</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15830793.17</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1400532.28</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605295.85</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f>260548.77-43945.61</f>
        <v>216603.15999999997</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4209.6000000000004</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f>13984.67+5713.68</f>
        <v>19698.349999999999</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v>178400</v>
      </c>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2226640.89</v>
      </c>
      <c r="G136" s="41">
        <f>SUM(G123:G135)</f>
        <v>19698.349999999999</v>
      </c>
      <c r="H136" s="41">
        <f>SUM(H123:H135)</f>
        <v>0</v>
      </c>
      <c r="I136" s="41">
        <f>SUM(I123:I135)</f>
        <v>178400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18057434.059999999</v>
      </c>
      <c r="G140" s="41">
        <f>G121+SUM(G136:G137)</f>
        <v>19698.349999999999</v>
      </c>
      <c r="H140" s="41">
        <f>H121+SUM(H136:H139)</f>
        <v>0</v>
      </c>
      <c r="I140" s="41">
        <f>I121+I136</f>
        <v>178400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726509.47</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273198.19+6600+2500</f>
        <v>282298.19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265810.18</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v>212877.4</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710102.55-5713.68</f>
        <v>704388.87</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871966.58</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170147.04</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170147.04</v>
      </c>
      <c r="G163" s="41">
        <f>SUM(G150:G162)</f>
        <v>704388.87</v>
      </c>
      <c r="H163" s="41">
        <f>SUM(H150:H162)</f>
        <v>2359461.8199999998</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170147.04</v>
      </c>
      <c r="G170" s="41">
        <f>G147+G163+SUM(G164:G169)</f>
        <v>704388.87</v>
      </c>
      <c r="H170" s="41">
        <f>H147+H163+SUM(H164:H169)</f>
        <v>2359461.8199999998</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v>92452.62</v>
      </c>
      <c r="J180" s="18">
        <v>100000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92452.62</v>
      </c>
      <c r="J184" s="41">
        <f>SUM(J180:J183)</f>
        <v>100000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v>10201</v>
      </c>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10201</v>
      </c>
      <c r="G193" s="41">
        <f>G184+SUM(G189:G192)</f>
        <v>0</v>
      </c>
      <c r="H193" s="41">
        <f>+H184+SUM(H189:H192)</f>
        <v>0</v>
      </c>
      <c r="I193" s="41">
        <f>I178+I184+SUM(I189:I192)</f>
        <v>92452.62</v>
      </c>
      <c r="J193" s="41">
        <f>J184</f>
        <v>100000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61397108.770000003</v>
      </c>
      <c r="G194" s="47">
        <f>G112+G140+G170+G193</f>
        <v>1268113.02</v>
      </c>
      <c r="H194" s="47">
        <f>H112+H140+H170+H193</f>
        <v>2883431.42</v>
      </c>
      <c r="I194" s="47">
        <f>I112+I140+I170+I193</f>
        <v>270852.62</v>
      </c>
      <c r="J194" s="47">
        <f>J112+J140+J193</f>
        <v>112836.14</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5261629.38</v>
      </c>
      <c r="G198" s="18">
        <v>2509411.2999999998</v>
      </c>
      <c r="H198" s="18">
        <v>14312.84</v>
      </c>
      <c r="I198" s="18">
        <v>253485.21</v>
      </c>
      <c r="J198" s="18">
        <v>48140.88</v>
      </c>
      <c r="K198" s="18">
        <v>5096.8</v>
      </c>
      <c r="L198" s="19">
        <f>SUM(F198:K198)</f>
        <v>8092076.4099999992</v>
      </c>
      <c r="M198" s="8"/>
      <c r="N198" s="266"/>
    </row>
    <row r="199" spans="1:14" s="3" customFormat="1" ht="12.2" customHeight="1" x14ac:dyDescent="0.15">
      <c r="A199" s="1" t="s">
        <v>439</v>
      </c>
      <c r="B199" s="2" t="s">
        <v>341</v>
      </c>
      <c r="C199" s="2" t="s">
        <v>291</v>
      </c>
      <c r="D199" s="2" t="s">
        <v>431</v>
      </c>
      <c r="E199" s="6">
        <v>1200</v>
      </c>
      <c r="F199" s="18">
        <v>2918013.89</v>
      </c>
      <c r="G199" s="18">
        <v>1258196.2</v>
      </c>
      <c r="H199" s="18">
        <v>900581.76</v>
      </c>
      <c r="I199" s="18">
        <v>21251.57</v>
      </c>
      <c r="J199" s="18">
        <v>1512.91</v>
      </c>
      <c r="K199" s="18"/>
      <c r="L199" s="19">
        <f>SUM(F199:K199)</f>
        <v>5099556.33</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21572.62</v>
      </c>
      <c r="G201" s="18">
        <v>4284.08</v>
      </c>
      <c r="H201" s="18"/>
      <c r="I201" s="18">
        <v>41.77</v>
      </c>
      <c r="J201" s="18"/>
      <c r="K201" s="18"/>
      <c r="L201" s="19">
        <f>SUM(F201:K201)</f>
        <v>25898.469999999998</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1677599.91</v>
      </c>
      <c r="G203" s="18">
        <v>848587.72</v>
      </c>
      <c r="H203" s="18">
        <v>21253.79</v>
      </c>
      <c r="I203" s="18">
        <v>5147.2</v>
      </c>
      <c r="J203" s="18"/>
      <c r="K203" s="18"/>
      <c r="L203" s="19">
        <f t="shared" ref="L203:L209" si="0">SUM(F203:K203)</f>
        <v>2552588.62</v>
      </c>
      <c r="M203" s="8"/>
      <c r="N203" s="266"/>
    </row>
    <row r="204" spans="1:14" s="3" customFormat="1" ht="12.2" customHeight="1" x14ac:dyDescent="0.15">
      <c r="A204" s="1" t="s">
        <v>443</v>
      </c>
      <c r="B204" s="2" t="s">
        <v>341</v>
      </c>
      <c r="C204" s="2" t="s">
        <v>295</v>
      </c>
      <c r="D204" s="2" t="s">
        <v>431</v>
      </c>
      <c r="E204" s="6">
        <v>2200</v>
      </c>
      <c r="F204" s="18">
        <v>320655.74</v>
      </c>
      <c r="G204" s="18">
        <v>147488.82999999999</v>
      </c>
      <c r="H204" s="18">
        <v>44669.74</v>
      </c>
      <c r="I204" s="18">
        <v>28441.18</v>
      </c>
      <c r="J204" s="18">
        <v>411.36</v>
      </c>
      <c r="K204" s="18"/>
      <c r="L204" s="19">
        <f t="shared" si="0"/>
        <v>541666.85</v>
      </c>
      <c r="M204" s="8"/>
      <c r="N204" s="266"/>
    </row>
    <row r="205" spans="1:14" s="3" customFormat="1" ht="12.2" customHeight="1" x14ac:dyDescent="0.15">
      <c r="A205" s="1" t="s">
        <v>444</v>
      </c>
      <c r="B205" s="2" t="s">
        <v>341</v>
      </c>
      <c r="C205" s="2" t="s">
        <v>296</v>
      </c>
      <c r="D205" s="2" t="s">
        <v>431</v>
      </c>
      <c r="E205" s="6">
        <v>2300</v>
      </c>
      <c r="F205" s="18">
        <v>223622.79</v>
      </c>
      <c r="G205" s="18">
        <v>134702.29</v>
      </c>
      <c r="H205" s="18">
        <v>931723.67</v>
      </c>
      <c r="I205" s="18">
        <v>4271.8500000000004</v>
      </c>
      <c r="J205" s="18"/>
      <c r="K205" s="18">
        <v>17428.34</v>
      </c>
      <c r="L205" s="19">
        <f t="shared" si="0"/>
        <v>1311748.9400000002</v>
      </c>
      <c r="M205" s="8"/>
      <c r="N205" s="266"/>
    </row>
    <row r="206" spans="1:14" s="3" customFormat="1" ht="12.2" customHeight="1" x14ac:dyDescent="0.15">
      <c r="A206" s="1" t="s">
        <v>445</v>
      </c>
      <c r="B206" s="2" t="s">
        <v>341</v>
      </c>
      <c r="C206" s="2" t="s">
        <v>297</v>
      </c>
      <c r="D206" s="2" t="s">
        <v>431</v>
      </c>
      <c r="E206" s="6">
        <v>2400</v>
      </c>
      <c r="F206" s="18">
        <v>704183.35</v>
      </c>
      <c r="G206" s="18">
        <v>276412.67</v>
      </c>
      <c r="H206" s="18">
        <v>27650.7</v>
      </c>
      <c r="I206" s="18">
        <v>2138.69</v>
      </c>
      <c r="J206" s="18"/>
      <c r="K206" s="18">
        <v>2120</v>
      </c>
      <c r="L206" s="19">
        <f t="shared" si="0"/>
        <v>1012505.4099999999</v>
      </c>
      <c r="M206" s="8"/>
      <c r="N206" s="266"/>
    </row>
    <row r="207" spans="1:14" s="3" customFormat="1" ht="12.2" customHeight="1" x14ac:dyDescent="0.15">
      <c r="A207" s="1" t="s">
        <v>446</v>
      </c>
      <c r="B207" s="2" t="s">
        <v>341</v>
      </c>
      <c r="C207" s="2" t="s">
        <v>298</v>
      </c>
      <c r="D207" s="2" t="s">
        <v>431</v>
      </c>
      <c r="E207" s="6">
        <v>2500</v>
      </c>
      <c r="F207" s="18"/>
      <c r="G207" s="18"/>
      <c r="H207" s="18">
        <v>8538.3700000000008</v>
      </c>
      <c r="I207" s="18"/>
      <c r="J207" s="18"/>
      <c r="K207" s="18">
        <v>700</v>
      </c>
      <c r="L207" s="19">
        <f t="shared" si="0"/>
        <v>9238.3700000000008</v>
      </c>
      <c r="M207" s="8"/>
      <c r="N207" s="266"/>
    </row>
    <row r="208" spans="1:14" s="3" customFormat="1" ht="12.2" customHeight="1" x14ac:dyDescent="0.15">
      <c r="A208" s="1" t="s">
        <v>447</v>
      </c>
      <c r="B208" s="2" t="s">
        <v>341</v>
      </c>
      <c r="C208" s="2" t="s">
        <v>299</v>
      </c>
      <c r="D208" s="2" t="s">
        <v>431</v>
      </c>
      <c r="E208" s="6">
        <v>2600</v>
      </c>
      <c r="F208" s="18">
        <v>576594.66</v>
      </c>
      <c r="G208" s="18">
        <v>283901.32</v>
      </c>
      <c r="H208" s="18">
        <v>256542.16</v>
      </c>
      <c r="I208" s="18">
        <v>332581.65000000002</v>
      </c>
      <c r="J208" s="18">
        <v>36298.519999999997</v>
      </c>
      <c r="K208" s="18">
        <v>6437.7</v>
      </c>
      <c r="L208" s="19">
        <f t="shared" si="0"/>
        <v>1492356.01</v>
      </c>
      <c r="M208" s="8"/>
      <c r="N208" s="266"/>
    </row>
    <row r="209" spans="1:14" s="3" customFormat="1" ht="12.2" customHeight="1" x14ac:dyDescent="0.15">
      <c r="A209" s="1" t="s">
        <v>448</v>
      </c>
      <c r="B209" s="2" t="s">
        <v>341</v>
      </c>
      <c r="C209" s="2" t="s">
        <v>300</v>
      </c>
      <c r="D209" s="2" t="s">
        <v>431</v>
      </c>
      <c r="E209" s="6">
        <v>2700</v>
      </c>
      <c r="F209" s="18"/>
      <c r="G209" s="18"/>
      <c r="H209" s="18">
        <v>716645.73</v>
      </c>
      <c r="I209" s="18"/>
      <c r="J209" s="18"/>
      <c r="K209" s="18"/>
      <c r="L209" s="19">
        <f t="shared" si="0"/>
        <v>716645.73</v>
      </c>
      <c r="M209" s="8"/>
      <c r="N209" s="266"/>
    </row>
    <row r="210" spans="1:14" s="3" customFormat="1" ht="12.2" customHeight="1" x14ac:dyDescent="0.15">
      <c r="A210" s="1" t="s">
        <v>449</v>
      </c>
      <c r="B210" s="2" t="s">
        <v>341</v>
      </c>
      <c r="C210" s="2" t="s">
        <v>343</v>
      </c>
      <c r="D210" s="2" t="s">
        <v>431</v>
      </c>
      <c r="E210" s="6">
        <v>2800</v>
      </c>
      <c r="F210" s="18">
        <v>7500</v>
      </c>
      <c r="G210" s="18">
        <v>1939.48</v>
      </c>
      <c r="H210" s="18">
        <v>13159.73</v>
      </c>
      <c r="I210" s="18">
        <v>114287.2</v>
      </c>
      <c r="J210" s="18">
        <v>123379.17</v>
      </c>
      <c r="K210" s="18"/>
      <c r="L210" s="19">
        <f>SUM(F210:K210)</f>
        <v>260265.58000000002</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11711372.339999998</v>
      </c>
      <c r="G212" s="41">
        <f t="shared" si="1"/>
        <v>5464923.8900000006</v>
      </c>
      <c r="H212" s="41">
        <f t="shared" si="1"/>
        <v>2935078.49</v>
      </c>
      <c r="I212" s="41">
        <f t="shared" si="1"/>
        <v>761646.32</v>
      </c>
      <c r="J212" s="41">
        <f t="shared" si="1"/>
        <v>209742.84</v>
      </c>
      <c r="K212" s="41">
        <f t="shared" si="1"/>
        <v>31782.84</v>
      </c>
      <c r="L212" s="41">
        <f t="shared" si="1"/>
        <v>21114546.719999999</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2835774.02</v>
      </c>
      <c r="G216" s="18">
        <v>1240442.06</v>
      </c>
      <c r="H216" s="18">
        <v>3032.45</v>
      </c>
      <c r="I216" s="18">
        <v>64280.25</v>
      </c>
      <c r="J216" s="18">
        <v>17247.71</v>
      </c>
      <c r="K216" s="18"/>
      <c r="L216" s="19">
        <f>SUM(F216:K216)</f>
        <v>4160776.49</v>
      </c>
      <c r="M216" s="8"/>
      <c r="N216" s="266"/>
    </row>
    <row r="217" spans="1:14" s="3" customFormat="1" ht="12.2" customHeight="1" x14ac:dyDescent="0.15">
      <c r="A217" s="1" t="s">
        <v>439</v>
      </c>
      <c r="B217" s="2" t="s">
        <v>346</v>
      </c>
      <c r="C217" s="2" t="s">
        <v>291</v>
      </c>
      <c r="D217" s="2" t="s">
        <v>431</v>
      </c>
      <c r="E217" s="6">
        <v>1200</v>
      </c>
      <c r="F217" s="18">
        <v>1088334.93</v>
      </c>
      <c r="G217" s="18">
        <v>527857.65</v>
      </c>
      <c r="H217" s="18">
        <v>970143</v>
      </c>
      <c r="I217" s="18">
        <v>8054.99</v>
      </c>
      <c r="J217" s="18">
        <v>3470.84</v>
      </c>
      <c r="K217" s="18"/>
      <c r="L217" s="19">
        <f>SUM(F217:K217)</f>
        <v>2597861.41</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v>75269.73</v>
      </c>
      <c r="G219" s="18">
        <v>15395.75</v>
      </c>
      <c r="H219" s="18">
        <v>7821</v>
      </c>
      <c r="I219" s="18">
        <v>12139.97</v>
      </c>
      <c r="J219" s="18"/>
      <c r="K219" s="18">
        <v>3375</v>
      </c>
      <c r="L219" s="19">
        <f>SUM(F219:K219)</f>
        <v>114001.45</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551410.99</v>
      </c>
      <c r="G221" s="18">
        <v>265791.09999999998</v>
      </c>
      <c r="H221" s="18">
        <v>43662.02</v>
      </c>
      <c r="I221" s="18">
        <v>4968.9799999999996</v>
      </c>
      <c r="J221" s="18">
        <v>854.07</v>
      </c>
      <c r="K221" s="18">
        <v>100</v>
      </c>
      <c r="L221" s="19">
        <f t="shared" ref="L221:L227" si="2">SUM(F221:K221)</f>
        <v>866787.15999999992</v>
      </c>
      <c r="M221" s="8"/>
      <c r="N221" s="266"/>
    </row>
    <row r="222" spans="1:14" s="3" customFormat="1" ht="12.2" customHeight="1" x14ac:dyDescent="0.15">
      <c r="A222" s="1" t="s">
        <v>443</v>
      </c>
      <c r="B222" s="2" t="s">
        <v>346</v>
      </c>
      <c r="C222" s="2" t="s">
        <v>295</v>
      </c>
      <c r="D222" s="2" t="s">
        <v>431</v>
      </c>
      <c r="E222" s="6">
        <v>2200</v>
      </c>
      <c r="F222" s="18">
        <v>137583.45000000001</v>
      </c>
      <c r="G222" s="18">
        <v>62138.96</v>
      </c>
      <c r="H222" s="18">
        <v>22456.3</v>
      </c>
      <c r="I222" s="18">
        <v>34036.6</v>
      </c>
      <c r="J222" s="18">
        <v>6446.74</v>
      </c>
      <c r="K222" s="18">
        <v>1825</v>
      </c>
      <c r="L222" s="19">
        <f t="shared" si="2"/>
        <v>264487.05</v>
      </c>
      <c r="M222" s="8"/>
      <c r="N222" s="266"/>
    </row>
    <row r="223" spans="1:14" s="3" customFormat="1" ht="12.2" customHeight="1" x14ac:dyDescent="0.15">
      <c r="A223" s="1" t="s">
        <v>444</v>
      </c>
      <c r="B223" s="2" t="s">
        <v>346</v>
      </c>
      <c r="C223" s="2" t="s">
        <v>296</v>
      </c>
      <c r="D223" s="2" t="s">
        <v>431</v>
      </c>
      <c r="E223" s="6">
        <v>2300</v>
      </c>
      <c r="F223" s="18">
        <v>109603.51</v>
      </c>
      <c r="G223" s="18">
        <v>63452.56</v>
      </c>
      <c r="H223" s="18">
        <v>491643.12</v>
      </c>
      <c r="I223" s="18">
        <v>1933.45</v>
      </c>
      <c r="J223" s="18"/>
      <c r="K223" s="18">
        <v>3018.61</v>
      </c>
      <c r="L223" s="19">
        <f t="shared" si="2"/>
        <v>669651.24999999988</v>
      </c>
      <c r="M223" s="8"/>
      <c r="N223" s="266"/>
    </row>
    <row r="224" spans="1:14" s="3" customFormat="1" ht="12.2" customHeight="1" x14ac:dyDescent="0.15">
      <c r="A224" s="1" t="s">
        <v>445</v>
      </c>
      <c r="B224" s="2" t="s">
        <v>346</v>
      </c>
      <c r="C224" s="2" t="s">
        <v>297</v>
      </c>
      <c r="D224" s="2" t="s">
        <v>431</v>
      </c>
      <c r="E224" s="6">
        <v>2400</v>
      </c>
      <c r="F224" s="18">
        <v>321855.74</v>
      </c>
      <c r="G224" s="18">
        <v>164728.57999999999</v>
      </c>
      <c r="H224" s="18">
        <v>20558</v>
      </c>
      <c r="I224" s="18"/>
      <c r="J224" s="18"/>
      <c r="K224" s="18">
        <v>3418.32</v>
      </c>
      <c r="L224" s="19">
        <f t="shared" si="2"/>
        <v>510560.63999999996</v>
      </c>
      <c r="M224" s="8"/>
      <c r="N224" s="266"/>
    </row>
    <row r="225" spans="1:14" s="3" customFormat="1" ht="12.2" customHeight="1" x14ac:dyDescent="0.15">
      <c r="A225" s="1" t="s">
        <v>446</v>
      </c>
      <c r="B225" s="2" t="s">
        <v>346</v>
      </c>
      <c r="C225" s="2" t="s">
        <v>298</v>
      </c>
      <c r="D225" s="2" t="s">
        <v>431</v>
      </c>
      <c r="E225" s="6">
        <v>2500</v>
      </c>
      <c r="F225" s="18"/>
      <c r="G225" s="18"/>
      <c r="H225" s="18">
        <v>4615.3500000000004</v>
      </c>
      <c r="I225" s="18"/>
      <c r="J225" s="18"/>
      <c r="K225" s="18"/>
      <c r="L225" s="19">
        <f t="shared" si="2"/>
        <v>4615.3500000000004</v>
      </c>
      <c r="M225" s="8"/>
      <c r="N225" s="266"/>
    </row>
    <row r="226" spans="1:14" s="3" customFormat="1" ht="12.2" customHeight="1" x14ac:dyDescent="0.15">
      <c r="A226" s="1" t="s">
        <v>447</v>
      </c>
      <c r="B226" s="2" t="s">
        <v>346</v>
      </c>
      <c r="C226" s="2" t="s">
        <v>299</v>
      </c>
      <c r="D226" s="2" t="s">
        <v>431</v>
      </c>
      <c r="E226" s="6">
        <v>2600</v>
      </c>
      <c r="F226" s="18">
        <v>333411.64</v>
      </c>
      <c r="G226" s="18">
        <v>136855.43</v>
      </c>
      <c r="H226" s="18">
        <v>133858.06</v>
      </c>
      <c r="I226" s="18">
        <v>219527.47</v>
      </c>
      <c r="J226" s="18">
        <v>20169.47</v>
      </c>
      <c r="K226" s="18">
        <v>3769.42</v>
      </c>
      <c r="L226" s="19">
        <f t="shared" si="2"/>
        <v>847591.49</v>
      </c>
      <c r="M226" s="8"/>
      <c r="N226" s="266"/>
    </row>
    <row r="227" spans="1:14" s="3" customFormat="1" ht="12.2" customHeight="1" x14ac:dyDescent="0.15">
      <c r="A227" s="1" t="s">
        <v>448</v>
      </c>
      <c r="B227" s="2" t="s">
        <v>346</v>
      </c>
      <c r="C227" s="2" t="s">
        <v>300</v>
      </c>
      <c r="D227" s="2" t="s">
        <v>431</v>
      </c>
      <c r="E227" s="6">
        <v>2700</v>
      </c>
      <c r="F227" s="18">
        <v>2021.74</v>
      </c>
      <c r="G227" s="18">
        <v>285.75</v>
      </c>
      <c r="H227" s="18">
        <v>430656.1</v>
      </c>
      <c r="I227" s="18"/>
      <c r="J227" s="18"/>
      <c r="K227" s="18"/>
      <c r="L227" s="19">
        <f t="shared" si="2"/>
        <v>432963.58999999997</v>
      </c>
      <c r="M227" s="8"/>
      <c r="N227" s="266"/>
    </row>
    <row r="228" spans="1:14" s="3" customFormat="1" ht="12.2" customHeight="1" x14ac:dyDescent="0.15">
      <c r="A228" s="1" t="s">
        <v>449</v>
      </c>
      <c r="B228" s="2" t="s">
        <v>346</v>
      </c>
      <c r="C228" s="2" t="s">
        <v>343</v>
      </c>
      <c r="D228" s="2" t="s">
        <v>431</v>
      </c>
      <c r="E228" s="6">
        <v>2800</v>
      </c>
      <c r="F228" s="18">
        <v>350</v>
      </c>
      <c r="G228" s="18">
        <v>89.72</v>
      </c>
      <c r="H228" s="18">
        <v>7056.67</v>
      </c>
      <c r="I228" s="18">
        <v>50122.77</v>
      </c>
      <c r="J228" s="18">
        <v>81827.839999999997</v>
      </c>
      <c r="K228" s="18"/>
      <c r="L228" s="19">
        <f>SUM(F228:K228)</f>
        <v>139447</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5455615.75</v>
      </c>
      <c r="G230" s="41">
        <f>SUM(G216:G229)</f>
        <v>2477037.5600000005</v>
      </c>
      <c r="H230" s="41">
        <f>SUM(H216:H229)</f>
        <v>2135502.0700000003</v>
      </c>
      <c r="I230" s="41">
        <f>SUM(I216:I229)</f>
        <v>395064.48000000004</v>
      </c>
      <c r="J230" s="41">
        <f>SUM(J216:J229)</f>
        <v>130016.67</v>
      </c>
      <c r="K230" s="41">
        <f t="shared" si="3"/>
        <v>15506.35</v>
      </c>
      <c r="L230" s="41">
        <f t="shared" si="3"/>
        <v>10608742.880000001</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5203924.96</v>
      </c>
      <c r="G234" s="18">
        <v>2491972.89</v>
      </c>
      <c r="H234" s="18">
        <v>10342.84</v>
      </c>
      <c r="I234" s="18">
        <v>160084.07</v>
      </c>
      <c r="J234" s="18">
        <v>48459.05</v>
      </c>
      <c r="K234" s="18"/>
      <c r="L234" s="19">
        <f>SUM(F234:K234)</f>
        <v>7914783.8099999996</v>
      </c>
      <c r="M234" s="8"/>
      <c r="N234" s="266"/>
    </row>
    <row r="235" spans="1:14" s="3" customFormat="1" ht="12.2" customHeight="1" x14ac:dyDescent="0.15">
      <c r="A235" s="1" t="s">
        <v>439</v>
      </c>
      <c r="B235" s="2" t="s">
        <v>350</v>
      </c>
      <c r="C235" s="2" t="s">
        <v>291</v>
      </c>
      <c r="D235" s="2" t="s">
        <v>431</v>
      </c>
      <c r="E235" s="6">
        <v>1200</v>
      </c>
      <c r="F235" s="18">
        <v>1543445.66</v>
      </c>
      <c r="G235" s="18">
        <v>615167.82999999996</v>
      </c>
      <c r="H235" s="18">
        <v>1405930.88</v>
      </c>
      <c r="I235" s="18">
        <v>6435.75</v>
      </c>
      <c r="J235" s="18">
        <v>2196.7600000000002</v>
      </c>
      <c r="K235" s="18"/>
      <c r="L235" s="19">
        <f>SUM(F235:K235)</f>
        <v>3573176.8799999994</v>
      </c>
      <c r="M235" s="8"/>
      <c r="N235" s="266"/>
    </row>
    <row r="236" spans="1:14" s="3" customFormat="1" ht="12.2" customHeight="1" x14ac:dyDescent="0.15">
      <c r="A236" s="1" t="s">
        <v>440</v>
      </c>
      <c r="B236" s="2" t="s">
        <v>350</v>
      </c>
      <c r="C236" s="2" t="s">
        <v>292</v>
      </c>
      <c r="D236" s="2" t="s">
        <v>431</v>
      </c>
      <c r="E236" s="6">
        <v>1300</v>
      </c>
      <c r="F236" s="18">
        <v>951382.63</v>
      </c>
      <c r="G236" s="18">
        <v>436773.73</v>
      </c>
      <c r="H236" s="18">
        <v>22264.48</v>
      </c>
      <c r="I236" s="18">
        <v>53125.32</v>
      </c>
      <c r="J236" s="18">
        <v>8198.92</v>
      </c>
      <c r="K236" s="18">
        <v>418.96</v>
      </c>
      <c r="L236" s="19">
        <f>SUM(F236:K236)</f>
        <v>1472164.0399999998</v>
      </c>
      <c r="M236" s="8"/>
      <c r="N236" s="266"/>
    </row>
    <row r="237" spans="1:14" s="3" customFormat="1" ht="12.2" customHeight="1" x14ac:dyDescent="0.15">
      <c r="A237" s="1" t="s">
        <v>441</v>
      </c>
      <c r="B237" s="2" t="s">
        <v>350</v>
      </c>
      <c r="C237" s="2" t="s">
        <v>293</v>
      </c>
      <c r="D237" s="2" t="s">
        <v>431</v>
      </c>
      <c r="E237" s="6">
        <v>1400</v>
      </c>
      <c r="F237" s="18">
        <v>347375</v>
      </c>
      <c r="G237" s="18">
        <v>106633.74</v>
      </c>
      <c r="H237" s="18">
        <v>124465.95</v>
      </c>
      <c r="I237" s="18">
        <v>29091.5</v>
      </c>
      <c r="J237" s="18">
        <v>20308.72</v>
      </c>
      <c r="K237" s="18">
        <v>10044.17</v>
      </c>
      <c r="L237" s="19">
        <f>SUM(F237:K237)</f>
        <v>637919.07999999996</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924610.41</v>
      </c>
      <c r="G239" s="18">
        <v>419397.46</v>
      </c>
      <c r="H239" s="18">
        <v>78641.89</v>
      </c>
      <c r="I239" s="18">
        <v>4604.91</v>
      </c>
      <c r="J239" s="18">
        <v>2052.66</v>
      </c>
      <c r="K239" s="18">
        <v>574</v>
      </c>
      <c r="L239" s="19">
        <f t="shared" ref="L239:L245" si="4">SUM(F239:K239)</f>
        <v>1429881.3299999998</v>
      </c>
      <c r="M239" s="8"/>
      <c r="N239" s="266"/>
    </row>
    <row r="240" spans="1:14" s="3" customFormat="1" ht="12.2" customHeight="1" x14ac:dyDescent="0.15">
      <c r="A240" s="1" t="s">
        <v>443</v>
      </c>
      <c r="B240" s="2" t="s">
        <v>350</v>
      </c>
      <c r="C240" s="2" t="s">
        <v>295</v>
      </c>
      <c r="D240" s="2" t="s">
        <v>431</v>
      </c>
      <c r="E240" s="6">
        <v>2200</v>
      </c>
      <c r="F240" s="18">
        <v>203885.83</v>
      </c>
      <c r="G240" s="18">
        <v>100429.81</v>
      </c>
      <c r="H240" s="18">
        <v>54575.83</v>
      </c>
      <c r="I240" s="18">
        <v>53062.68</v>
      </c>
      <c r="J240" s="18">
        <v>3353.67</v>
      </c>
      <c r="K240" s="18">
        <v>2445.25</v>
      </c>
      <c r="L240" s="19">
        <f t="shared" si="4"/>
        <v>417753.07</v>
      </c>
      <c r="M240" s="8"/>
      <c r="N240" s="266"/>
    </row>
    <row r="241" spans="1:14" s="3" customFormat="1" ht="12.2" customHeight="1" x14ac:dyDescent="0.15">
      <c r="A241" s="1" t="s">
        <v>444</v>
      </c>
      <c r="B241" s="2" t="s">
        <v>350</v>
      </c>
      <c r="C241" s="2" t="s">
        <v>296</v>
      </c>
      <c r="D241" s="2" t="s">
        <v>431</v>
      </c>
      <c r="E241" s="6">
        <v>2300</v>
      </c>
      <c r="F241" s="18">
        <v>132311.24</v>
      </c>
      <c r="G241" s="18">
        <v>99046.73</v>
      </c>
      <c r="H241" s="18">
        <v>1328011.68</v>
      </c>
      <c r="I241" s="18">
        <v>4156.93</v>
      </c>
      <c r="J241" s="18"/>
      <c r="K241" s="18">
        <v>12419.34</v>
      </c>
      <c r="L241" s="19">
        <f t="shared" si="4"/>
        <v>1575945.92</v>
      </c>
      <c r="M241" s="8"/>
      <c r="N241" s="266"/>
    </row>
    <row r="242" spans="1:14" s="3" customFormat="1" ht="12.2" customHeight="1" x14ac:dyDescent="0.15">
      <c r="A242" s="1" t="s">
        <v>445</v>
      </c>
      <c r="B242" s="2" t="s">
        <v>350</v>
      </c>
      <c r="C242" s="2" t="s">
        <v>297</v>
      </c>
      <c r="D242" s="2" t="s">
        <v>431</v>
      </c>
      <c r="E242" s="6">
        <v>2400</v>
      </c>
      <c r="F242" s="18">
        <v>971896.31999999995</v>
      </c>
      <c r="G242" s="18">
        <v>434757.33</v>
      </c>
      <c r="H242" s="18">
        <v>55392.76</v>
      </c>
      <c r="I242" s="18">
        <v>41206.199999999997</v>
      </c>
      <c r="J242" s="18">
        <v>13966.03</v>
      </c>
      <c r="K242" s="18">
        <v>8599</v>
      </c>
      <c r="L242" s="19">
        <f t="shared" si="4"/>
        <v>1525817.64</v>
      </c>
      <c r="M242" s="8"/>
      <c r="N242" s="266"/>
    </row>
    <row r="243" spans="1:14" s="3" customFormat="1" ht="12.2" customHeight="1" x14ac:dyDescent="0.15">
      <c r="A243" s="1" t="s">
        <v>446</v>
      </c>
      <c r="B243" s="2" t="s">
        <v>350</v>
      </c>
      <c r="C243" s="2" t="s">
        <v>298</v>
      </c>
      <c r="D243" s="2" t="s">
        <v>431</v>
      </c>
      <c r="E243" s="6">
        <v>2500</v>
      </c>
      <c r="F243" s="18"/>
      <c r="G243" s="18"/>
      <c r="H243" s="18">
        <v>9923</v>
      </c>
      <c r="I243" s="18"/>
      <c r="J243" s="18"/>
      <c r="K243" s="18"/>
      <c r="L243" s="19">
        <f t="shared" si="4"/>
        <v>9923</v>
      </c>
      <c r="M243" s="8"/>
      <c r="N243" s="266"/>
    </row>
    <row r="244" spans="1:14" s="3" customFormat="1" ht="12.2" customHeight="1" x14ac:dyDescent="0.15">
      <c r="A244" s="1" t="s">
        <v>447</v>
      </c>
      <c r="B244" s="2" t="s">
        <v>350</v>
      </c>
      <c r="C244" s="2" t="s">
        <v>299</v>
      </c>
      <c r="D244" s="2" t="s">
        <v>431</v>
      </c>
      <c r="E244" s="6">
        <v>2600</v>
      </c>
      <c r="F244" s="18">
        <v>820545.8</v>
      </c>
      <c r="G244" s="18">
        <v>389741.47</v>
      </c>
      <c r="H244" s="18">
        <v>593356.22</v>
      </c>
      <c r="I244" s="18">
        <v>592211.34</v>
      </c>
      <c r="J244" s="18">
        <v>87583.6</v>
      </c>
      <c r="K244" s="18">
        <v>7325.78</v>
      </c>
      <c r="L244" s="19">
        <f t="shared" si="4"/>
        <v>2490764.21</v>
      </c>
      <c r="M244" s="8"/>
      <c r="N244" s="266"/>
    </row>
    <row r="245" spans="1:14" s="3" customFormat="1" ht="12.2" customHeight="1" x14ac:dyDescent="0.15">
      <c r="A245" s="1" t="s">
        <v>448</v>
      </c>
      <c r="B245" s="2" t="s">
        <v>350</v>
      </c>
      <c r="C245" s="2" t="s">
        <v>300</v>
      </c>
      <c r="D245" s="2" t="s">
        <v>431</v>
      </c>
      <c r="E245" s="6">
        <v>2700</v>
      </c>
      <c r="F245" s="18"/>
      <c r="G245" s="18"/>
      <c r="H245" s="18">
        <v>865984.76</v>
      </c>
      <c r="I245" s="18"/>
      <c r="J245" s="18"/>
      <c r="K245" s="18"/>
      <c r="L245" s="19">
        <f t="shared" si="4"/>
        <v>865984.76</v>
      </c>
      <c r="M245" s="8"/>
      <c r="N245" s="266"/>
    </row>
    <row r="246" spans="1:14" s="3" customFormat="1" ht="12.2" customHeight="1" x14ac:dyDescent="0.15">
      <c r="A246" s="1" t="s">
        <v>449</v>
      </c>
      <c r="B246" s="2" t="s">
        <v>350</v>
      </c>
      <c r="C246" s="2" t="s">
        <v>343</v>
      </c>
      <c r="D246" s="2" t="s">
        <v>431</v>
      </c>
      <c r="E246" s="6">
        <v>2800</v>
      </c>
      <c r="F246" s="18">
        <v>3750</v>
      </c>
      <c r="G246" s="18">
        <v>965.02</v>
      </c>
      <c r="H246" s="18">
        <v>29498.66</v>
      </c>
      <c r="I246" s="18">
        <v>75571.13</v>
      </c>
      <c r="J246" s="18">
        <v>92066.1</v>
      </c>
      <c r="K246" s="18"/>
      <c r="L246" s="19">
        <f>SUM(F246:K246)</f>
        <v>201850.91</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11103127.850000001</v>
      </c>
      <c r="G248" s="41">
        <f t="shared" si="5"/>
        <v>5094886.01</v>
      </c>
      <c r="H248" s="41">
        <f t="shared" si="5"/>
        <v>4578388.9499999993</v>
      </c>
      <c r="I248" s="41">
        <f t="shared" si="5"/>
        <v>1019549.83</v>
      </c>
      <c r="J248" s="41">
        <f t="shared" si="5"/>
        <v>278185.51</v>
      </c>
      <c r="K248" s="41">
        <f t="shared" si="5"/>
        <v>41826.5</v>
      </c>
      <c r="L248" s="41">
        <f t="shared" si="5"/>
        <v>22115964.650000002</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3279864.12</v>
      </c>
      <c r="I256" s="18"/>
      <c r="J256" s="18"/>
      <c r="K256" s="18">
        <v>3572.5</v>
      </c>
      <c r="L256" s="19">
        <f t="shared" si="6"/>
        <v>3283436.62</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3279864.12</v>
      </c>
      <c r="I257" s="41">
        <f t="shared" si="7"/>
        <v>0</v>
      </c>
      <c r="J257" s="41">
        <f t="shared" si="7"/>
        <v>0</v>
      </c>
      <c r="K257" s="41">
        <f t="shared" si="7"/>
        <v>3572.5</v>
      </c>
      <c r="L257" s="41">
        <f>SUM(F257:K257)</f>
        <v>3283436.62</v>
      </c>
      <c r="M257" s="8"/>
      <c r="N257" s="266"/>
    </row>
    <row r="258" spans="1:14" s="3" customFormat="1" ht="12.2" customHeight="1" thickTop="1" x14ac:dyDescent="0.15">
      <c r="A258" s="38" t="s">
        <v>462</v>
      </c>
      <c r="B258" s="40">
        <v>10</v>
      </c>
      <c r="C258" s="40">
        <v>8</v>
      </c>
      <c r="D258" s="39" t="s">
        <v>431</v>
      </c>
      <c r="E258" s="40"/>
      <c r="F258" s="41">
        <f t="shared" ref="F258:L258" si="8">F212+F230+F248+F257</f>
        <v>28270115.939999998</v>
      </c>
      <c r="G258" s="41">
        <f t="shared" si="8"/>
        <v>13036847.460000001</v>
      </c>
      <c r="H258" s="41">
        <f t="shared" si="8"/>
        <v>12928833.629999999</v>
      </c>
      <c r="I258" s="41">
        <f t="shared" si="8"/>
        <v>2176260.63</v>
      </c>
      <c r="J258" s="41">
        <f t="shared" si="8"/>
        <v>617945.02</v>
      </c>
      <c r="K258" s="41">
        <f t="shared" si="8"/>
        <v>92688.19</v>
      </c>
      <c r="L258" s="41">
        <f t="shared" si="8"/>
        <v>57122690.869999997</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2404435.56</v>
      </c>
      <c r="L261" s="19">
        <f>SUM(F261:K261)</f>
        <v>2404435.56</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733155.69</v>
      </c>
      <c r="L262" s="19">
        <f>SUM(F262:K262)</f>
        <v>733155.69</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92452.62</v>
      </c>
      <c r="L266" s="19">
        <f t="shared" si="9"/>
        <v>92452.62</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100000</v>
      </c>
      <c r="L267" s="19">
        <f t="shared" si="9"/>
        <v>100000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3330043.87</v>
      </c>
      <c r="L271" s="41">
        <f t="shared" si="9"/>
        <v>3330043.87</v>
      </c>
      <c r="M271" s="8"/>
      <c r="N271" s="266"/>
    </row>
    <row r="272" spans="1:14" s="34" customFormat="1" ht="12.2" customHeight="1" thickTop="1" x14ac:dyDescent="0.2">
      <c r="A272" s="43" t="s">
        <v>464</v>
      </c>
      <c r="B272" s="40">
        <v>10</v>
      </c>
      <c r="C272" s="40">
        <v>18</v>
      </c>
      <c r="D272" s="39" t="s">
        <v>431</v>
      </c>
      <c r="E272" s="40"/>
      <c r="F272" s="42">
        <f t="shared" ref="F272:L272" si="11">F258+F271</f>
        <v>28270115.939999998</v>
      </c>
      <c r="G272" s="42">
        <f t="shared" si="11"/>
        <v>13036847.460000001</v>
      </c>
      <c r="H272" s="42">
        <f t="shared" si="11"/>
        <v>12928833.629999999</v>
      </c>
      <c r="I272" s="42">
        <f t="shared" si="11"/>
        <v>2176260.63</v>
      </c>
      <c r="J272" s="42">
        <f t="shared" si="11"/>
        <v>617945.02</v>
      </c>
      <c r="K272" s="42">
        <f t="shared" si="11"/>
        <v>3422732.06</v>
      </c>
      <c r="L272" s="42">
        <f t="shared" si="11"/>
        <v>60452734.739999995</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417528.78</v>
      </c>
      <c r="G277" s="18">
        <v>136437.48000000001</v>
      </c>
      <c r="H277" s="18">
        <v>6285.76</v>
      </c>
      <c r="I277" s="18">
        <v>9294.3799999999992</v>
      </c>
      <c r="J277" s="18">
        <v>68843.48</v>
      </c>
      <c r="K277" s="18"/>
      <c r="L277" s="19">
        <f>SUM(F277:K277)</f>
        <v>638389.88</v>
      </c>
      <c r="M277" s="8"/>
      <c r="N277" s="266"/>
    </row>
    <row r="278" spans="1:14" s="3" customFormat="1" ht="12.2" customHeight="1" x14ac:dyDescent="0.15">
      <c r="A278" s="1" t="s">
        <v>439</v>
      </c>
      <c r="B278" s="2" t="s">
        <v>357</v>
      </c>
      <c r="C278" s="2" t="s">
        <v>291</v>
      </c>
      <c r="D278" s="2" t="s">
        <v>431</v>
      </c>
      <c r="E278" s="6">
        <v>1200</v>
      </c>
      <c r="F278" s="18">
        <v>107378.1</v>
      </c>
      <c r="G278" s="18">
        <v>49555.28</v>
      </c>
      <c r="H278" s="18"/>
      <c r="I278" s="18">
        <v>22905.360000000001</v>
      </c>
      <c r="J278" s="18">
        <v>13740.94</v>
      </c>
      <c r="K278" s="18"/>
      <c r="L278" s="19">
        <f>SUM(F278:K278)</f>
        <v>193579.68</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v>621.15</v>
      </c>
      <c r="J280" s="18"/>
      <c r="K280" s="18">
        <v>544</v>
      </c>
      <c r="L280" s="19">
        <f>SUM(F280:K280)</f>
        <v>1165.1500000000001</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113256.4</v>
      </c>
      <c r="G282" s="18">
        <v>16810.43</v>
      </c>
      <c r="H282" s="18">
        <v>110305.4</v>
      </c>
      <c r="I282" s="18">
        <v>12885.36</v>
      </c>
      <c r="J282" s="18">
        <v>7065</v>
      </c>
      <c r="K282" s="18">
        <v>2544.04</v>
      </c>
      <c r="L282" s="19">
        <f t="shared" ref="L282:L288" si="12">SUM(F282:K282)</f>
        <v>262866.62999999995</v>
      </c>
      <c r="M282" s="8"/>
      <c r="N282" s="266"/>
    </row>
    <row r="283" spans="1:14" s="3" customFormat="1" ht="12.2" customHeight="1" x14ac:dyDescent="0.15">
      <c r="A283" s="1" t="s">
        <v>443</v>
      </c>
      <c r="B283" s="2" t="s">
        <v>357</v>
      </c>
      <c r="C283" s="2" t="s">
        <v>295</v>
      </c>
      <c r="D283" s="2" t="s">
        <v>431</v>
      </c>
      <c r="E283" s="6">
        <v>2200</v>
      </c>
      <c r="F283" s="18">
        <v>60104.06</v>
      </c>
      <c r="G283" s="18">
        <v>7572.19</v>
      </c>
      <c r="H283" s="18">
        <v>72850.91</v>
      </c>
      <c r="I283" s="18">
        <v>38499.760000000002</v>
      </c>
      <c r="J283" s="18"/>
      <c r="K283" s="18">
        <v>274.91000000000003</v>
      </c>
      <c r="L283" s="19">
        <f t="shared" si="12"/>
        <v>179301.83000000002</v>
      </c>
      <c r="M283" s="8"/>
      <c r="N283" s="266"/>
    </row>
    <row r="284" spans="1:14" s="3" customFormat="1" ht="12.2" customHeight="1" x14ac:dyDescent="0.15">
      <c r="A284" s="1" t="s">
        <v>444</v>
      </c>
      <c r="B284" s="2" t="s">
        <v>357</v>
      </c>
      <c r="C284" s="2" t="s">
        <v>296</v>
      </c>
      <c r="D284" s="2" t="s">
        <v>431</v>
      </c>
      <c r="E284" s="6">
        <v>2300</v>
      </c>
      <c r="F284" s="18">
        <v>48716.03</v>
      </c>
      <c r="G284" s="18">
        <v>21343.55</v>
      </c>
      <c r="H284" s="18">
        <v>27544.98</v>
      </c>
      <c r="I284" s="18">
        <v>890</v>
      </c>
      <c r="J284" s="18"/>
      <c r="K284" s="18"/>
      <c r="L284" s="19">
        <f t="shared" si="12"/>
        <v>98494.56</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v>67259.41</v>
      </c>
      <c r="L286" s="19">
        <f t="shared" si="12"/>
        <v>67259.41</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746983.37000000011</v>
      </c>
      <c r="G291" s="42">
        <f t="shared" si="13"/>
        <v>231718.93</v>
      </c>
      <c r="H291" s="42">
        <f t="shared" si="13"/>
        <v>216987.05000000002</v>
      </c>
      <c r="I291" s="42">
        <f t="shared" si="13"/>
        <v>85096.010000000009</v>
      </c>
      <c r="J291" s="42">
        <f t="shared" si="13"/>
        <v>89649.42</v>
      </c>
      <c r="K291" s="42">
        <f t="shared" si="13"/>
        <v>70622.36</v>
      </c>
      <c r="L291" s="41">
        <f t="shared" si="13"/>
        <v>1441057.1400000001</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v>152.36000000000001</v>
      </c>
      <c r="J296" s="18">
        <v>11218</v>
      </c>
      <c r="K296" s="18"/>
      <c r="L296" s="19">
        <f>SUM(F296:K296)</f>
        <v>11370.36</v>
      </c>
      <c r="M296" s="8"/>
      <c r="N296" s="266"/>
    </row>
    <row r="297" spans="1:14" s="3" customFormat="1" ht="12.2" customHeight="1" x14ac:dyDescent="0.15">
      <c r="A297" s="1" t="s">
        <v>439</v>
      </c>
      <c r="B297" s="2" t="s">
        <v>358</v>
      </c>
      <c r="C297" s="2" t="s">
        <v>291</v>
      </c>
      <c r="D297" s="2" t="s">
        <v>431</v>
      </c>
      <c r="E297" s="6">
        <v>1200</v>
      </c>
      <c r="F297" s="18"/>
      <c r="G297" s="18"/>
      <c r="H297" s="18"/>
      <c r="I297" s="18">
        <v>268.98</v>
      </c>
      <c r="J297" s="18">
        <v>7408.5</v>
      </c>
      <c r="K297" s="18"/>
      <c r="L297" s="19">
        <f>SUM(F297:K297)</f>
        <v>7677.48</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v>36951.760000000002</v>
      </c>
      <c r="G301" s="18">
        <v>20995.83</v>
      </c>
      <c r="H301" s="18">
        <v>33074.75</v>
      </c>
      <c r="I301" s="18"/>
      <c r="J301" s="18"/>
      <c r="K301" s="18"/>
      <c r="L301" s="19">
        <f t="shared" ref="L301:L307" si="14">SUM(F301:K301)</f>
        <v>91022.34</v>
      </c>
      <c r="M301" s="8"/>
      <c r="N301" s="266"/>
    </row>
    <row r="302" spans="1:14" s="3" customFormat="1" ht="12.2" customHeight="1" x14ac:dyDescent="0.15">
      <c r="A302" s="1" t="s">
        <v>443</v>
      </c>
      <c r="B302" s="2" t="s">
        <v>358</v>
      </c>
      <c r="C302" s="2" t="s">
        <v>295</v>
      </c>
      <c r="D302" s="2" t="s">
        <v>431</v>
      </c>
      <c r="E302" s="6">
        <v>2200</v>
      </c>
      <c r="F302" s="18">
        <v>6897.6</v>
      </c>
      <c r="G302" s="18">
        <v>1753.39</v>
      </c>
      <c r="H302" s="18">
        <v>25246.15</v>
      </c>
      <c r="I302" s="18">
        <v>1738</v>
      </c>
      <c r="J302" s="18"/>
      <c r="K302" s="18">
        <v>148.6</v>
      </c>
      <c r="L302" s="19">
        <f t="shared" si="14"/>
        <v>35783.74</v>
      </c>
      <c r="M302" s="8"/>
      <c r="N302" s="266"/>
    </row>
    <row r="303" spans="1:14" s="3" customFormat="1" ht="12.2" customHeight="1" x14ac:dyDescent="0.15">
      <c r="A303" s="1" t="s">
        <v>444</v>
      </c>
      <c r="B303" s="2" t="s">
        <v>358</v>
      </c>
      <c r="C303" s="2" t="s">
        <v>296</v>
      </c>
      <c r="D303" s="2" t="s">
        <v>431</v>
      </c>
      <c r="E303" s="6">
        <v>2300</v>
      </c>
      <c r="F303" s="18"/>
      <c r="G303" s="18"/>
      <c r="H303" s="18">
        <v>14253.78</v>
      </c>
      <c r="I303" s="18">
        <v>400</v>
      </c>
      <c r="J303" s="18"/>
      <c r="K303" s="18"/>
      <c r="L303" s="19">
        <f t="shared" si="14"/>
        <v>14653.78</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v>10586.16</v>
      </c>
      <c r="L305" s="19">
        <f t="shared" si="14"/>
        <v>10586.16</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43849.36</v>
      </c>
      <c r="G310" s="42">
        <f t="shared" si="15"/>
        <v>22749.22</v>
      </c>
      <c r="H310" s="42">
        <f t="shared" si="15"/>
        <v>72574.680000000008</v>
      </c>
      <c r="I310" s="42">
        <f t="shared" si="15"/>
        <v>2559.34</v>
      </c>
      <c r="J310" s="42">
        <f t="shared" si="15"/>
        <v>18626.5</v>
      </c>
      <c r="K310" s="42">
        <f t="shared" si="15"/>
        <v>10734.76</v>
      </c>
      <c r="L310" s="41">
        <f t="shared" si="15"/>
        <v>171093.86</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v>149146</v>
      </c>
      <c r="I315" s="18">
        <v>321.08999999999997</v>
      </c>
      <c r="J315" s="18">
        <v>66455.66</v>
      </c>
      <c r="K315" s="18">
        <v>120</v>
      </c>
      <c r="L315" s="19">
        <f>SUM(F315:K315)</f>
        <v>216042.75</v>
      </c>
      <c r="M315" s="8"/>
      <c r="N315" s="266"/>
    </row>
    <row r="316" spans="1:14" s="3" customFormat="1" ht="12.2" customHeight="1" x14ac:dyDescent="0.15">
      <c r="A316" s="1" t="s">
        <v>439</v>
      </c>
      <c r="B316" s="2" t="s">
        <v>359</v>
      </c>
      <c r="C316" s="2" t="s">
        <v>291</v>
      </c>
      <c r="D316" s="2" t="s">
        <v>431</v>
      </c>
      <c r="E316" s="6">
        <v>1200</v>
      </c>
      <c r="F316" s="18">
        <v>69686.37</v>
      </c>
      <c r="G316" s="18">
        <v>34030.17</v>
      </c>
      <c r="H316" s="18"/>
      <c r="I316" s="18"/>
      <c r="J316" s="18"/>
      <c r="K316" s="18">
        <v>4305</v>
      </c>
      <c r="L316" s="19">
        <f>SUM(F316:K316)</f>
        <v>108021.54</v>
      </c>
      <c r="M316" s="8"/>
      <c r="N316" s="266"/>
    </row>
    <row r="317" spans="1:14" s="3" customFormat="1" ht="12.2" customHeight="1" x14ac:dyDescent="0.15">
      <c r="A317" s="1" t="s">
        <v>440</v>
      </c>
      <c r="B317" s="2" t="s">
        <v>359</v>
      </c>
      <c r="C317" s="2" t="s">
        <v>292</v>
      </c>
      <c r="D317" s="2" t="s">
        <v>431</v>
      </c>
      <c r="E317" s="6">
        <v>1300</v>
      </c>
      <c r="F317" s="18">
        <v>11665.13</v>
      </c>
      <c r="G317" s="18">
        <v>1606.03</v>
      </c>
      <c r="H317" s="18">
        <v>21902.57</v>
      </c>
      <c r="I317" s="18">
        <v>40458.199999999997</v>
      </c>
      <c r="J317" s="18">
        <v>25324.06</v>
      </c>
      <c r="K317" s="18">
        <v>10596.05</v>
      </c>
      <c r="L317" s="19">
        <f>SUM(F317:K317)</f>
        <v>111552.04</v>
      </c>
      <c r="M317" s="8"/>
      <c r="N317" s="266"/>
    </row>
    <row r="318" spans="1:14" s="3" customFormat="1" ht="12.2" customHeight="1" x14ac:dyDescent="0.15">
      <c r="A318" s="1" t="s">
        <v>441</v>
      </c>
      <c r="B318" s="2" t="s">
        <v>359</v>
      </c>
      <c r="C318" s="2" t="s">
        <v>293</v>
      </c>
      <c r="D318" s="2" t="s">
        <v>431</v>
      </c>
      <c r="E318" s="6">
        <v>1400</v>
      </c>
      <c r="F318" s="18">
        <v>3728</v>
      </c>
      <c r="G318" s="18">
        <v>614.88</v>
      </c>
      <c r="H318" s="18">
        <v>2520</v>
      </c>
      <c r="I318" s="18">
        <v>860.26</v>
      </c>
      <c r="J318" s="18"/>
      <c r="K318" s="18"/>
      <c r="L318" s="19">
        <f>SUM(F318:K318)</f>
        <v>7723.14</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v>101849.98</v>
      </c>
      <c r="G320" s="18">
        <v>62653.23</v>
      </c>
      <c r="H320" s="18">
        <v>1915.01</v>
      </c>
      <c r="I320" s="18"/>
      <c r="J320" s="18"/>
      <c r="K320" s="18"/>
      <c r="L320" s="19">
        <f t="shared" ref="L320:L326" si="16">SUM(F320:K320)</f>
        <v>166418.22</v>
      </c>
      <c r="M320" s="8"/>
      <c r="N320" s="266"/>
    </row>
    <row r="321" spans="1:14" s="3" customFormat="1" ht="12.2" customHeight="1" x14ac:dyDescent="0.15">
      <c r="A321" s="1" t="s">
        <v>443</v>
      </c>
      <c r="B321" s="2" t="s">
        <v>359</v>
      </c>
      <c r="C321" s="2" t="s">
        <v>295</v>
      </c>
      <c r="D321" s="2" t="s">
        <v>431</v>
      </c>
      <c r="E321" s="6">
        <v>2200</v>
      </c>
      <c r="F321" s="18">
        <v>20311.34</v>
      </c>
      <c r="G321" s="18">
        <v>4449.42</v>
      </c>
      <c r="H321" s="18">
        <v>76658.47</v>
      </c>
      <c r="I321" s="18">
        <v>7268.17</v>
      </c>
      <c r="J321" s="18"/>
      <c r="K321" s="18">
        <v>3319.49</v>
      </c>
      <c r="L321" s="19">
        <f t="shared" si="16"/>
        <v>112006.89000000001</v>
      </c>
      <c r="M321" s="8"/>
      <c r="N321" s="266"/>
    </row>
    <row r="322" spans="1:14" s="3" customFormat="1" ht="12.2" customHeight="1" x14ac:dyDescent="0.15">
      <c r="A322" s="1" t="s">
        <v>444</v>
      </c>
      <c r="B322" s="2" t="s">
        <v>359</v>
      </c>
      <c r="C322" s="2" t="s">
        <v>296</v>
      </c>
      <c r="D322" s="2" t="s">
        <v>431</v>
      </c>
      <c r="E322" s="6">
        <v>2300</v>
      </c>
      <c r="F322" s="18"/>
      <c r="G322" s="18"/>
      <c r="H322" s="18">
        <v>30645.62</v>
      </c>
      <c r="I322" s="18">
        <v>860</v>
      </c>
      <c r="J322" s="18"/>
      <c r="K322" s="18"/>
      <c r="L322" s="19">
        <f t="shared" si="16"/>
        <v>31505.62</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v>31233.48</v>
      </c>
      <c r="L324" s="19">
        <f t="shared" si="16"/>
        <v>31233.48</v>
      </c>
      <c r="M324" s="8"/>
      <c r="N324" s="266"/>
    </row>
    <row r="325" spans="1:14" s="3" customFormat="1" ht="12.2" customHeight="1" x14ac:dyDescent="0.15">
      <c r="A325" s="1" t="s">
        <v>447</v>
      </c>
      <c r="B325" s="2" t="s">
        <v>359</v>
      </c>
      <c r="C325" s="2" t="s">
        <v>299</v>
      </c>
      <c r="D325" s="2" t="s">
        <v>431</v>
      </c>
      <c r="E325" s="6">
        <v>2600</v>
      </c>
      <c r="F325" s="18">
        <v>3973.95</v>
      </c>
      <c r="G325" s="18">
        <v>320.33</v>
      </c>
      <c r="H325" s="18">
        <v>25852.76</v>
      </c>
      <c r="I325" s="18"/>
      <c r="J325" s="18">
        <v>1800</v>
      </c>
      <c r="K325" s="18"/>
      <c r="L325" s="19">
        <f t="shared" si="16"/>
        <v>31947.039999999997</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211214.77</v>
      </c>
      <c r="G329" s="42">
        <f t="shared" si="17"/>
        <v>103674.06</v>
      </c>
      <c r="H329" s="42">
        <f t="shared" si="17"/>
        <v>308640.43000000005</v>
      </c>
      <c r="I329" s="42">
        <f t="shared" si="17"/>
        <v>49767.719999999994</v>
      </c>
      <c r="J329" s="42">
        <f t="shared" si="17"/>
        <v>93579.72</v>
      </c>
      <c r="K329" s="42">
        <f t="shared" si="17"/>
        <v>49574.020000000004</v>
      </c>
      <c r="L329" s="41">
        <f t="shared" si="17"/>
        <v>816450.72</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v>327527.69</v>
      </c>
      <c r="G334" s="18">
        <v>97218.37</v>
      </c>
      <c r="H334" s="18">
        <v>23828.26</v>
      </c>
      <c r="I334" s="18">
        <v>31527.09</v>
      </c>
      <c r="J334" s="18">
        <v>6657</v>
      </c>
      <c r="K334" s="18">
        <v>10439.77</v>
      </c>
      <c r="L334" s="19">
        <f t="shared" si="18"/>
        <v>497198.18000000005</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327527.69</v>
      </c>
      <c r="G338" s="41">
        <f t="shared" si="19"/>
        <v>97218.37</v>
      </c>
      <c r="H338" s="41">
        <f t="shared" si="19"/>
        <v>23828.26</v>
      </c>
      <c r="I338" s="41">
        <f t="shared" si="19"/>
        <v>31527.09</v>
      </c>
      <c r="J338" s="41">
        <f t="shared" si="19"/>
        <v>6657</v>
      </c>
      <c r="K338" s="41">
        <f t="shared" si="19"/>
        <v>10439.77</v>
      </c>
      <c r="L338" s="41">
        <f t="shared" si="18"/>
        <v>497198.18000000005</v>
      </c>
      <c r="M338" s="8"/>
      <c r="N338" s="266"/>
    </row>
    <row r="339" spans="1:43" s="3" customFormat="1" ht="12.2" customHeight="1" thickTop="1" x14ac:dyDescent="0.15">
      <c r="A339" s="38" t="s">
        <v>468</v>
      </c>
      <c r="B339" s="40">
        <v>14</v>
      </c>
      <c r="C339" s="40">
        <v>7</v>
      </c>
      <c r="D339" s="39" t="s">
        <v>431</v>
      </c>
      <c r="E339" s="40"/>
      <c r="F339" s="41">
        <f t="shared" ref="F339:L339" si="20">F291+F310+F329+F338</f>
        <v>1329575.1900000002</v>
      </c>
      <c r="G339" s="41">
        <f t="shared" si="20"/>
        <v>455360.57999999996</v>
      </c>
      <c r="H339" s="41">
        <f t="shared" si="20"/>
        <v>622030.42000000016</v>
      </c>
      <c r="I339" s="41">
        <f t="shared" si="20"/>
        <v>168950.16</v>
      </c>
      <c r="J339" s="41">
        <f t="shared" si="20"/>
        <v>208512.64000000001</v>
      </c>
      <c r="K339" s="41">
        <f t="shared" si="20"/>
        <v>141370.91</v>
      </c>
      <c r="L339" s="41">
        <f t="shared" si="20"/>
        <v>2925799.9</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1329575.1900000002</v>
      </c>
      <c r="G353" s="41">
        <f>G339</f>
        <v>455360.57999999996</v>
      </c>
      <c r="H353" s="41">
        <f>H339</f>
        <v>622030.42000000016</v>
      </c>
      <c r="I353" s="41">
        <f>I339</f>
        <v>168950.16</v>
      </c>
      <c r="J353" s="41">
        <f>J339</f>
        <v>208512.64000000001</v>
      </c>
      <c r="K353" s="47">
        <f>K339+K352</f>
        <v>141370.91</v>
      </c>
      <c r="L353" s="41">
        <f>L339+L352</f>
        <v>2925799.9</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138196.07</v>
      </c>
      <c r="G359" s="18">
        <v>40054.019999999997</v>
      </c>
      <c r="H359" s="18">
        <v>3100.07</v>
      </c>
      <c r="I359" s="18">
        <v>141282.65</v>
      </c>
      <c r="J359" s="18"/>
      <c r="K359" s="18"/>
      <c r="L359" s="13">
        <f>SUM(F359:K359)</f>
        <v>322632.81</v>
      </c>
      <c r="M359" s="8"/>
      <c r="N359" s="266"/>
    </row>
    <row r="360" spans="1:22" s="3" customFormat="1" ht="12.2" customHeight="1" x14ac:dyDescent="0.15">
      <c r="A360" s="1" t="s">
        <v>542</v>
      </c>
      <c r="B360" s="2" t="s">
        <v>366</v>
      </c>
      <c r="C360" s="6">
        <v>2</v>
      </c>
      <c r="D360" s="2" t="s">
        <v>431</v>
      </c>
      <c r="E360" s="6"/>
      <c r="F360" s="18">
        <v>105709.28</v>
      </c>
      <c r="G360" s="18">
        <v>49772.19</v>
      </c>
      <c r="H360" s="18">
        <v>2253.66</v>
      </c>
      <c r="I360" s="18">
        <v>185719.85</v>
      </c>
      <c r="J360" s="18"/>
      <c r="K360" s="18"/>
      <c r="L360" s="19">
        <f>SUM(F360:K360)</f>
        <v>343454.98</v>
      </c>
      <c r="M360" s="8"/>
      <c r="N360" s="266"/>
    </row>
    <row r="361" spans="1:22" s="3" customFormat="1" ht="12.2" customHeight="1" x14ac:dyDescent="0.15">
      <c r="A361" s="3" t="s">
        <v>543</v>
      </c>
      <c r="B361" s="2" t="s">
        <v>366</v>
      </c>
      <c r="C361" s="6">
        <v>3</v>
      </c>
      <c r="D361" s="2" t="s">
        <v>431</v>
      </c>
      <c r="E361" s="6"/>
      <c r="F361" s="18">
        <v>276880.67</v>
      </c>
      <c r="G361" s="18">
        <v>158812.4</v>
      </c>
      <c r="H361" s="18">
        <v>24777.63</v>
      </c>
      <c r="I361" s="18">
        <v>299418.49</v>
      </c>
      <c r="J361" s="18">
        <v>7706.27</v>
      </c>
      <c r="K361" s="18">
        <v>1504.95</v>
      </c>
      <c r="L361" s="19">
        <f>SUM(F361:K361)</f>
        <v>769100.40999999992</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520786.02</v>
      </c>
      <c r="G363" s="47">
        <f t="shared" si="22"/>
        <v>248638.61</v>
      </c>
      <c r="H363" s="47">
        <f t="shared" si="22"/>
        <v>30131.360000000001</v>
      </c>
      <c r="I363" s="47">
        <f t="shared" si="22"/>
        <v>626420.99</v>
      </c>
      <c r="J363" s="47">
        <f t="shared" si="22"/>
        <v>7706.27</v>
      </c>
      <c r="K363" s="47">
        <f t="shared" si="22"/>
        <v>1504.95</v>
      </c>
      <c r="L363" s="47">
        <f t="shared" si="22"/>
        <v>1435188.2</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140130.87</v>
      </c>
      <c r="G368" s="18">
        <v>181063.03</v>
      </c>
      <c r="H368" s="18">
        <v>278449.3</v>
      </c>
      <c r="I368" s="56">
        <f>SUM(F368:H368)</f>
        <v>599643.19999999995</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1151.78</v>
      </c>
      <c r="G369" s="63">
        <v>4656.82</v>
      </c>
      <c r="H369" s="63">
        <v>20969.189999999999</v>
      </c>
      <c r="I369" s="56">
        <f>SUM(F369:H369)</f>
        <v>26777.789999999997</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141282.65</v>
      </c>
      <c r="G370" s="47">
        <f>SUM(G368:G369)</f>
        <v>185719.85</v>
      </c>
      <c r="H370" s="47">
        <f>SUM(H368:H369)</f>
        <v>299418.49</v>
      </c>
      <c r="I370" s="47">
        <f>SUM(I368:I369)</f>
        <v>626420.99</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v>250604.9</v>
      </c>
      <c r="I380" s="18"/>
      <c r="J380" s="18">
        <v>3304.22</v>
      </c>
      <c r="K380" s="18"/>
      <c r="L380" s="13">
        <f t="shared" si="23"/>
        <v>253909.12</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250604.9</v>
      </c>
      <c r="I383" s="41">
        <f t="shared" si="24"/>
        <v>0</v>
      </c>
      <c r="J383" s="47">
        <f t="shared" si="24"/>
        <v>3304.22</v>
      </c>
      <c r="K383" s="47">
        <f t="shared" si="24"/>
        <v>0</v>
      </c>
      <c r="L383" s="47">
        <f t="shared" si="24"/>
        <v>253909.12</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50000</v>
      </c>
      <c r="H397" s="18">
        <v>10254.07</v>
      </c>
      <c r="I397" s="18"/>
      <c r="J397" s="24" t="s">
        <v>288</v>
      </c>
      <c r="K397" s="24" t="s">
        <v>288</v>
      </c>
      <c r="L397" s="56">
        <f t="shared" si="26"/>
        <v>60254.07</v>
      </c>
      <c r="M397" s="8"/>
      <c r="N397" s="266"/>
    </row>
    <row r="398" spans="1:14" s="3" customFormat="1" ht="12.2" customHeight="1" x14ac:dyDescent="0.15">
      <c r="A398" s="79" t="s">
        <v>515</v>
      </c>
      <c r="B398" s="2" t="s">
        <v>381</v>
      </c>
      <c r="C398" s="6">
        <v>10</v>
      </c>
      <c r="D398" s="2" t="s">
        <v>432</v>
      </c>
      <c r="E398" s="6"/>
      <c r="F398" s="18"/>
      <c r="G398" s="18">
        <v>50000</v>
      </c>
      <c r="H398" s="18">
        <v>2482.4699999999998</v>
      </c>
      <c r="I398" s="18"/>
      <c r="J398" s="24" t="s">
        <v>288</v>
      </c>
      <c r="K398" s="24" t="s">
        <v>288</v>
      </c>
      <c r="L398" s="56">
        <f t="shared" si="26"/>
        <v>52482.47</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v>99.6</v>
      </c>
      <c r="I401" s="18"/>
      <c r="J401" s="24" t="s">
        <v>288</v>
      </c>
      <c r="K401" s="24" t="s">
        <v>288</v>
      </c>
      <c r="L401" s="56">
        <f t="shared" si="26"/>
        <v>99.6</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100000</v>
      </c>
      <c r="H402" s="47">
        <f>SUM(H396:H401)</f>
        <v>12836.14</v>
      </c>
      <c r="I402" s="47">
        <f>SUM(I396:I401)</f>
        <v>0</v>
      </c>
      <c r="J402" s="45" t="s">
        <v>288</v>
      </c>
      <c r="K402" s="45" t="s">
        <v>288</v>
      </c>
      <c r="L402" s="47">
        <f>SUM(L396:L401)</f>
        <v>112836.14000000001</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100000</v>
      </c>
      <c r="H409" s="47">
        <f>H394+H402+H408</f>
        <v>12836.14</v>
      </c>
      <c r="I409" s="47">
        <f>I394+I402+I408</f>
        <v>0</v>
      </c>
      <c r="J409" s="24" t="s">
        <v>288</v>
      </c>
      <c r="K409" s="24" t="s">
        <v>288</v>
      </c>
      <c r="L409" s="47">
        <f>L394+L402+L408</f>
        <v>112836.14000000001</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v>928794.33</v>
      </c>
      <c r="H440" s="18"/>
      <c r="I440" s="56">
        <f t="shared" ref="I440:I446" si="33">SUM(F440:H440)</f>
        <v>928794.33</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928794.33</v>
      </c>
      <c r="H447" s="13">
        <f>SUM(H440:H446)</f>
        <v>0</v>
      </c>
      <c r="I447" s="13">
        <f>SUM(I440:I446)</f>
        <v>928794.33</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928794.33</v>
      </c>
      <c r="H460" s="18"/>
      <c r="I460" s="56">
        <f t="shared" si="34"/>
        <v>928794.33</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928794.33</v>
      </c>
      <c r="H461" s="83">
        <f>SUM(H455:H460)</f>
        <v>0</v>
      </c>
      <c r="I461" s="83">
        <f>SUM(I455:I460)</f>
        <v>928794.33</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928794.33</v>
      </c>
      <c r="H462" s="42">
        <f>H453+H461</f>
        <v>0</v>
      </c>
      <c r="I462" s="42">
        <f>I453+I461</f>
        <v>928794.33</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3758615.98</v>
      </c>
      <c r="G466" s="18">
        <v>489906.83</v>
      </c>
      <c r="H466" s="18">
        <v>259833.32</v>
      </c>
      <c r="I466" s="18">
        <v>9007.83</v>
      </c>
      <c r="J466" s="18">
        <v>815958.19</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61397108.770000003</v>
      </c>
      <c r="G469" s="18">
        <v>1268113.02</v>
      </c>
      <c r="H469" s="18">
        <f>2874331.42+6600+2500</f>
        <v>2883431.42</v>
      </c>
      <c r="I469" s="18">
        <f>244901.29+25951.33</f>
        <v>270852.62</v>
      </c>
      <c r="J469" s="18">
        <v>112836.14</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61397108.770000003</v>
      </c>
      <c r="G471" s="53">
        <f>SUM(G469:G470)</f>
        <v>1268113.02</v>
      </c>
      <c r="H471" s="53">
        <f>SUM(H469:H470)</f>
        <v>2883431.42</v>
      </c>
      <c r="I471" s="53">
        <f>SUM(I469:I470)</f>
        <v>270852.62</v>
      </c>
      <c r="J471" s="53">
        <f>SUM(J469:J470)</f>
        <v>112836.14</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60452734.740000002</v>
      </c>
      <c r="G473" s="18">
        <v>1435188.2</v>
      </c>
      <c r="H473" s="18">
        <v>2925799.9</v>
      </c>
      <c r="I473" s="18">
        <v>253909.12</v>
      </c>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60452734.740000002</v>
      </c>
      <c r="G475" s="53">
        <f>SUM(G473:G474)</f>
        <v>1435188.2</v>
      </c>
      <c r="H475" s="53">
        <f>SUM(H473:H474)</f>
        <v>2925799.9</v>
      </c>
      <c r="I475" s="53">
        <f>SUM(I473:I474)</f>
        <v>253909.12</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4702990.0099999979</v>
      </c>
      <c r="G477" s="53">
        <f>(G466+G471)- G475</f>
        <v>322831.65000000014</v>
      </c>
      <c r="H477" s="53">
        <f>(H466+H471)- H475</f>
        <v>217464.83999999985</v>
      </c>
      <c r="I477" s="53">
        <f>(I466+I471)- I475</f>
        <v>25951.330000000016</v>
      </c>
      <c r="J477" s="53">
        <f>(J466+J471)- J475</f>
        <v>928794.33</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v>29</v>
      </c>
      <c r="H491" s="154">
        <v>29</v>
      </c>
      <c r="I491" s="154"/>
      <c r="J491" s="154"/>
      <c r="K491" s="24" t="s">
        <v>288</v>
      </c>
      <c r="L491" s="24" t="s">
        <v>288</v>
      </c>
      <c r="N491" s="265"/>
    </row>
    <row r="492" spans="1:14" s="52" customFormat="1" ht="12.2" customHeight="1" x14ac:dyDescent="0.2">
      <c r="A492" s="22" t="s">
        <v>615</v>
      </c>
      <c r="B492" s="75">
        <v>20</v>
      </c>
      <c r="C492" s="115">
        <v>2</v>
      </c>
      <c r="D492" s="2" t="s">
        <v>432</v>
      </c>
      <c r="E492" s="115"/>
      <c r="F492" s="155" t="s">
        <v>1642</v>
      </c>
      <c r="G492" s="155" t="s">
        <v>1643</v>
      </c>
      <c r="H492" s="154">
        <f>7/10</f>
        <v>0.7</v>
      </c>
      <c r="I492" s="154"/>
      <c r="J492" s="154"/>
      <c r="K492" s="24" t="s">
        <v>288</v>
      </c>
      <c r="L492" s="24" t="s">
        <v>288</v>
      </c>
      <c r="N492" s="265"/>
    </row>
    <row r="493" spans="1:14" s="52" customFormat="1" ht="12.2" customHeight="1" x14ac:dyDescent="0.2">
      <c r="A493" s="22" t="s">
        <v>616</v>
      </c>
      <c r="B493" s="75">
        <v>20</v>
      </c>
      <c r="C493" s="115">
        <v>3</v>
      </c>
      <c r="D493" s="2" t="s">
        <v>432</v>
      </c>
      <c r="E493" s="115"/>
      <c r="F493" s="155" t="s">
        <v>1644</v>
      </c>
      <c r="G493" s="155" t="s">
        <v>1645</v>
      </c>
      <c r="H493" s="154">
        <f>8/39</f>
        <v>0.20512820512820512</v>
      </c>
      <c r="I493" s="154"/>
      <c r="J493" s="154"/>
      <c r="K493" s="24" t="s">
        <v>288</v>
      </c>
      <c r="L493" s="24" t="s">
        <v>288</v>
      </c>
      <c r="N493" s="265"/>
    </row>
    <row r="494" spans="1:14" s="52" customFormat="1" ht="12.2" customHeight="1" x14ac:dyDescent="0.2">
      <c r="A494" s="22" t="s">
        <v>617</v>
      </c>
      <c r="B494" s="75">
        <v>20</v>
      </c>
      <c r="C494" s="115">
        <v>4</v>
      </c>
      <c r="D494" s="2" t="s">
        <v>432</v>
      </c>
      <c r="E494" s="115"/>
      <c r="F494" s="18">
        <v>17500000</v>
      </c>
      <c r="G494" s="18">
        <v>35115529.659999996</v>
      </c>
      <c r="H494" s="18">
        <v>1817971.34</v>
      </c>
      <c r="I494" s="18"/>
      <c r="J494" s="18"/>
      <c r="K494" s="24" t="s">
        <v>288</v>
      </c>
      <c r="L494" s="24" t="s">
        <v>288</v>
      </c>
      <c r="N494" s="265"/>
    </row>
    <row r="495" spans="1:14" s="52" customFormat="1" ht="12.2" customHeight="1" x14ac:dyDescent="0.2">
      <c r="A495" s="22" t="s">
        <v>618</v>
      </c>
      <c r="B495" s="75">
        <v>20</v>
      </c>
      <c r="C495" s="115">
        <v>5</v>
      </c>
      <c r="D495" s="2" t="s">
        <v>432</v>
      </c>
      <c r="E495" s="115"/>
      <c r="F495" s="18">
        <v>5.2</v>
      </c>
      <c r="G495" s="18">
        <v>4.4400000000000004</v>
      </c>
      <c r="H495" s="18">
        <v>4.4400000000000004</v>
      </c>
      <c r="I495" s="18"/>
      <c r="J495" s="18"/>
      <c r="K495" s="24" t="s">
        <v>288</v>
      </c>
      <c r="L495" s="24" t="s">
        <v>288</v>
      </c>
      <c r="N495" s="265"/>
    </row>
    <row r="496" spans="1:14" s="52" customFormat="1" ht="12.2" customHeight="1" x14ac:dyDescent="0.2">
      <c r="A496" s="22" t="s">
        <v>619</v>
      </c>
      <c r="B496" s="75">
        <v>20</v>
      </c>
      <c r="C496" s="115">
        <v>6</v>
      </c>
      <c r="D496" s="2" t="s">
        <v>432</v>
      </c>
      <c r="E496" s="115"/>
      <c r="F496" s="18">
        <v>875000</v>
      </c>
      <c r="G496" s="18">
        <v>19734979.100000001</v>
      </c>
      <c r="H496" s="18">
        <v>1020390.6</v>
      </c>
      <c r="I496" s="18"/>
      <c r="J496" s="18"/>
      <c r="K496" s="53">
        <f>SUM(F496:J496)</f>
        <v>21630369.700000003</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875000</v>
      </c>
      <c r="G498" s="18">
        <v>1452963.78</v>
      </c>
      <c r="H498" s="18">
        <v>76471.78</v>
      </c>
      <c r="I498" s="18"/>
      <c r="J498" s="18"/>
      <c r="K498" s="53">
        <f t="shared" si="35"/>
        <v>2404435.56</v>
      </c>
      <c r="L498" s="24" t="s">
        <v>288</v>
      </c>
      <c r="N498" s="265"/>
    </row>
    <row r="499" spans="1:14" s="52" customFormat="1" ht="12.2" customHeight="1" x14ac:dyDescent="0.2">
      <c r="A499" s="200" t="s">
        <v>622</v>
      </c>
      <c r="B499" s="201">
        <v>20</v>
      </c>
      <c r="C499" s="202">
        <v>9</v>
      </c>
      <c r="D499" s="203" t="s">
        <v>432</v>
      </c>
      <c r="E499" s="202"/>
      <c r="F499" s="204"/>
      <c r="G499" s="204">
        <v>18282015.32</v>
      </c>
      <c r="H499" s="204">
        <v>943918.82</v>
      </c>
      <c r="I499" s="204"/>
      <c r="J499" s="204"/>
      <c r="K499" s="205">
        <f t="shared" si="35"/>
        <v>19225934.140000001</v>
      </c>
      <c r="L499" s="206" t="s">
        <v>288</v>
      </c>
      <c r="N499" s="265"/>
    </row>
    <row r="500" spans="1:14" s="52" customFormat="1" ht="12.2" customHeight="1" thickBot="1" x14ac:dyDescent="0.25">
      <c r="A500" s="22" t="s">
        <v>623</v>
      </c>
      <c r="B500" s="75">
        <v>20</v>
      </c>
      <c r="C500" s="115">
        <v>10</v>
      </c>
      <c r="D500" s="2" t="s">
        <v>432</v>
      </c>
      <c r="E500" s="115"/>
      <c r="F500" s="18"/>
      <c r="G500" s="18">
        <v>24998144.289999999</v>
      </c>
      <c r="H500" s="18">
        <v>1315691.8</v>
      </c>
      <c r="I500" s="18"/>
      <c r="J500" s="18"/>
      <c r="K500" s="53">
        <f t="shared" si="35"/>
        <v>26313836.09</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43280159.609999999</v>
      </c>
      <c r="H501" s="42">
        <f>SUM(H499:H500)</f>
        <v>2259610.62</v>
      </c>
      <c r="I501" s="42">
        <f>SUM(I499:I500)</f>
        <v>0</v>
      </c>
      <c r="J501" s="42">
        <f>SUM(J499:J500)</f>
        <v>0</v>
      </c>
      <c r="K501" s="42">
        <f t="shared" si="35"/>
        <v>45539770.229999997</v>
      </c>
      <c r="L501" s="45" t="s">
        <v>288</v>
      </c>
      <c r="N501" s="265"/>
    </row>
    <row r="502" spans="1:14" s="52" customFormat="1" ht="12.2" customHeight="1" x14ac:dyDescent="0.2">
      <c r="A502" s="200" t="s">
        <v>651</v>
      </c>
      <c r="B502" s="201">
        <v>20</v>
      </c>
      <c r="C502" s="202">
        <v>12</v>
      </c>
      <c r="D502" s="203" t="s">
        <v>432</v>
      </c>
      <c r="E502" s="202"/>
      <c r="F502" s="204"/>
      <c r="G502" s="204">
        <v>1385750.47</v>
      </c>
      <c r="H502" s="204">
        <v>72934.240000000005</v>
      </c>
      <c r="I502" s="204"/>
      <c r="J502" s="204"/>
      <c r="K502" s="205">
        <f t="shared" si="35"/>
        <v>1458684.71</v>
      </c>
      <c r="L502" s="206" t="s">
        <v>288</v>
      </c>
      <c r="N502" s="265"/>
    </row>
    <row r="503" spans="1:14" s="52" customFormat="1" ht="12.2" customHeight="1" thickBot="1" x14ac:dyDescent="0.25">
      <c r="A503" s="22" t="s">
        <v>625</v>
      </c>
      <c r="B503" s="75">
        <v>20</v>
      </c>
      <c r="C503" s="115">
        <v>13</v>
      </c>
      <c r="D503" s="2" t="s">
        <v>432</v>
      </c>
      <c r="E503" s="115"/>
      <c r="F503" s="18"/>
      <c r="G503" s="18">
        <v>741534.66</v>
      </c>
      <c r="H503" s="18">
        <v>39028.14</v>
      </c>
      <c r="I503" s="18"/>
      <c r="J503" s="18"/>
      <c r="K503" s="53">
        <f t="shared" si="35"/>
        <v>780562.8</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2127285.13</v>
      </c>
      <c r="H504" s="42">
        <f>SUM(H502:H503)</f>
        <v>111962.38</v>
      </c>
      <c r="I504" s="42">
        <f>SUM(I502:I503)</f>
        <v>0</v>
      </c>
      <c r="J504" s="42">
        <f>SUM(J502:J503)</f>
        <v>0</v>
      </c>
      <c r="K504" s="42">
        <f t="shared" si="35"/>
        <v>2239247.5099999998</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2886342.59</v>
      </c>
      <c r="G522" s="18">
        <v>1250451.94</v>
      </c>
      <c r="H522" s="18">
        <v>900070.43</v>
      </c>
      <c r="I522" s="18">
        <v>42581.55</v>
      </c>
      <c r="J522" s="18">
        <v>15253.85</v>
      </c>
      <c r="K522" s="18"/>
      <c r="L522" s="88">
        <f>SUM(F522:K522)</f>
        <v>5094700.3599999994</v>
      </c>
      <c r="N522" s="265"/>
    </row>
    <row r="523" spans="1:14" s="52" customFormat="1" ht="12.2" customHeight="1" x14ac:dyDescent="0.2">
      <c r="A523" s="22" t="s">
        <v>634</v>
      </c>
      <c r="B523" s="105">
        <v>21</v>
      </c>
      <c r="C523" s="115">
        <v>2</v>
      </c>
      <c r="D523" s="2" t="s">
        <v>432</v>
      </c>
      <c r="E523" s="115"/>
      <c r="F523" s="18">
        <v>1043234.97</v>
      </c>
      <c r="G523" s="18">
        <v>495382.97</v>
      </c>
      <c r="H523" s="18">
        <v>970143</v>
      </c>
      <c r="I523" s="18">
        <v>8323.9699999999993</v>
      </c>
      <c r="J523" s="18">
        <v>10879.34</v>
      </c>
      <c r="K523" s="18"/>
      <c r="L523" s="88">
        <f>SUM(F523:K523)</f>
        <v>2527964.25</v>
      </c>
      <c r="N523" s="265"/>
    </row>
    <row r="524" spans="1:14" s="52" customFormat="1" ht="12.2" customHeight="1" thickBot="1" x14ac:dyDescent="0.25">
      <c r="A524" s="22" t="s">
        <v>635</v>
      </c>
      <c r="B524" s="105">
        <v>21</v>
      </c>
      <c r="C524" s="115">
        <v>3</v>
      </c>
      <c r="D524" s="2" t="s">
        <v>432</v>
      </c>
      <c r="E524" s="115"/>
      <c r="F524" s="18">
        <v>1613132.03</v>
      </c>
      <c r="G524" s="18">
        <v>649198</v>
      </c>
      <c r="H524" s="18">
        <v>1405930.88</v>
      </c>
      <c r="I524" s="18">
        <v>6435.75</v>
      </c>
      <c r="J524" s="18">
        <v>2196.7600000000002</v>
      </c>
      <c r="K524" s="18"/>
      <c r="L524" s="88">
        <f>SUM(F524:K524)</f>
        <v>3676893.42</v>
      </c>
      <c r="N524" s="265"/>
    </row>
    <row r="525" spans="1:14" s="52" customFormat="1" ht="12.2" customHeight="1" thickTop="1" x14ac:dyDescent="0.2">
      <c r="A525" s="139" t="s">
        <v>63</v>
      </c>
      <c r="B525" s="107">
        <v>21</v>
      </c>
      <c r="C525" s="195">
        <v>4</v>
      </c>
      <c r="D525" s="196" t="s">
        <v>432</v>
      </c>
      <c r="E525" s="195"/>
      <c r="F525" s="108">
        <f>SUM(F522:F524)</f>
        <v>5542709.5899999999</v>
      </c>
      <c r="G525" s="108">
        <f t="shared" ref="G525:L525" si="36">SUM(G522:G524)</f>
        <v>2395032.91</v>
      </c>
      <c r="H525" s="108">
        <f t="shared" si="36"/>
        <v>3276144.31</v>
      </c>
      <c r="I525" s="108">
        <f t="shared" si="36"/>
        <v>57341.270000000004</v>
      </c>
      <c r="J525" s="108">
        <f t="shared" si="36"/>
        <v>28329.950000000004</v>
      </c>
      <c r="K525" s="108">
        <f t="shared" si="36"/>
        <v>0</v>
      </c>
      <c r="L525" s="89">
        <f t="shared" si="36"/>
        <v>11299558.029999999</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1256164.53</v>
      </c>
      <c r="G527" s="18">
        <v>575214.63</v>
      </c>
      <c r="H527" s="18">
        <v>118742.53</v>
      </c>
      <c r="I527" s="18">
        <v>7858.92</v>
      </c>
      <c r="J527" s="18">
        <v>7065</v>
      </c>
      <c r="K527" s="18"/>
      <c r="L527" s="88">
        <f>SUM(F527:K527)</f>
        <v>1965045.61</v>
      </c>
      <c r="M527" s="8"/>
      <c r="N527" s="266"/>
    </row>
    <row r="528" spans="1:14" s="3" customFormat="1" ht="12.2" customHeight="1" x14ac:dyDescent="0.15">
      <c r="A528" s="22" t="s">
        <v>634</v>
      </c>
      <c r="B528" s="105">
        <v>21</v>
      </c>
      <c r="C528" s="115">
        <v>6</v>
      </c>
      <c r="D528" s="2" t="s">
        <v>432</v>
      </c>
      <c r="E528" s="115"/>
      <c r="F528" s="18">
        <v>284870.38</v>
      </c>
      <c r="G528" s="18">
        <v>149246.47</v>
      </c>
      <c r="H528" s="18">
        <v>20882.68</v>
      </c>
      <c r="I528" s="18">
        <v>2482.54</v>
      </c>
      <c r="J528" s="18">
        <v>854.07</v>
      </c>
      <c r="K528" s="18"/>
      <c r="L528" s="88">
        <f>SUM(F528:K528)</f>
        <v>458336.13999999996</v>
      </c>
      <c r="M528" s="8"/>
      <c r="N528" s="266"/>
    </row>
    <row r="529" spans="1:14" s="3" customFormat="1" ht="12.2" customHeight="1" thickBot="1" x14ac:dyDescent="0.2">
      <c r="A529" s="22" t="s">
        <v>635</v>
      </c>
      <c r="B529" s="118">
        <v>21</v>
      </c>
      <c r="C529" s="118">
        <v>7</v>
      </c>
      <c r="D529" s="2" t="s">
        <v>432</v>
      </c>
      <c r="E529" s="118"/>
      <c r="F529" s="18">
        <v>286419.84000000003</v>
      </c>
      <c r="G529" s="18">
        <v>150277.42000000001</v>
      </c>
      <c r="H529" s="18">
        <v>61861.56</v>
      </c>
      <c r="I529" s="18">
        <v>2035.61</v>
      </c>
      <c r="J529" s="18"/>
      <c r="K529" s="18">
        <v>110</v>
      </c>
      <c r="L529" s="88">
        <f>SUM(F529:K529)</f>
        <v>500704.43</v>
      </c>
      <c r="M529" s="8"/>
      <c r="N529" s="266"/>
    </row>
    <row r="530" spans="1:14" s="3" customFormat="1" ht="12.2" customHeight="1" thickTop="1" x14ac:dyDescent="0.15">
      <c r="A530" s="139" t="s">
        <v>65</v>
      </c>
      <c r="B530" s="107">
        <v>21</v>
      </c>
      <c r="C530" s="107">
        <v>8</v>
      </c>
      <c r="D530" s="158" t="s">
        <v>432</v>
      </c>
      <c r="E530" s="107"/>
      <c r="F530" s="89">
        <f>SUM(F527:F529)</f>
        <v>1827454.7500000002</v>
      </c>
      <c r="G530" s="89">
        <f t="shared" ref="G530:L530" si="37">SUM(G527:G529)</f>
        <v>874738.52</v>
      </c>
      <c r="H530" s="89">
        <f t="shared" si="37"/>
        <v>201486.77</v>
      </c>
      <c r="I530" s="89">
        <f t="shared" si="37"/>
        <v>12377.07</v>
      </c>
      <c r="J530" s="89">
        <f t="shared" si="37"/>
        <v>7919.07</v>
      </c>
      <c r="K530" s="89">
        <f t="shared" si="37"/>
        <v>110</v>
      </c>
      <c r="L530" s="89">
        <f t="shared" si="37"/>
        <v>2924086.18</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197199.18</v>
      </c>
      <c r="G532" s="18">
        <v>101981</v>
      </c>
      <c r="H532" s="18">
        <v>5647.88</v>
      </c>
      <c r="I532" s="18">
        <v>695</v>
      </c>
      <c r="J532" s="18"/>
      <c r="K532" s="18">
        <v>15276.48</v>
      </c>
      <c r="L532" s="88">
        <f>SUM(F532:K532)</f>
        <v>320799.53999999998</v>
      </c>
      <c r="M532" s="8"/>
      <c r="N532" s="266"/>
    </row>
    <row r="533" spans="1:14" s="3" customFormat="1" ht="12.2" customHeight="1" x14ac:dyDescent="0.15">
      <c r="A533" s="22" t="s">
        <v>634</v>
      </c>
      <c r="B533" s="105">
        <v>21</v>
      </c>
      <c r="C533" s="105">
        <v>10</v>
      </c>
      <c r="D533" s="2" t="s">
        <v>432</v>
      </c>
      <c r="E533" s="105"/>
      <c r="F533" s="18">
        <v>81842.02</v>
      </c>
      <c r="G533" s="18">
        <v>42524.93</v>
      </c>
      <c r="H533" s="18"/>
      <c r="I533" s="18"/>
      <c r="J533" s="18"/>
      <c r="K533" s="18"/>
      <c r="L533" s="88">
        <f>SUM(F533:K533)</f>
        <v>124366.95000000001</v>
      </c>
      <c r="M533" s="8"/>
      <c r="N533" s="266"/>
    </row>
    <row r="534" spans="1:14" s="3" customFormat="1" ht="12.2" customHeight="1" thickBot="1" x14ac:dyDescent="0.2">
      <c r="A534" s="22" t="s">
        <v>635</v>
      </c>
      <c r="B534" s="105">
        <v>21</v>
      </c>
      <c r="C534" s="105">
        <v>11</v>
      </c>
      <c r="D534" s="2" t="s">
        <v>432</v>
      </c>
      <c r="E534" s="105"/>
      <c r="F534" s="18">
        <v>114314.05</v>
      </c>
      <c r="G534" s="18">
        <v>64062.11</v>
      </c>
      <c r="H534" s="18"/>
      <c r="I534" s="18"/>
      <c r="J534" s="18"/>
      <c r="K534" s="18"/>
      <c r="L534" s="88">
        <f>SUM(F534:K534)</f>
        <v>178376.16</v>
      </c>
      <c r="M534" s="8"/>
      <c r="N534" s="266"/>
    </row>
    <row r="535" spans="1:14" s="3" customFormat="1" ht="12.2" customHeight="1" thickTop="1" x14ac:dyDescent="0.15">
      <c r="A535" s="139" t="s">
        <v>67</v>
      </c>
      <c r="B535" s="107">
        <v>21</v>
      </c>
      <c r="C535" s="107">
        <v>12</v>
      </c>
      <c r="D535" s="158" t="s">
        <v>432</v>
      </c>
      <c r="E535" s="107"/>
      <c r="F535" s="89">
        <f>SUM(F532:F534)</f>
        <v>393355.25</v>
      </c>
      <c r="G535" s="89">
        <f t="shared" ref="G535:L535" si="38">SUM(G532:G534)</f>
        <v>208568.03999999998</v>
      </c>
      <c r="H535" s="89">
        <f t="shared" si="38"/>
        <v>5647.88</v>
      </c>
      <c r="I535" s="89">
        <f t="shared" si="38"/>
        <v>695</v>
      </c>
      <c r="J535" s="89">
        <f t="shared" si="38"/>
        <v>0</v>
      </c>
      <c r="K535" s="89">
        <f t="shared" si="38"/>
        <v>15276.48</v>
      </c>
      <c r="L535" s="89">
        <f t="shared" si="38"/>
        <v>623542.65</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26896.74</v>
      </c>
      <c r="I537" s="18"/>
      <c r="J537" s="18"/>
      <c r="K537" s="18"/>
      <c r="L537" s="88">
        <f>SUM(F537:K537)</f>
        <v>26896.74</v>
      </c>
      <c r="M537" s="8"/>
      <c r="N537" s="266"/>
    </row>
    <row r="538" spans="1:14" s="3" customFormat="1" ht="12.2" customHeight="1" x14ac:dyDescent="0.15">
      <c r="A538" s="22" t="s">
        <v>634</v>
      </c>
      <c r="B538" s="105">
        <v>21</v>
      </c>
      <c r="C538" s="105">
        <v>14</v>
      </c>
      <c r="D538" s="2" t="s">
        <v>432</v>
      </c>
      <c r="E538" s="105"/>
      <c r="F538" s="18"/>
      <c r="G538" s="18"/>
      <c r="H538" s="18">
        <v>5600.4</v>
      </c>
      <c r="I538" s="18"/>
      <c r="J538" s="18"/>
      <c r="K538" s="18"/>
      <c r="L538" s="88">
        <f>SUM(F538:K538)</f>
        <v>5600.4</v>
      </c>
      <c r="M538" s="8"/>
      <c r="N538" s="266"/>
    </row>
    <row r="539" spans="1:14" s="3" customFormat="1" ht="12.2" customHeight="1" thickBot="1" x14ac:dyDescent="0.2">
      <c r="A539" s="22" t="s">
        <v>635</v>
      </c>
      <c r="B539" s="105">
        <v>21</v>
      </c>
      <c r="C539" s="105">
        <v>15</v>
      </c>
      <c r="D539" s="2" t="s">
        <v>432</v>
      </c>
      <c r="E539" s="105"/>
      <c r="F539" s="18"/>
      <c r="G539" s="18"/>
      <c r="H539" s="18">
        <v>12040.86</v>
      </c>
      <c r="I539" s="18"/>
      <c r="J539" s="18"/>
      <c r="K539" s="18"/>
      <c r="L539" s="88">
        <f>SUM(F539:K539)</f>
        <v>12040.86</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44538</v>
      </c>
      <c r="I540" s="89">
        <f t="shared" si="39"/>
        <v>0</v>
      </c>
      <c r="J540" s="89">
        <f t="shared" si="39"/>
        <v>0</v>
      </c>
      <c r="K540" s="89">
        <f t="shared" si="39"/>
        <v>0</v>
      </c>
      <c r="L540" s="89">
        <f t="shared" si="39"/>
        <v>44538</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382284.67</v>
      </c>
      <c r="I542" s="18"/>
      <c r="J542" s="18"/>
      <c r="K542" s="18"/>
      <c r="L542" s="88">
        <f>SUM(F542:K542)</f>
        <v>382284.67</v>
      </c>
      <c r="M542" s="8"/>
      <c r="N542" s="266"/>
    </row>
    <row r="543" spans="1:14" s="3" customFormat="1" ht="12.2" customHeight="1" x14ac:dyDescent="0.15">
      <c r="A543" s="22" t="s">
        <v>634</v>
      </c>
      <c r="B543" s="105">
        <v>21</v>
      </c>
      <c r="C543" s="105">
        <v>18</v>
      </c>
      <c r="D543" s="2" t="s">
        <v>432</v>
      </c>
      <c r="E543" s="105"/>
      <c r="F543" s="18"/>
      <c r="G543" s="18"/>
      <c r="H543" s="18">
        <v>243553.03</v>
      </c>
      <c r="I543" s="18"/>
      <c r="J543" s="18"/>
      <c r="K543" s="18"/>
      <c r="L543" s="88">
        <f>SUM(F543:K543)</f>
        <v>243553.03</v>
      </c>
      <c r="M543" s="8"/>
      <c r="N543" s="266"/>
    </row>
    <row r="544" spans="1:14" s="3" customFormat="1" ht="12.2" customHeight="1" thickBot="1" x14ac:dyDescent="0.2">
      <c r="A544" s="22" t="s">
        <v>635</v>
      </c>
      <c r="B544" s="105">
        <v>21</v>
      </c>
      <c r="C544" s="105">
        <v>19</v>
      </c>
      <c r="D544" s="2" t="s">
        <v>432</v>
      </c>
      <c r="E544" s="105"/>
      <c r="F544" s="18"/>
      <c r="G544" s="18"/>
      <c r="H544" s="18">
        <v>354594.06</v>
      </c>
      <c r="I544" s="18"/>
      <c r="J544" s="18"/>
      <c r="K544" s="18"/>
      <c r="L544" s="88">
        <f>SUM(F544:K544)</f>
        <v>354594.06</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980431.76</v>
      </c>
      <c r="I545" s="193">
        <f t="shared" si="40"/>
        <v>0</v>
      </c>
      <c r="J545" s="193">
        <f t="shared" si="40"/>
        <v>0</v>
      </c>
      <c r="K545" s="193">
        <f t="shared" si="40"/>
        <v>0</v>
      </c>
      <c r="L545" s="193">
        <f t="shared" si="40"/>
        <v>980431.76</v>
      </c>
      <c r="M545" s="8"/>
      <c r="N545" s="266"/>
    </row>
    <row r="546" spans="1:14" s="3" customFormat="1" ht="12.2" customHeight="1" thickTop="1" x14ac:dyDescent="0.15">
      <c r="A546" s="98" t="s">
        <v>72</v>
      </c>
      <c r="B546" s="107">
        <v>21</v>
      </c>
      <c r="C546" s="107">
        <v>21</v>
      </c>
      <c r="D546" s="158" t="s">
        <v>432</v>
      </c>
      <c r="E546" s="107"/>
      <c r="F546" s="89">
        <f>F525+F530+F535+F540+F545</f>
        <v>7763519.5899999999</v>
      </c>
      <c r="G546" s="89">
        <f t="shared" ref="G546:L546" si="41">G525+G530+G535+G540+G545</f>
        <v>3478339.47</v>
      </c>
      <c r="H546" s="89">
        <f t="shared" si="41"/>
        <v>4508248.72</v>
      </c>
      <c r="I546" s="89">
        <f t="shared" si="41"/>
        <v>70413.34</v>
      </c>
      <c r="J546" s="89">
        <f t="shared" si="41"/>
        <v>36249.020000000004</v>
      </c>
      <c r="K546" s="89">
        <f t="shared" si="41"/>
        <v>15386.48</v>
      </c>
      <c r="L546" s="89">
        <f t="shared" si="41"/>
        <v>15872156.619999999</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5094700.3599999994</v>
      </c>
      <c r="G550" s="87">
        <f>L527</f>
        <v>1965045.61</v>
      </c>
      <c r="H550" s="87">
        <f>L532</f>
        <v>320799.53999999998</v>
      </c>
      <c r="I550" s="87">
        <f>L537</f>
        <v>26896.74</v>
      </c>
      <c r="J550" s="87">
        <f>L542</f>
        <v>382284.67</v>
      </c>
      <c r="K550" s="87">
        <f>SUM(F550:J550)</f>
        <v>7789726.9199999999</v>
      </c>
      <c r="L550" s="24" t="s">
        <v>288</v>
      </c>
      <c r="M550" s="8"/>
      <c r="N550" s="266"/>
    </row>
    <row r="551" spans="1:14" s="3" customFormat="1" ht="12.2" customHeight="1" x14ac:dyDescent="0.15">
      <c r="A551" s="22" t="s">
        <v>634</v>
      </c>
      <c r="B551" s="75">
        <v>21</v>
      </c>
      <c r="C551" s="75">
        <v>23</v>
      </c>
      <c r="D551" s="2" t="s">
        <v>432</v>
      </c>
      <c r="E551" s="75"/>
      <c r="F551" s="87">
        <f>L523</f>
        <v>2527964.25</v>
      </c>
      <c r="G551" s="87">
        <f>L528</f>
        <v>458336.13999999996</v>
      </c>
      <c r="H551" s="87">
        <f>L533</f>
        <v>124366.95000000001</v>
      </c>
      <c r="I551" s="87">
        <f>L538</f>
        <v>5600.4</v>
      </c>
      <c r="J551" s="87">
        <f>L543</f>
        <v>243553.03</v>
      </c>
      <c r="K551" s="87">
        <f>SUM(F551:J551)</f>
        <v>3359820.77</v>
      </c>
      <c r="L551" s="24" t="s">
        <v>288</v>
      </c>
      <c r="M551" s="8"/>
      <c r="N551" s="266"/>
    </row>
    <row r="552" spans="1:14" s="3" customFormat="1" ht="12.2" customHeight="1" thickBot="1" x14ac:dyDescent="0.2">
      <c r="A552" s="22" t="s">
        <v>635</v>
      </c>
      <c r="B552" s="75">
        <v>21</v>
      </c>
      <c r="C552" s="75">
        <v>24</v>
      </c>
      <c r="D552" s="2" t="s">
        <v>432</v>
      </c>
      <c r="E552" s="75"/>
      <c r="F552" s="87">
        <f>L524</f>
        <v>3676893.42</v>
      </c>
      <c r="G552" s="87">
        <f>L529</f>
        <v>500704.43</v>
      </c>
      <c r="H552" s="87">
        <f>L534</f>
        <v>178376.16</v>
      </c>
      <c r="I552" s="87">
        <f>L539</f>
        <v>12040.86</v>
      </c>
      <c r="J552" s="87">
        <f>L544</f>
        <v>354594.06</v>
      </c>
      <c r="K552" s="87">
        <f>SUM(F552:J552)</f>
        <v>4722608.93</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11299558.029999999</v>
      </c>
      <c r="G553" s="89">
        <f t="shared" si="42"/>
        <v>2924086.18</v>
      </c>
      <c r="H553" s="89">
        <f t="shared" si="42"/>
        <v>623542.65</v>
      </c>
      <c r="I553" s="89">
        <f t="shared" si="42"/>
        <v>44538</v>
      </c>
      <c r="J553" s="89">
        <f t="shared" si="42"/>
        <v>980431.76</v>
      </c>
      <c r="K553" s="89">
        <f t="shared" si="42"/>
        <v>15872156.619999999</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139049.4</v>
      </c>
      <c r="G563" s="18">
        <v>57299.54</v>
      </c>
      <c r="H563" s="18">
        <v>511.33</v>
      </c>
      <c r="I563" s="18">
        <v>1575.38</v>
      </c>
      <c r="J563" s="18"/>
      <c r="K563" s="18"/>
      <c r="L563" s="88">
        <f>SUM(F563:K563)</f>
        <v>198435.65</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139049.4</v>
      </c>
      <c r="G566" s="89">
        <f t="shared" si="44"/>
        <v>57299.54</v>
      </c>
      <c r="H566" s="89">
        <f t="shared" si="44"/>
        <v>511.33</v>
      </c>
      <c r="I566" s="89">
        <f t="shared" si="44"/>
        <v>1575.38</v>
      </c>
      <c r="J566" s="89">
        <f t="shared" si="44"/>
        <v>0</v>
      </c>
      <c r="K566" s="89">
        <f t="shared" si="44"/>
        <v>0</v>
      </c>
      <c r="L566" s="89">
        <f t="shared" si="44"/>
        <v>198435.65</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v>45099.96</v>
      </c>
      <c r="G569" s="18">
        <v>32474.68</v>
      </c>
      <c r="H569" s="18"/>
      <c r="I569" s="18"/>
      <c r="J569" s="18"/>
      <c r="K569" s="18"/>
      <c r="L569" s="88">
        <f>SUM(F569:K569)</f>
        <v>77574.64</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45099.96</v>
      </c>
      <c r="G571" s="193">
        <f t="shared" ref="G571:L571" si="45">SUM(G568:G570)</f>
        <v>32474.68</v>
      </c>
      <c r="H571" s="193">
        <f t="shared" si="45"/>
        <v>0</v>
      </c>
      <c r="I571" s="193">
        <f t="shared" si="45"/>
        <v>0</v>
      </c>
      <c r="J571" s="193">
        <f t="shared" si="45"/>
        <v>0</v>
      </c>
      <c r="K571" s="193">
        <f t="shared" si="45"/>
        <v>0</v>
      </c>
      <c r="L571" s="193">
        <f t="shared" si="45"/>
        <v>77574.64</v>
      </c>
      <c r="M571" s="8"/>
      <c r="N571" s="266"/>
    </row>
    <row r="572" spans="1:14" s="3" customFormat="1" ht="12.2" customHeight="1" thickTop="1" x14ac:dyDescent="0.15">
      <c r="A572" s="98" t="s">
        <v>88</v>
      </c>
      <c r="B572" s="107">
        <v>22</v>
      </c>
      <c r="C572" s="107">
        <v>13</v>
      </c>
      <c r="D572" s="158" t="s">
        <v>432</v>
      </c>
      <c r="E572" s="107"/>
      <c r="F572" s="89">
        <f>F561+F566+F571</f>
        <v>184149.36</v>
      </c>
      <c r="G572" s="89">
        <f t="shared" ref="G572:L572" si="46">G561+G566+G571</f>
        <v>89774.22</v>
      </c>
      <c r="H572" s="89">
        <f t="shared" si="46"/>
        <v>511.33</v>
      </c>
      <c r="I572" s="89">
        <f t="shared" si="46"/>
        <v>1575.38</v>
      </c>
      <c r="J572" s="89">
        <f t="shared" si="46"/>
        <v>0</v>
      </c>
      <c r="K572" s="89">
        <f t="shared" si="46"/>
        <v>0</v>
      </c>
      <c r="L572" s="89">
        <f t="shared" si="46"/>
        <v>276010.28999999998</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68936.679999999993</v>
      </c>
      <c r="G580" s="18"/>
      <c r="H580" s="18"/>
      <c r="I580" s="87">
        <f t="shared" si="47"/>
        <v>68936.679999999993</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769558.25</v>
      </c>
      <c r="G583" s="18">
        <v>966769.89</v>
      </c>
      <c r="H583" s="18">
        <v>1225576.1399999999</v>
      </c>
      <c r="I583" s="87">
        <f t="shared" si="47"/>
        <v>2961904.2800000003</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6739.31</v>
      </c>
      <c r="I585" s="87">
        <f t="shared" si="47"/>
        <v>6739.31</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324988.78000000003</v>
      </c>
      <c r="I592" s="18">
        <v>168815.59</v>
      </c>
      <c r="J592" s="18">
        <v>362953.53</v>
      </c>
      <c r="K592" s="104">
        <f t="shared" ref="K592:K598" si="48">SUM(H592:J592)</f>
        <v>856757.9</v>
      </c>
      <c r="L592" s="24" t="s">
        <v>288</v>
      </c>
      <c r="M592" s="8"/>
      <c r="N592" s="266"/>
    </row>
    <row r="593" spans="1:14" s="3" customFormat="1" ht="12.2" customHeight="1" x14ac:dyDescent="0.15">
      <c r="A593" s="3" t="s">
        <v>638</v>
      </c>
      <c r="B593" s="75">
        <v>23</v>
      </c>
      <c r="C593" s="75">
        <v>2</v>
      </c>
      <c r="D593" s="2" t="s">
        <v>432</v>
      </c>
      <c r="E593" s="75"/>
      <c r="F593" s="102">
        <v>2722</v>
      </c>
      <c r="G593" s="103" t="s">
        <v>97</v>
      </c>
      <c r="H593" s="18">
        <v>382284.67</v>
      </c>
      <c r="I593" s="18">
        <v>243553.03</v>
      </c>
      <c r="J593" s="18">
        <v>354594.06</v>
      </c>
      <c r="K593" s="104">
        <f t="shared" si="48"/>
        <v>980431.76</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6566.65</v>
      </c>
      <c r="K594" s="104">
        <f t="shared" si="48"/>
        <v>6566.65</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v>7080.36</v>
      </c>
      <c r="J595" s="18">
        <v>129214.82</v>
      </c>
      <c r="K595" s="104">
        <f t="shared" si="48"/>
        <v>136295.18</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9372.2800000000007</v>
      </c>
      <c r="I596" s="18">
        <v>11207.12</v>
      </c>
      <c r="J596" s="18">
        <v>12655.7</v>
      </c>
      <c r="K596" s="104">
        <f t="shared" si="48"/>
        <v>33235.100000000006</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v>2307.4899999999998</v>
      </c>
      <c r="J598" s="18"/>
      <c r="K598" s="104">
        <f t="shared" si="48"/>
        <v>2307.4899999999998</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716645.73</v>
      </c>
      <c r="I599" s="108">
        <f>SUM(I592:I598)</f>
        <v>432963.58999999997</v>
      </c>
      <c r="J599" s="108">
        <f>SUM(J592:J598)</f>
        <v>865984.76</v>
      </c>
      <c r="K599" s="108">
        <f>SUM(K592:K598)</f>
        <v>2015594.08</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299392.26</v>
      </c>
      <c r="I605" s="18">
        <v>148643.17000000001</v>
      </c>
      <c r="J605" s="18">
        <v>378422.23</v>
      </c>
      <c r="K605" s="104">
        <f>SUM(H605:J605)</f>
        <v>826457.66</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299392.26</v>
      </c>
      <c r="I606" s="108">
        <f>SUM(I603:I605)</f>
        <v>148643.17000000001</v>
      </c>
      <c r="J606" s="108">
        <f>SUM(J603:J605)</f>
        <v>378422.23</v>
      </c>
      <c r="K606" s="108">
        <f>SUM(K603:K605)</f>
        <v>826457.66</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16575</v>
      </c>
      <c r="G612" s="18">
        <v>2998.75</v>
      </c>
      <c r="H612" s="18"/>
      <c r="I612" s="18">
        <v>41.77</v>
      </c>
      <c r="J612" s="18"/>
      <c r="K612" s="18"/>
      <c r="L612" s="88">
        <f>SUM(F612:K612)</f>
        <v>19615.52</v>
      </c>
      <c r="M612" s="8"/>
      <c r="N612" s="266"/>
    </row>
    <row r="613" spans="1:14" s="3" customFormat="1" ht="12.2" customHeight="1" x14ac:dyDescent="0.15">
      <c r="A613" s="22" t="s">
        <v>634</v>
      </c>
      <c r="B613" s="75">
        <v>23</v>
      </c>
      <c r="C613" s="75">
        <v>14</v>
      </c>
      <c r="D613" s="2" t="s">
        <v>432</v>
      </c>
      <c r="E613" s="75"/>
      <c r="F613" s="18">
        <v>3400</v>
      </c>
      <c r="G613" s="18">
        <v>604.24</v>
      </c>
      <c r="H613" s="18"/>
      <c r="I613" s="18"/>
      <c r="J613" s="18"/>
      <c r="K613" s="18"/>
      <c r="L613" s="88">
        <f>SUM(F613:K613)</f>
        <v>4004.24</v>
      </c>
      <c r="M613" s="8"/>
      <c r="N613" s="266"/>
    </row>
    <row r="614" spans="1:14" s="3" customFormat="1" ht="12.2" customHeight="1" thickBot="1" x14ac:dyDescent="0.2">
      <c r="A614" s="22" t="s">
        <v>645</v>
      </c>
      <c r="B614" s="75">
        <v>23</v>
      </c>
      <c r="C614" s="75">
        <v>15</v>
      </c>
      <c r="D614" s="2" t="s">
        <v>432</v>
      </c>
      <c r="E614" s="75"/>
      <c r="F614" s="18">
        <v>6650</v>
      </c>
      <c r="G614" s="18">
        <v>1719.7</v>
      </c>
      <c r="H614" s="18"/>
      <c r="I614" s="18">
        <v>860.26</v>
      </c>
      <c r="J614" s="18"/>
      <c r="K614" s="18"/>
      <c r="L614" s="88">
        <f>SUM(F614:K614)</f>
        <v>9229.9600000000009</v>
      </c>
      <c r="M614" s="8"/>
      <c r="N614" s="266"/>
    </row>
    <row r="615" spans="1:14" s="3" customFormat="1" ht="12.2" customHeight="1" thickTop="1" x14ac:dyDescent="0.15">
      <c r="A615" s="98" t="s">
        <v>340</v>
      </c>
      <c r="B615" s="107">
        <v>23</v>
      </c>
      <c r="C615" s="107">
        <v>16</v>
      </c>
      <c r="D615" s="39" t="s">
        <v>432</v>
      </c>
      <c r="E615" s="107"/>
      <c r="F615" s="108">
        <f t="shared" ref="F615:L615" si="49">SUM(F612:F614)</f>
        <v>26625</v>
      </c>
      <c r="G615" s="108">
        <f t="shared" si="49"/>
        <v>5322.69</v>
      </c>
      <c r="H615" s="108">
        <f t="shared" si="49"/>
        <v>0</v>
      </c>
      <c r="I615" s="108">
        <f t="shared" si="49"/>
        <v>902.03</v>
      </c>
      <c r="J615" s="108">
        <f t="shared" si="49"/>
        <v>0</v>
      </c>
      <c r="K615" s="108">
        <f t="shared" si="49"/>
        <v>0</v>
      </c>
      <c r="L615" s="89">
        <f t="shared" si="49"/>
        <v>32849.72</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5329087.46</v>
      </c>
      <c r="H618" s="109">
        <f>SUM(F52)</f>
        <v>5329087.46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371520.37</v>
      </c>
      <c r="H619" s="109">
        <f>SUM(G52)</f>
        <v>371520.37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748441.89</v>
      </c>
      <c r="H620" s="109">
        <f>SUM(H52)</f>
        <v>748441.89</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178400</v>
      </c>
      <c r="H621" s="109">
        <f>SUM(I52)</f>
        <v>178400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928794.33</v>
      </c>
      <c r="H622" s="109">
        <f>SUM(J52)</f>
        <v>928794.33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4702990.01</v>
      </c>
      <c r="H623" s="109">
        <f>F477</f>
        <v>4702990.0099999979</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322831.65000000002</v>
      </c>
      <c r="H624" s="109">
        <f>G477</f>
        <v>322831.65000000014</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217464.84</v>
      </c>
      <c r="H625" s="109">
        <f>H477</f>
        <v>217464.83999999985</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25951.33</v>
      </c>
      <c r="H626" s="109">
        <f>I477</f>
        <v>25951.330000000016</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928794.33</v>
      </c>
      <c r="H627" s="109">
        <f>J477</f>
        <v>928794.33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61397108.770000003</v>
      </c>
      <c r="H628" s="104">
        <f>SUM(F469)</f>
        <v>61397108.770000003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1268113.02</v>
      </c>
      <c r="H629" s="104">
        <f>SUM(G469)</f>
        <v>1268113.02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2883431.42</v>
      </c>
      <c r="H630" s="104">
        <f>SUM(H469)</f>
        <v>2883431.42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270852.62</v>
      </c>
      <c r="H631" s="104">
        <f>SUM(I469)</f>
        <v>270852.62</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112836.14</v>
      </c>
      <c r="H632" s="104">
        <f>SUM(J469)</f>
        <v>112836.14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60452734.739999995</v>
      </c>
      <c r="H633" s="104">
        <f>SUM(F473)</f>
        <v>60452734.740000002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2925799.9</v>
      </c>
      <c r="H634" s="104">
        <f>SUM(H473)</f>
        <v>2925799.9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626420.99</v>
      </c>
      <c r="H635" s="104">
        <f>I370</f>
        <v>626420.99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1435188.2</v>
      </c>
      <c r="H636" s="104">
        <f>SUM(G473)</f>
        <v>1435188.2</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253909.12</v>
      </c>
      <c r="H637" s="104">
        <f>SUM(I473)</f>
        <v>253909.12</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112836.14000000001</v>
      </c>
      <c r="H638" s="164">
        <f>SUM(J469)</f>
        <v>112836.14</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928794.33</v>
      </c>
      <c r="H641" s="104">
        <f>SUM(G462)</f>
        <v>928794.33</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928794.33</v>
      </c>
      <c r="H643" s="104">
        <f>SUM(I462)</f>
        <v>928794.33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12836.14</v>
      </c>
      <c r="H645" s="104">
        <f>H409</f>
        <v>12836.14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100000</v>
      </c>
      <c r="H646" s="104">
        <f>G409</f>
        <v>100000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112836.14</v>
      </c>
      <c r="H647" s="104">
        <f>L409</f>
        <v>112836.14000000001</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2015594.08</v>
      </c>
      <c r="H648" s="104">
        <f>L209+L227+L245</f>
        <v>2015594.0799999998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826457.66</v>
      </c>
      <c r="H649" s="104">
        <f>(J258+J339)-(J256+J337)</f>
        <v>826457.66</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716645.73</v>
      </c>
      <c r="H650" s="104">
        <f>H599</f>
        <v>716645.73</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432963.58999999997</v>
      </c>
      <c r="H651" s="104">
        <f>I599</f>
        <v>432963.58999999997</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865984.76</v>
      </c>
      <c r="H652" s="104">
        <f>J599</f>
        <v>865984.76</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92452.62</v>
      </c>
      <c r="H655" s="104">
        <f>K266+K347</f>
        <v>92452.62</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100000</v>
      </c>
      <c r="H656" s="104">
        <f>K267+K348</f>
        <v>100000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22878236.669999998</v>
      </c>
      <c r="G661" s="19">
        <f>(L230+L310+L360)</f>
        <v>11123291.720000001</v>
      </c>
      <c r="H661" s="19">
        <f>(L248+L329+L361)</f>
        <v>23701515.780000001</v>
      </c>
      <c r="I661" s="19">
        <f>SUM(F661:H661)</f>
        <v>57703044.170000002</v>
      </c>
      <c r="J661" s="13"/>
      <c r="K661" s="13"/>
      <c r="L661" s="13"/>
      <c r="M661" s="9"/>
    </row>
    <row r="662" spans="1:13" s="3" customFormat="1" ht="12.2" customHeight="1" x14ac:dyDescent="0.2">
      <c r="A662" s="1" t="s">
        <v>127</v>
      </c>
      <c r="F662" s="19">
        <f>(L359/IF(SUM(L359:L361)=0,1,SUM(L359:L361))*(SUM(G97:G110)))</f>
        <v>122297.94849657908</v>
      </c>
      <c r="G662" s="19">
        <f>(L360/IF(SUM(L359:L361)=0,1,SUM(L359:L361))*(SUM(G97:G110)))</f>
        <v>130190.84901790861</v>
      </c>
      <c r="H662" s="19">
        <f>(L361/IF(SUM(L359:L361)=0,1,SUM(L359:L361))*(SUM(G97:G110)))</f>
        <v>291537.00248551235</v>
      </c>
      <c r="I662" s="19">
        <f>SUM(F662:H662)</f>
        <v>544025.80000000005</v>
      </c>
      <c r="J662"/>
      <c r="K662" s="13"/>
      <c r="L662" s="13"/>
      <c r="M662" s="8"/>
    </row>
    <row r="663" spans="1:13" s="3" customFormat="1" ht="12.2" customHeight="1" x14ac:dyDescent="0.2">
      <c r="A663" s="1" t="s">
        <v>128</v>
      </c>
      <c r="F663" s="19">
        <f>(L209+L288)-(J209+J288)</f>
        <v>716645.73</v>
      </c>
      <c r="G663" s="19">
        <f>(L227+L307)-(J227+J307)</f>
        <v>432963.58999999997</v>
      </c>
      <c r="H663" s="19">
        <f>(L245+L326)-(J245+J326)</f>
        <v>865984.76</v>
      </c>
      <c r="I663" s="19">
        <f>SUM(F663:H663)</f>
        <v>2015594.0799999998</v>
      </c>
      <c r="J663"/>
      <c r="K663" s="13"/>
      <c r="L663" s="13"/>
      <c r="M663" s="9"/>
    </row>
    <row r="664" spans="1:13" s="3" customFormat="1" ht="12.2" customHeight="1" x14ac:dyDescent="0.15">
      <c r="A664" s="198" t="s">
        <v>129</v>
      </c>
      <c r="B664" s="169"/>
      <c r="C664" s="169"/>
      <c r="D664" s="169"/>
      <c r="E664" s="169"/>
      <c r="F664" s="199">
        <f>SUM(F576:F588)+SUM(H603:H605)+SUM(L612)</f>
        <v>1157502.71</v>
      </c>
      <c r="G664" s="199">
        <f>SUM(G576:G588)+SUM(I603:I605)+L613</f>
        <v>1119417.3</v>
      </c>
      <c r="H664" s="199">
        <f>SUM(H576:H588)+SUM(J603:J605)+L614</f>
        <v>1619967.64</v>
      </c>
      <c r="I664" s="19">
        <f>SUM(F664:H664)</f>
        <v>3896887.6499999994</v>
      </c>
      <c r="J664" s="13"/>
      <c r="K664" s="13"/>
      <c r="L664" s="13"/>
      <c r="M664" s="9"/>
    </row>
    <row r="665" spans="1:13" s="3" customFormat="1" ht="12.2" customHeight="1" x14ac:dyDescent="0.15">
      <c r="A665" s="1" t="s">
        <v>130</v>
      </c>
      <c r="F665" s="19">
        <f>F661-SUM(F662:F664)</f>
        <v>20881790.28150342</v>
      </c>
      <c r="G665" s="19">
        <f>G661-SUM(G662:G664)</f>
        <v>9440719.9809820913</v>
      </c>
      <c r="H665" s="19">
        <f>H661-SUM(H662:H664)</f>
        <v>20924026.377514489</v>
      </c>
      <c r="I665" s="19">
        <f>I661-SUM(I662:I664)</f>
        <v>51246536.640000001</v>
      </c>
      <c r="J665" s="13"/>
      <c r="K665" s="13"/>
      <c r="L665" s="13"/>
      <c r="M665" s="8"/>
    </row>
    <row r="666" spans="1:13" s="3" customFormat="1" ht="12.2" customHeight="1" x14ac:dyDescent="0.2">
      <c r="A666" s="1" t="s">
        <v>131</v>
      </c>
      <c r="F666" s="246">
        <f>44.96+163.64+913.78</f>
        <v>1122.3799999999999</v>
      </c>
      <c r="G666" s="247">
        <v>742.76</v>
      </c>
      <c r="H666" s="247">
        <v>1344.42</v>
      </c>
      <c r="I666" s="19">
        <f>SUM(F666:H666)</f>
        <v>3209.56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18604.919999999998</v>
      </c>
      <c r="G668" s="19">
        <f>ROUND(G665/G666,2)</f>
        <v>12710.32</v>
      </c>
      <c r="H668" s="19">
        <f>ROUND(H665/H666,2)</f>
        <v>15563.61</v>
      </c>
      <c r="I668" s="19">
        <f>ROUND(I665/I666,2)</f>
        <v>15966.84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21.61</v>
      </c>
      <c r="I671" s="19">
        <f>SUM(F671:H671)</f>
        <v>21.61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18604.919999999998</v>
      </c>
      <c r="G673" s="19">
        <f>ROUND((G665+G670)/(G666+G671),2)</f>
        <v>12710.32</v>
      </c>
      <c r="H673" s="19">
        <f>ROUND((H665+H670)/(H666+H671),2)</f>
        <v>15317.4</v>
      </c>
      <c r="I673" s="19">
        <f>ROUND((I665+I670)/(I666+I671),2)</f>
        <v>15860.06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90" zoomScaleNormal="9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Keene</v>
      </c>
      <c r="C5" s="344"/>
      <c r="D5" s="344"/>
      <c r="E5" s="344"/>
      <c r="F5" s="344"/>
    </row>
    <row r="8" spans="1:9" ht="18" x14ac:dyDescent="0.25">
      <c r="A8" s="323" t="s">
        <v>1591</v>
      </c>
      <c r="F8" s="330" t="s">
        <v>1609</v>
      </c>
    </row>
    <row r="9" spans="1:9" ht="15" x14ac:dyDescent="0.2">
      <c r="A9" s="321" t="s">
        <v>1592</v>
      </c>
      <c r="B9" s="324">
        <f>'DOE25'!G97</f>
        <v>518450.8</v>
      </c>
      <c r="F9" s="321" t="s">
        <v>1605</v>
      </c>
    </row>
    <row r="10" spans="1:9" ht="15" x14ac:dyDescent="0.2">
      <c r="A10" s="321" t="s">
        <v>1593</v>
      </c>
      <c r="B10" s="324">
        <f>'DOE25'!G112-'DOE25'!G97</f>
        <v>25575.000000000058</v>
      </c>
      <c r="F10" s="321" t="s">
        <v>1606</v>
      </c>
    </row>
    <row r="11" spans="1:9" ht="15" x14ac:dyDescent="0.2">
      <c r="A11" s="321" t="s">
        <v>1594</v>
      </c>
      <c r="B11" s="324">
        <f>'DOE25'!G140</f>
        <v>19698.349999999999</v>
      </c>
      <c r="F11" s="321" t="s">
        <v>1607</v>
      </c>
    </row>
    <row r="12" spans="1:9" ht="15" x14ac:dyDescent="0.2">
      <c r="A12" s="321" t="s">
        <v>1595</v>
      </c>
      <c r="B12" s="324">
        <f>'DOE25'!G170</f>
        <v>704388.87</v>
      </c>
      <c r="F12" s="321" t="s">
        <v>1608</v>
      </c>
    </row>
    <row r="13" spans="1:9" ht="15" x14ac:dyDescent="0.2">
      <c r="A13" s="321" t="s">
        <v>1596</v>
      </c>
      <c r="B13" s="324">
        <f>'DOE25'!G193-'DOE25'!G180</f>
        <v>0</v>
      </c>
      <c r="F13" s="321" t="s">
        <v>1618</v>
      </c>
    </row>
    <row r="14" spans="1:9" ht="18" x14ac:dyDescent="0.25">
      <c r="A14" s="323" t="s">
        <v>732</v>
      </c>
      <c r="B14" s="325">
        <f>SUM(B9:B13)</f>
        <v>1268113.02</v>
      </c>
    </row>
    <row r="16" spans="1:9" ht="18" x14ac:dyDescent="0.25">
      <c r="A16" s="323" t="s">
        <v>786</v>
      </c>
      <c r="F16" s="330" t="s">
        <v>1610</v>
      </c>
    </row>
    <row r="17" spans="1:6" ht="15" x14ac:dyDescent="0.2">
      <c r="A17" s="321" t="s">
        <v>1597</v>
      </c>
      <c r="B17" s="324">
        <f>'DOE25'!L363-'DOE25'!L362</f>
        <v>1435188.2</v>
      </c>
      <c r="F17" s="321" t="s">
        <v>1611</v>
      </c>
    </row>
    <row r="18" spans="1:6" ht="15" x14ac:dyDescent="0.2">
      <c r="A18" s="321" t="s">
        <v>1598</v>
      </c>
      <c r="B18" s="338">
        <v>0</v>
      </c>
      <c r="F18" s="330" t="s">
        <v>1637</v>
      </c>
    </row>
    <row r="19" spans="1:6" ht="18" x14ac:dyDescent="0.25">
      <c r="A19" s="323" t="s">
        <v>725</v>
      </c>
      <c r="B19" s="325">
        <f>SUM(B17:B18)</f>
        <v>1435188.2</v>
      </c>
    </row>
    <row r="21" spans="1:6" ht="18.75" thickBot="1" x14ac:dyDescent="0.3">
      <c r="A21" s="323" t="s">
        <v>1599</v>
      </c>
    </row>
    <row r="22" spans="1:6" ht="18.75" thickTop="1" x14ac:dyDescent="0.25">
      <c r="A22" s="323" t="s">
        <v>1600</v>
      </c>
      <c r="B22" s="329">
        <f>B14-B19</f>
        <v>-167075.17999999993</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489906.83</v>
      </c>
      <c r="F31" s="321" t="s">
        <v>1615</v>
      </c>
    </row>
    <row r="33" spans="1:6" ht="15" x14ac:dyDescent="0.2">
      <c r="A33" s="321" t="s">
        <v>1641</v>
      </c>
      <c r="B33" s="324">
        <f>'DOE25'!G477</f>
        <v>322831.65000000014</v>
      </c>
      <c r="F33" s="321" t="s">
        <v>1616</v>
      </c>
    </row>
    <row r="36" spans="1:6" ht="15" x14ac:dyDescent="0.2">
      <c r="A36" s="321" t="s">
        <v>1602</v>
      </c>
      <c r="B36" s="339">
        <v>88464.38</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1" sqref="B1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Keene</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13718857.139999999</v>
      </c>
      <c r="C9" s="229">
        <f>'DOE25'!G198+'DOE25'!G216+'DOE25'!G234+'DOE25'!G277+'DOE25'!G296+'DOE25'!G315</f>
        <v>6378263.7300000004</v>
      </c>
    </row>
    <row r="10" spans="1:3" x14ac:dyDescent="0.2">
      <c r="A10" t="s">
        <v>775</v>
      </c>
      <c r="B10" s="240">
        <v>12277716.470000001</v>
      </c>
      <c r="C10" s="240">
        <v>6074728.1200000001</v>
      </c>
    </row>
    <row r="11" spans="1:3" x14ac:dyDescent="0.2">
      <c r="A11" t="s">
        <v>776</v>
      </c>
      <c r="B11" s="240">
        <v>650676.11</v>
      </c>
      <c r="C11" s="240">
        <v>303535.61</v>
      </c>
    </row>
    <row r="12" spans="1:3" x14ac:dyDescent="0.2">
      <c r="A12" t="s">
        <v>777</v>
      </c>
      <c r="B12" s="240">
        <v>790464.56</v>
      </c>
      <c r="C12" s="240"/>
    </row>
    <row r="13" spans="1:3" x14ac:dyDescent="0.2">
      <c r="A13" t="str">
        <f>IF(B9=B13,IF(C9=C13,"Check Total OK","Check Total Error"),"Check Total Error")</f>
        <v>Check Total OK</v>
      </c>
      <c r="B13" s="231">
        <f>SUM(B10:B12)</f>
        <v>13718857.140000001</v>
      </c>
      <c r="C13" s="231">
        <f>SUM(C10:C12)</f>
        <v>6378263.7300000004</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5726858.9500000002</v>
      </c>
      <c r="C18" s="229">
        <f>'DOE25'!G199+'DOE25'!G217+'DOE25'!G235+'DOE25'!G278+'DOE25'!G297+'DOE25'!G316</f>
        <v>2484807.13</v>
      </c>
    </row>
    <row r="19" spans="1:3" x14ac:dyDescent="0.2">
      <c r="A19" t="s">
        <v>775</v>
      </c>
      <c r="B19" s="240">
        <v>3105929.54</v>
      </c>
      <c r="C19" s="240">
        <v>1972367.21</v>
      </c>
    </row>
    <row r="20" spans="1:3" x14ac:dyDescent="0.2">
      <c r="A20" t="s">
        <v>776</v>
      </c>
      <c r="B20" s="240">
        <v>1181045.8500000001</v>
      </c>
      <c r="C20" s="240">
        <v>512439.92</v>
      </c>
    </row>
    <row r="21" spans="1:3" x14ac:dyDescent="0.2">
      <c r="A21" t="s">
        <v>777</v>
      </c>
      <c r="B21" s="240">
        <v>1439883.56</v>
      </c>
      <c r="C21" s="240"/>
    </row>
    <row r="22" spans="1:3" x14ac:dyDescent="0.2">
      <c r="A22" t="str">
        <f>IF(B18=B22,IF(C18=C22,"Check Total OK","Check Total Error"),"Check Total Error")</f>
        <v>Check Total OK</v>
      </c>
      <c r="B22" s="231">
        <f>SUM(B19:B21)</f>
        <v>5726858.9500000011</v>
      </c>
      <c r="C22" s="231">
        <f>SUM(C19:C21)</f>
        <v>2484807.13</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963047.76</v>
      </c>
      <c r="C27" s="234">
        <f>'DOE25'!G200+'DOE25'!G218+'DOE25'!G236+'DOE25'!G279+'DOE25'!G298+'DOE25'!G317</f>
        <v>438379.76</v>
      </c>
    </row>
    <row r="28" spans="1:3" x14ac:dyDescent="0.2">
      <c r="A28" t="s">
        <v>775</v>
      </c>
      <c r="B28" s="240">
        <v>886156.66</v>
      </c>
      <c r="C28" s="240">
        <v>438379.76</v>
      </c>
    </row>
    <row r="29" spans="1:3" x14ac:dyDescent="0.2">
      <c r="A29" t="s">
        <v>776</v>
      </c>
      <c r="B29" s="240"/>
      <c r="C29" s="240"/>
    </row>
    <row r="30" spans="1:3" x14ac:dyDescent="0.2">
      <c r="A30" t="s">
        <v>777</v>
      </c>
      <c r="B30" s="240">
        <v>76891.100000000006</v>
      </c>
      <c r="C30" s="240"/>
    </row>
    <row r="31" spans="1:3" x14ac:dyDescent="0.2">
      <c r="A31" t="str">
        <f>IF(B27=B31,IF(C27=C31,"Check Total OK","Check Total Error"),"Check Total Error")</f>
        <v>Check Total OK</v>
      </c>
      <c r="B31" s="231">
        <f>SUM(B28:B30)</f>
        <v>963047.76</v>
      </c>
      <c r="C31" s="231">
        <f>SUM(C28:C30)</f>
        <v>438379.76</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447945.35</v>
      </c>
      <c r="C36" s="235">
        <f>'DOE25'!G201+'DOE25'!G219+'DOE25'!G237+'DOE25'!G280+'DOE25'!G299+'DOE25'!G318</f>
        <v>126928.45000000001</v>
      </c>
    </row>
    <row r="37" spans="1:3" x14ac:dyDescent="0.2">
      <c r="A37" t="s">
        <v>775</v>
      </c>
      <c r="B37" s="240">
        <v>297957.99</v>
      </c>
      <c r="C37" s="240">
        <v>126928.45</v>
      </c>
    </row>
    <row r="38" spans="1:3" x14ac:dyDescent="0.2">
      <c r="A38" t="s">
        <v>776</v>
      </c>
      <c r="B38" s="240"/>
      <c r="C38" s="240"/>
    </row>
    <row r="39" spans="1:3" x14ac:dyDescent="0.2">
      <c r="A39" t="s">
        <v>777</v>
      </c>
      <c r="B39" s="240">
        <v>149987.35999999999</v>
      </c>
      <c r="C39" s="240"/>
    </row>
    <row r="40" spans="1:3" x14ac:dyDescent="0.2">
      <c r="A40" t="str">
        <f>IF(B36=B40,IF(C36=C40,"Check Total OK","Check Total Error"),"Check Total Error")</f>
        <v>Check Total OK</v>
      </c>
      <c r="B40" s="231">
        <f>SUM(B37:B39)</f>
        <v>447945.35</v>
      </c>
      <c r="C40" s="231">
        <f>SUM(C37:C39)</f>
        <v>126928.45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9" sqref="F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Keene</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33688214.369999997</v>
      </c>
      <c r="D5" s="20">
        <f>SUM('DOE25'!L198:L201)+SUM('DOE25'!L216:L219)+SUM('DOE25'!L234:L237)-F5-G5-H5</f>
        <v>33489743.649999999</v>
      </c>
      <c r="E5" s="243"/>
      <c r="F5" s="244">
        <f>30000</f>
        <v>30000</v>
      </c>
      <c r="G5" s="53">
        <f>SUM('DOE25'!J198:J201)+SUM('DOE25'!J216:J219)+SUM('DOE25'!J234:J237)</f>
        <v>149535.79</v>
      </c>
      <c r="H5" s="53">
        <f>SUM('DOE25'!K198:K201)+SUM('DOE25'!K216:K219)+SUM('DOE25'!K234:K237)</f>
        <v>18934.93</v>
      </c>
      <c r="I5" s="256"/>
    </row>
    <row r="6" spans="1:9" x14ac:dyDescent="0.2">
      <c r="A6" s="32">
        <v>2100</v>
      </c>
      <c r="B6" t="s">
        <v>796</v>
      </c>
      <c r="C6" s="276">
        <f t="shared" si="0"/>
        <v>4849257.1100000003</v>
      </c>
      <c r="D6" s="20">
        <f>'DOE25'!L203+'DOE25'!L221+'DOE25'!L239-F6-G6-H6</f>
        <v>4808468.24</v>
      </c>
      <c r="E6" s="243"/>
      <c r="F6" s="244">
        <f>37208.14</f>
        <v>37208.14</v>
      </c>
      <c r="G6" s="53">
        <f>'DOE25'!J203+'DOE25'!J221+'DOE25'!J239</f>
        <v>2906.73</v>
      </c>
      <c r="H6" s="53">
        <f>'DOE25'!K203+'DOE25'!K221+'DOE25'!K239</f>
        <v>674</v>
      </c>
      <c r="I6" s="256"/>
    </row>
    <row r="7" spans="1:9" x14ac:dyDescent="0.2">
      <c r="A7" s="32">
        <v>2200</v>
      </c>
      <c r="B7" t="s">
        <v>821</v>
      </c>
      <c r="C7" s="276">
        <f t="shared" si="0"/>
        <v>1223906.97</v>
      </c>
      <c r="D7" s="20">
        <f>'DOE25'!L204+'DOE25'!L222+'DOE25'!L240-F7-G7-H7</f>
        <v>1209424.95</v>
      </c>
      <c r="E7" s="243"/>
      <c r="F7" s="244"/>
      <c r="G7" s="53">
        <f>'DOE25'!J204+'DOE25'!J222+'DOE25'!J240</f>
        <v>10211.77</v>
      </c>
      <c r="H7" s="53">
        <f>'DOE25'!K204+'DOE25'!K222+'DOE25'!K240</f>
        <v>4270.25</v>
      </c>
      <c r="I7" s="256"/>
    </row>
    <row r="8" spans="1:9" x14ac:dyDescent="0.2">
      <c r="A8" s="32">
        <v>2300</v>
      </c>
      <c r="B8" t="s">
        <v>797</v>
      </c>
      <c r="C8" s="276">
        <f t="shared" si="0"/>
        <v>2486589.7399999998</v>
      </c>
      <c r="D8" s="243"/>
      <c r="E8" s="20">
        <f>'DOE25'!L205+'DOE25'!L223+'DOE25'!L241-F8-G8-H8-D9-D11</f>
        <v>2236338.7099999995</v>
      </c>
      <c r="F8" s="244">
        <f>2109726.7+217384.74-2109726.7</f>
        <v>217384.74000000022</v>
      </c>
      <c r="G8" s="53">
        <f>'DOE25'!J205+'DOE25'!J223+'DOE25'!J241</f>
        <v>0</v>
      </c>
      <c r="H8" s="53">
        <f>'DOE25'!K205+'DOE25'!K223+'DOE25'!K241</f>
        <v>32866.29</v>
      </c>
      <c r="I8" s="256"/>
    </row>
    <row r="9" spans="1:9" ht="14.25" x14ac:dyDescent="0.2">
      <c r="A9" s="32">
        <v>2310</v>
      </c>
      <c r="B9" s="185" t="s">
        <v>890</v>
      </c>
      <c r="C9" s="276">
        <f t="shared" si="0"/>
        <v>536426.37</v>
      </c>
      <c r="D9" s="244">
        <v>536426.37</v>
      </c>
      <c r="E9" s="243"/>
      <c r="F9" s="253"/>
      <c r="G9" s="253"/>
      <c r="H9" s="253"/>
      <c r="I9" s="256"/>
    </row>
    <row r="10" spans="1:9" ht="14.25" x14ac:dyDescent="0.2">
      <c r="A10" s="32">
        <v>2317</v>
      </c>
      <c r="B10" s="185" t="s">
        <v>891</v>
      </c>
      <c r="C10" s="276">
        <f t="shared" si="0"/>
        <v>17150</v>
      </c>
      <c r="D10" s="243"/>
      <c r="E10" s="244">
        <v>17150</v>
      </c>
      <c r="F10" s="253"/>
      <c r="G10" s="253"/>
      <c r="H10" s="253"/>
      <c r="I10" s="256"/>
    </row>
    <row r="11" spans="1:9" ht="14.25" x14ac:dyDescent="0.2">
      <c r="A11" s="32">
        <v>2321</v>
      </c>
      <c r="B11" s="185" t="s">
        <v>892</v>
      </c>
      <c r="C11" s="276">
        <f t="shared" si="0"/>
        <v>534330</v>
      </c>
      <c r="D11" s="244">
        <v>534330</v>
      </c>
      <c r="E11" s="243"/>
      <c r="F11" s="253"/>
      <c r="G11" s="253"/>
      <c r="H11" s="253"/>
      <c r="I11" s="256"/>
    </row>
    <row r="12" spans="1:9" x14ac:dyDescent="0.2">
      <c r="A12" s="32">
        <v>2400</v>
      </c>
      <c r="B12" t="s">
        <v>711</v>
      </c>
      <c r="C12" s="276">
        <f t="shared" si="0"/>
        <v>3048883.6899999995</v>
      </c>
      <c r="D12" s="20">
        <f>'DOE25'!L206+'DOE25'!L224+'DOE25'!L242-F12-G12-H12</f>
        <v>3020780.34</v>
      </c>
      <c r="E12" s="243"/>
      <c r="F12" s="244"/>
      <c r="G12" s="53">
        <f>'DOE25'!J206+'DOE25'!J224+'DOE25'!J242</f>
        <v>13966.03</v>
      </c>
      <c r="H12" s="53">
        <f>'DOE25'!K206+'DOE25'!K224+'DOE25'!K242</f>
        <v>14137.32</v>
      </c>
      <c r="I12" s="256"/>
    </row>
    <row r="13" spans="1:9" x14ac:dyDescent="0.2">
      <c r="A13" s="32">
        <v>2500</v>
      </c>
      <c r="B13" t="s">
        <v>798</v>
      </c>
      <c r="C13" s="276">
        <f t="shared" si="0"/>
        <v>23776.720000000001</v>
      </c>
      <c r="D13" s="243"/>
      <c r="E13" s="20">
        <f>'DOE25'!L207+'DOE25'!L225+'DOE25'!L243-F13-G13-H13</f>
        <v>23076.720000000001</v>
      </c>
      <c r="F13" s="244"/>
      <c r="G13" s="53">
        <f>'DOE25'!J207+'DOE25'!J225+'DOE25'!J243</f>
        <v>0</v>
      </c>
      <c r="H13" s="53">
        <f>'DOE25'!K207+'DOE25'!K225+'DOE25'!K243</f>
        <v>700</v>
      </c>
      <c r="I13" s="256"/>
    </row>
    <row r="14" spans="1:9" x14ac:dyDescent="0.2">
      <c r="A14" s="32">
        <v>2600</v>
      </c>
      <c r="B14" t="s">
        <v>819</v>
      </c>
      <c r="C14" s="276">
        <f t="shared" si="0"/>
        <v>4830711.71</v>
      </c>
      <c r="D14" s="20">
        <f>'DOE25'!L208+'DOE25'!L226+'DOE25'!L244-F14-G14-H14</f>
        <v>4354970.67</v>
      </c>
      <c r="E14" s="243"/>
      <c r="F14" s="244">
        <f>94426.55+36330+110000+73400</f>
        <v>314156.55</v>
      </c>
      <c r="G14" s="53">
        <f>'DOE25'!J208+'DOE25'!J226+'DOE25'!J244</f>
        <v>144051.59</v>
      </c>
      <c r="H14" s="53">
        <f>'DOE25'!K208+'DOE25'!K226+'DOE25'!K244</f>
        <v>17532.899999999998</v>
      </c>
      <c r="I14" s="256"/>
    </row>
    <row r="15" spans="1:9" x14ac:dyDescent="0.2">
      <c r="A15" s="32">
        <v>2700</v>
      </c>
      <c r="B15" t="s">
        <v>799</v>
      </c>
      <c r="C15" s="276">
        <f t="shared" si="0"/>
        <v>2015594.0799999998</v>
      </c>
      <c r="D15" s="20">
        <f>'DOE25'!L209+'DOE25'!L227+'DOE25'!L245-F15-G15-H15</f>
        <v>559526.70999999973</v>
      </c>
      <c r="E15" s="243"/>
      <c r="F15" s="244">
        <f>1456067.37</f>
        <v>1456067.37</v>
      </c>
      <c r="G15" s="53">
        <f>'DOE25'!J209+'DOE25'!J227+'DOE25'!J245</f>
        <v>0</v>
      </c>
      <c r="H15" s="53">
        <f>'DOE25'!K209+'DOE25'!K227+'DOE25'!K245</f>
        <v>0</v>
      </c>
      <c r="I15" s="256"/>
    </row>
    <row r="16" spans="1:9" x14ac:dyDescent="0.2">
      <c r="A16" s="32">
        <v>2800</v>
      </c>
      <c r="B16" t="s">
        <v>800</v>
      </c>
      <c r="C16" s="276">
        <f t="shared" si="0"/>
        <v>601563.49</v>
      </c>
      <c r="D16" s="243"/>
      <c r="E16" s="20">
        <f>'DOE25'!L210+'DOE25'!L228+'DOE25'!L246-F16-G16-H16</f>
        <v>304290.38</v>
      </c>
      <c r="F16" s="244"/>
      <c r="G16" s="53">
        <f>'DOE25'!J210+'DOE25'!J228+'DOE25'!J246</f>
        <v>297273.11</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3283436.62</v>
      </c>
      <c r="D22" s="243"/>
      <c r="E22" s="243"/>
      <c r="F22" s="243"/>
      <c r="G22" s="53">
        <f>'DOE25'!L256+'DOE25'!L337</f>
        <v>3283436.62</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3137591.25</v>
      </c>
      <c r="D25" s="243"/>
      <c r="E25" s="243"/>
      <c r="F25" s="255"/>
      <c r="G25" s="253"/>
      <c r="H25" s="253"/>
      <c r="I25" s="254">
        <f>'DOE25'!L261+'DOE25'!L262+'DOE25'!L342+'DOE25'!L343</f>
        <v>3137591.25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835545</v>
      </c>
      <c r="D29" s="284">
        <f>'DOE25'!L359+'DOE25'!L360+'DOE25'!L361-'DOE25'!I368-F29-G29-H29</f>
        <v>826333.78</v>
      </c>
      <c r="E29" s="243"/>
      <c r="F29" s="244"/>
      <c r="G29" s="53">
        <f>'DOE25'!J359+'DOE25'!J360+'DOE25'!J361</f>
        <v>7706.27</v>
      </c>
      <c r="H29" s="53">
        <f>'DOE25'!K359+'DOE25'!K360+'DOE25'!K361</f>
        <v>1504.95</v>
      </c>
      <c r="I29" s="256"/>
    </row>
    <row r="30" spans="1:9" x14ac:dyDescent="0.2">
      <c r="A30" s="32"/>
      <c r="C30" s="277"/>
      <c r="D30" s="20"/>
      <c r="E30" s="281"/>
      <c r="F30" s="271"/>
      <c r="G30" s="53"/>
      <c r="H30" s="53"/>
      <c r="I30" s="256"/>
    </row>
    <row r="31" spans="1:9" x14ac:dyDescent="0.2">
      <c r="A31" s="32" t="s">
        <v>818</v>
      </c>
      <c r="B31" t="s">
        <v>817</v>
      </c>
      <c r="C31" s="276">
        <f>SUM(D31:I31)</f>
        <v>2925799.9</v>
      </c>
      <c r="D31" s="20">
        <f>'DOE25'!L291+'DOE25'!L310+'DOE25'!L329+'DOE25'!L334+'DOE25'!L335+'DOE25'!L336-F31-G31-H31</f>
        <v>2255625.5999999996</v>
      </c>
      <c r="E31" s="243"/>
      <c r="F31" s="244">
        <f>30000+96084+33074.75+32432+128700</f>
        <v>320290.75</v>
      </c>
      <c r="G31" s="53">
        <f>'DOE25'!J291+'DOE25'!J310+'DOE25'!J329+'DOE25'!J334+'DOE25'!J335+'DOE25'!J336</f>
        <v>208512.64000000001</v>
      </c>
      <c r="H31" s="53">
        <f>'DOE25'!K291+'DOE25'!K310+'DOE25'!K329+'DOE25'!K334+'DOE25'!K335+'DOE25'!K336</f>
        <v>141370.91</v>
      </c>
      <c r="I31" s="256"/>
    </row>
    <row r="32" spans="1:9" ht="12" thickBot="1" x14ac:dyDescent="0.25">
      <c r="C32" s="277"/>
      <c r="G32" s="251"/>
      <c r="H32" s="251"/>
      <c r="I32" s="258"/>
    </row>
    <row r="33" spans="1:9" ht="12" thickTop="1" x14ac:dyDescent="0.2">
      <c r="B33" t="s">
        <v>809</v>
      </c>
      <c r="D33" s="245">
        <f t="shared" ref="D33:I33" si="1">SUM(D5:D31)</f>
        <v>51595630.310000002</v>
      </c>
      <c r="E33" s="245">
        <f t="shared" si="1"/>
        <v>2580855.8099999996</v>
      </c>
      <c r="F33" s="245">
        <f t="shared" si="1"/>
        <v>2375107.5500000003</v>
      </c>
      <c r="G33" s="245">
        <f t="shared" si="1"/>
        <v>4117600.5500000003</v>
      </c>
      <c r="H33" s="245">
        <f t="shared" si="1"/>
        <v>231991.55</v>
      </c>
      <c r="I33" s="245">
        <f t="shared" si="1"/>
        <v>3137591.25</v>
      </c>
    </row>
    <row r="35" spans="1:9" ht="12" thickBot="1" x14ac:dyDescent="0.25">
      <c r="B35" s="251" t="s">
        <v>831</v>
      </c>
      <c r="D35" s="252">
        <f>E33</f>
        <v>2580855.8099999996</v>
      </c>
      <c r="E35" s="248"/>
    </row>
    <row r="36" spans="1:9" ht="12" thickTop="1" x14ac:dyDescent="0.2">
      <c r="B36" t="s">
        <v>810</v>
      </c>
      <c r="D36" s="20">
        <f>D33</f>
        <v>51595630.310000002</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22" zoomScaleNormal="100" workbookViewId="0">
      <selection activeCell="A32" sqref="A32"/>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Keene</v>
      </c>
      <c r="B2" s="126">
        <f>'DOE25'!B2</f>
        <v>279</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22555603.859999999</v>
      </c>
      <c r="G4" s="303">
        <f>'DOE25'!L212+'DOE25'!L291</f>
        <v>22555603.859999999</v>
      </c>
      <c r="H4" s="337">
        <f>F4-G4</f>
        <v>0</v>
      </c>
      <c r="I4" s="309" t="str">
        <f>IF(H4=0,"","Does not match DOE25 page 7 and 11 Totals!!")</f>
        <v/>
      </c>
      <c r="N4"/>
    </row>
    <row r="5" spans="1:18" x14ac:dyDescent="0.2">
      <c r="A5" s="21" t="s">
        <v>1166</v>
      </c>
      <c r="B5" s="304">
        <f>IFERROR(VLOOKUP(A5,'School Tables'!$C$3:$D$365,2,FALSE),"")</f>
        <v>21190</v>
      </c>
      <c r="C5" s="297" t="str">
        <f>IFERROR(INDEX('School Tables'!$B$3:$B$365,MATCH('School Level Expenditures'!B5,'School Tables'!$D$3:$D$365,0)),"")</f>
        <v>Keene</v>
      </c>
      <c r="D5" s="294">
        <v>4568346.05</v>
      </c>
      <c r="E5" s="294">
        <v>315178.34999999998</v>
      </c>
      <c r="F5" s="312">
        <f>D5+E5</f>
        <v>4883524.3999999994</v>
      </c>
      <c r="G5" s="297"/>
      <c r="H5" s="297"/>
      <c r="I5" s="126"/>
      <c r="N5"/>
    </row>
    <row r="6" spans="1:18" x14ac:dyDescent="0.2">
      <c r="A6" s="21" t="s">
        <v>1163</v>
      </c>
      <c r="B6" s="304">
        <f>IFERROR(VLOOKUP(A6,'School Tables'!$C$3:$D$365,2,FALSE),"")</f>
        <v>21165</v>
      </c>
      <c r="C6" s="297" t="str">
        <f>IFERROR(INDEX('School Tables'!$B$3:$B$365,MATCH('School Level Expenditures'!B6,'School Tables'!$D$3:$D$365,0)),"")</f>
        <v>Keene</v>
      </c>
      <c r="D6" s="294">
        <v>6422692.9800000004</v>
      </c>
      <c r="E6" s="294">
        <v>435580.2</v>
      </c>
      <c r="F6" s="307">
        <f t="shared" ref="F6:F20" si="0">D6+E6</f>
        <v>6858273.1800000006</v>
      </c>
      <c r="G6" s="297"/>
      <c r="H6" s="297"/>
      <c r="I6" s="126"/>
      <c r="N6"/>
    </row>
    <row r="7" spans="1:18" x14ac:dyDescent="0.2">
      <c r="A7" s="21" t="s">
        <v>1572</v>
      </c>
      <c r="B7" s="304">
        <f>IFERROR(VLOOKUP(A7,'School Tables'!$C$3:$D$365,2,FALSE),"")</f>
        <v>29180</v>
      </c>
      <c r="C7" s="297" t="str">
        <f>IFERROR(INDEX('School Tables'!$B$3:$B$365,MATCH('School Level Expenditures'!B7,'School Tables'!$D$3:$D$365,0)),"")</f>
        <v>Keene</v>
      </c>
      <c r="D7" s="294">
        <v>844250.93</v>
      </c>
      <c r="E7" s="294">
        <v>49296.13</v>
      </c>
      <c r="F7" s="307">
        <f t="shared" si="0"/>
        <v>893547.06</v>
      </c>
      <c r="G7" s="297"/>
      <c r="H7" s="297"/>
      <c r="I7" s="126"/>
      <c r="N7"/>
    </row>
    <row r="8" spans="1:18" x14ac:dyDescent="0.2">
      <c r="A8" s="21" t="s">
        <v>1164</v>
      </c>
      <c r="B8" s="304">
        <f>IFERROR(VLOOKUP(A8,'School Tables'!$C$3:$D$365,2,FALSE),"")</f>
        <v>21170</v>
      </c>
      <c r="C8" s="297" t="str">
        <f>IFERROR(INDEX('School Tables'!$B$3:$B$365,MATCH('School Level Expenditures'!B8,'School Tables'!$D$3:$D$365,0)),"")</f>
        <v>Keene</v>
      </c>
      <c r="D8" s="294">
        <v>5416916.8399999999</v>
      </c>
      <c r="E8" s="294">
        <v>407731.81</v>
      </c>
      <c r="F8" s="307">
        <f t="shared" si="0"/>
        <v>5824648.6499999994</v>
      </c>
      <c r="G8" s="297"/>
      <c r="H8" s="297"/>
      <c r="I8" s="126"/>
      <c r="N8"/>
    </row>
    <row r="9" spans="1:18" x14ac:dyDescent="0.2">
      <c r="A9" s="21" t="s">
        <v>1168</v>
      </c>
      <c r="B9" s="304">
        <f>IFERROR(VLOOKUP(A9,'School Tables'!$C$3:$D$365,2,FALSE),"")</f>
        <v>21200</v>
      </c>
      <c r="C9" s="297" t="str">
        <f>IFERROR(INDEX('School Tables'!$B$3:$B$365,MATCH('School Level Expenditures'!B9,'School Tables'!$D$3:$D$365,0)),"")</f>
        <v>Keene</v>
      </c>
      <c r="D9" s="294">
        <v>3834157.64</v>
      </c>
      <c r="E9" s="294">
        <v>261452.93</v>
      </c>
      <c r="F9" s="307">
        <f t="shared" si="0"/>
        <v>4095610.5700000003</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10779836.74</v>
      </c>
      <c r="G24" s="303">
        <f>'DOE25'!L230+'DOE25'!L310</f>
        <v>10779836.74</v>
      </c>
      <c r="H24" s="337">
        <f>F24-G24</f>
        <v>0</v>
      </c>
      <c r="I24" s="309" t="str">
        <f>IF(H24=0,"","Does not match DOE25 page 8 and 12 Totals!!")</f>
        <v/>
      </c>
      <c r="N24"/>
    </row>
    <row r="25" spans="1:14" x14ac:dyDescent="0.2">
      <c r="A25" s="21" t="s">
        <v>1165</v>
      </c>
      <c r="B25" s="304">
        <f>IFERROR(VLOOKUP(A25,'School Tables'!$I$3:$J$80,2,FALSE),"")</f>
        <v>21185</v>
      </c>
      <c r="C25" s="297" t="str">
        <f t="array" ref="C25">IFERROR(INDEX('School Tables'!$H$3:$H$80,MATCH('School Level Expenditures'!B25,'School Tables'!$J$3:$J$80,0)),"")</f>
        <v>Keene</v>
      </c>
      <c r="D25" s="294">
        <v>10557824.42</v>
      </c>
      <c r="E25" s="294">
        <v>222012.32</v>
      </c>
      <c r="F25" s="307">
        <f>D25+E25</f>
        <v>10779836.74</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22932415.369999997</v>
      </c>
      <c r="G36" s="303">
        <f>'DOE25'!L248+'DOE25'!L329</f>
        <v>22932415.370000001</v>
      </c>
      <c r="H36" s="337">
        <f>F36-G36</f>
        <v>0</v>
      </c>
      <c r="I36" s="309" t="str">
        <f>IF(H36=0,"","Does not match DOE25 page 9 and 13 Totals!!")</f>
        <v/>
      </c>
      <c r="N36"/>
    </row>
    <row r="37" spans="1:14" x14ac:dyDescent="0.2">
      <c r="A37" s="21" t="s">
        <v>1167</v>
      </c>
      <c r="B37" s="304">
        <f>IFERROR(VLOOKUP(A37,'School Tables'!$O$3:$P$118,2,FALSE),"")</f>
        <v>21195</v>
      </c>
      <c r="C37" s="297" t="str">
        <f t="array" ref="C37">IFERROR(INDEX('School Tables'!$N$3:$N$118,MATCH('School Level Expenditures'!B37,'School Tables'!$P$3:$P$118,0)),"")</f>
        <v>Keene</v>
      </c>
      <c r="D37" s="294">
        <v>22264205.289999999</v>
      </c>
      <c r="E37" s="294">
        <v>668210.07999999996</v>
      </c>
      <c r="F37" s="307">
        <f>D37+E37</f>
        <v>22932415.369999997</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90" zoomScaleNormal="90" workbookViewId="0">
      <pane ySplit="2" topLeftCell="A3" activePane="bottomLeft" state="frozen"/>
      <selection activeCell="F46" sqref="F46"/>
      <selection pane="bottomLeft" activeCell="E47" sqref="E47"/>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Keene</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1846279.07</v>
      </c>
      <c r="D8" s="95">
        <f>'DOE25'!G9</f>
        <v>322857.53999999998</v>
      </c>
      <c r="E8" s="95">
        <f>'DOE25'!H9</f>
        <v>195127.38</v>
      </c>
      <c r="F8" s="95">
        <f>'DOE25'!I9</f>
        <v>0</v>
      </c>
      <c r="G8" s="95">
        <f>'DOE25'!J9</f>
        <v>928794.33</v>
      </c>
      <c r="H8" s="124"/>
      <c r="I8" s="124"/>
    </row>
    <row r="9" spans="1:9" x14ac:dyDescent="0.2">
      <c r="A9" s="1" t="s">
        <v>140</v>
      </c>
      <c r="B9" s="6">
        <v>110</v>
      </c>
      <c r="C9" s="95">
        <f>'DOE25'!F10</f>
        <v>313124.28999999998</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627585</v>
      </c>
      <c r="D11" s="95">
        <f>'DOE25'!G12</f>
        <v>0</v>
      </c>
      <c r="E11" s="95">
        <f>'DOE25'!H12</f>
        <v>0</v>
      </c>
      <c r="F11" s="95">
        <f>'DOE25'!I12</f>
        <v>0</v>
      </c>
      <c r="G11" s="95">
        <f>'DOE25'!J12</f>
        <v>0</v>
      </c>
      <c r="H11" s="124"/>
      <c r="I11" s="124"/>
    </row>
    <row r="12" spans="1:9" x14ac:dyDescent="0.2">
      <c r="A12" s="1" t="s">
        <v>143</v>
      </c>
      <c r="B12" s="6">
        <v>140</v>
      </c>
      <c r="C12" s="95">
        <f>'DOE25'!F13</f>
        <v>2537376.06</v>
      </c>
      <c r="D12" s="95">
        <f>'DOE25'!G13</f>
        <v>46914.55</v>
      </c>
      <c r="E12" s="95">
        <f>'DOE25'!H13</f>
        <v>553314.51</v>
      </c>
      <c r="F12" s="95">
        <f>'DOE25'!I13</f>
        <v>178400</v>
      </c>
      <c r="G12" s="95">
        <f>'DOE25'!J13</f>
        <v>0</v>
      </c>
      <c r="H12" s="124"/>
      <c r="I12" s="124"/>
    </row>
    <row r="13" spans="1:9" x14ac:dyDescent="0.2">
      <c r="A13" s="1" t="s">
        <v>144</v>
      </c>
      <c r="B13" s="6">
        <v>150</v>
      </c>
      <c r="C13" s="95">
        <f>'DOE25'!F14</f>
        <v>4574.04</v>
      </c>
      <c r="D13" s="95">
        <f>'DOE25'!G14</f>
        <v>1748.28</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149</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5329087.46</v>
      </c>
      <c r="D18" s="41">
        <f>SUM(D8:D17)</f>
        <v>371520.37</v>
      </c>
      <c r="E18" s="41">
        <f>SUM(E8:E17)</f>
        <v>748441.89</v>
      </c>
      <c r="F18" s="41">
        <f>SUM(F8:F17)</f>
        <v>178400</v>
      </c>
      <c r="G18" s="41">
        <f>SUM(G8:G17)</f>
        <v>928794.33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475136.33</v>
      </c>
      <c r="F21" s="95">
        <f>'DOE25'!I22</f>
        <v>152448.67000000001</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469838.82</v>
      </c>
      <c r="D23" s="95">
        <f>'DOE25'!G24</f>
        <v>0</v>
      </c>
      <c r="E23" s="95">
        <f>'DOE25'!H24</f>
        <v>45239.62</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155864.37</v>
      </c>
      <c r="D27" s="95">
        <f>'DOE25'!G28</f>
        <v>1359.41</v>
      </c>
      <c r="E27" s="95">
        <f>'DOE25'!H28</f>
        <v>10601.1</v>
      </c>
      <c r="F27" s="95">
        <f>'DOE25'!I28</f>
        <v>0</v>
      </c>
      <c r="G27" s="24" t="s">
        <v>288</v>
      </c>
      <c r="H27" s="124"/>
      <c r="I27" s="124"/>
    </row>
    <row r="28" spans="1:9" x14ac:dyDescent="0.2">
      <c r="A28" s="1" t="s">
        <v>157</v>
      </c>
      <c r="B28" s="6">
        <v>470</v>
      </c>
      <c r="C28" s="95">
        <f>'DOE25'!F29</f>
        <v>-30.6</v>
      </c>
      <c r="D28" s="95">
        <f>'DOE25'!G29</f>
        <v>0</v>
      </c>
      <c r="E28" s="95">
        <f>'DOE25'!H29</f>
        <v>0</v>
      </c>
      <c r="F28" s="95">
        <f>'DOE25'!I29</f>
        <v>0</v>
      </c>
      <c r="G28" s="24" t="s">
        <v>288</v>
      </c>
      <c r="H28" s="124"/>
      <c r="I28" s="124"/>
    </row>
    <row r="29" spans="1:9" x14ac:dyDescent="0.2">
      <c r="A29" s="1" t="s">
        <v>158</v>
      </c>
      <c r="B29" s="6">
        <v>480</v>
      </c>
      <c r="C29" s="95">
        <f>'DOE25'!F30</f>
        <v>424.86</v>
      </c>
      <c r="D29" s="95">
        <f>'DOE25'!G30</f>
        <v>47329.31</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626097.44999999995</v>
      </c>
      <c r="D31" s="41">
        <f>SUM(D21:D30)</f>
        <v>48688.72</v>
      </c>
      <c r="E31" s="41">
        <f>SUM(E21:E30)</f>
        <v>530977.05000000005</v>
      </c>
      <c r="F31" s="41">
        <f>SUM(F21:F30)</f>
        <v>152448.67000000001</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149</v>
      </c>
      <c r="D35" s="95">
        <f>'DOE25'!G36</f>
        <v>0</v>
      </c>
      <c r="E35" s="95">
        <f>'DOE25'!H36</f>
        <v>0</v>
      </c>
      <c r="F35" s="95">
        <f>'DOE25'!I36</f>
        <v>0</v>
      </c>
      <c r="G35" s="24" t="s">
        <v>288</v>
      </c>
      <c r="H35" s="124"/>
      <c r="I35" s="124"/>
    </row>
    <row r="36" spans="1:9" x14ac:dyDescent="0.2">
      <c r="A36" s="1" t="s">
        <v>856</v>
      </c>
      <c r="B36" s="6">
        <v>756</v>
      </c>
      <c r="C36" s="95">
        <f>'DOE25'!F37</f>
        <v>0</v>
      </c>
      <c r="D36" s="95">
        <f>'DOE25'!G37</f>
        <v>322831.65000000002</v>
      </c>
      <c r="E36" s="95">
        <f>'DOE25'!H37</f>
        <v>20785.84</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79606.87</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-22697.72</v>
      </c>
      <c r="G44" s="95">
        <f>'DOE25'!J45</f>
        <v>0</v>
      </c>
      <c r="H44" s="124"/>
      <c r="I44" s="124"/>
    </row>
    <row r="45" spans="1:9" x14ac:dyDescent="0.2">
      <c r="A45" s="1" t="s">
        <v>880</v>
      </c>
      <c r="B45" s="6"/>
      <c r="C45" s="95">
        <f>'DOE25'!F46</f>
        <v>850261</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93411.31</v>
      </c>
      <c r="F47" s="95">
        <f>'DOE25'!I48</f>
        <v>0</v>
      </c>
      <c r="G47" s="95">
        <f>'DOE25'!J48</f>
        <v>928794.33</v>
      </c>
      <c r="H47" s="124"/>
      <c r="I47" s="124"/>
    </row>
    <row r="48" spans="1:9" x14ac:dyDescent="0.2">
      <c r="A48" s="1" t="s">
        <v>882</v>
      </c>
      <c r="B48" s="6">
        <v>753</v>
      </c>
      <c r="C48" s="95">
        <f>'DOE25'!F49</f>
        <v>219771.36</v>
      </c>
      <c r="D48" s="95">
        <f>'DOE25'!G49</f>
        <v>0</v>
      </c>
      <c r="E48" s="95">
        <f>'DOE25'!H49</f>
        <v>23660.82</v>
      </c>
      <c r="F48" s="95">
        <f>'DOE25'!I49</f>
        <v>48649.05</v>
      </c>
      <c r="G48" s="95">
        <f>'DOE25'!J49</f>
        <v>0</v>
      </c>
      <c r="H48" s="124"/>
      <c r="I48" s="124"/>
    </row>
    <row r="49" spans="1:9" ht="12" thickBot="1" x14ac:dyDescent="0.25">
      <c r="A49" s="29" t="s">
        <v>883</v>
      </c>
      <c r="B49" s="71">
        <v>770</v>
      </c>
      <c r="C49" s="95">
        <f>'DOE25'!F50</f>
        <v>3632808.65</v>
      </c>
      <c r="D49" s="24" t="s">
        <v>288</v>
      </c>
      <c r="E49" s="24" t="s">
        <v>288</v>
      </c>
      <c r="F49" s="24" t="s">
        <v>288</v>
      </c>
      <c r="G49" s="24" t="s">
        <v>288</v>
      </c>
      <c r="H49" s="124"/>
      <c r="I49" s="124"/>
    </row>
    <row r="50" spans="1:9" ht="12.75" thickTop="1" thickBot="1" x14ac:dyDescent="0.25">
      <c r="A50" s="38" t="s">
        <v>884</v>
      </c>
      <c r="B50" s="48"/>
      <c r="C50" s="41">
        <f>SUM(C34:C49)</f>
        <v>4702990.01</v>
      </c>
      <c r="D50" s="41">
        <f>SUM(D34:D49)</f>
        <v>322831.65000000002</v>
      </c>
      <c r="E50" s="41">
        <f>SUM(E34:E49)</f>
        <v>217464.84</v>
      </c>
      <c r="F50" s="41">
        <f>SUM(F34:F49)</f>
        <v>25951.33</v>
      </c>
      <c r="G50" s="41">
        <f>SUM(G34:G49)</f>
        <v>928794.33</v>
      </c>
      <c r="H50" s="124"/>
      <c r="I50" s="124"/>
    </row>
    <row r="51" spans="1:9" ht="12" thickTop="1" x14ac:dyDescent="0.2">
      <c r="A51" s="38" t="s">
        <v>885</v>
      </c>
      <c r="B51" s="2"/>
      <c r="C51" s="41">
        <f>C50+C31</f>
        <v>5329087.46</v>
      </c>
      <c r="D51" s="41">
        <f>D50+D31</f>
        <v>371520.37</v>
      </c>
      <c r="E51" s="41">
        <f>E50+E31</f>
        <v>748441.89</v>
      </c>
      <c r="F51" s="41">
        <f>F50+F31</f>
        <v>178400</v>
      </c>
      <c r="G51" s="41">
        <f>G50+G31</f>
        <v>928794.33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30283362</v>
      </c>
      <c r="D56" s="95">
        <f>'DOE25'!G60</f>
        <v>0</v>
      </c>
      <c r="E56" s="95">
        <f>'DOE25'!H60</f>
        <v>0</v>
      </c>
      <c r="F56" s="95">
        <f>'DOE25'!I60</f>
        <v>0</v>
      </c>
      <c r="G56" s="95">
        <f>'DOE25'!J60</f>
        <v>0</v>
      </c>
      <c r="H56"/>
      <c r="I56"/>
    </row>
    <row r="57" spans="1:9" x14ac:dyDescent="0.2">
      <c r="A57" s="1" t="s">
        <v>164</v>
      </c>
      <c r="B57" s="6" t="s">
        <v>165</v>
      </c>
      <c r="C57" s="95">
        <f>'DOE25'!F79</f>
        <v>12450670.07</v>
      </c>
      <c r="D57" s="24" t="s">
        <v>288</v>
      </c>
      <c r="E57" s="95">
        <f>'DOE25'!H79</f>
        <v>308070.05</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97459.88</v>
      </c>
      <c r="D59" s="95">
        <f>'DOE25'!G96</f>
        <v>0</v>
      </c>
      <c r="E59" s="95">
        <f>'DOE25'!H96</f>
        <v>0</v>
      </c>
      <c r="F59" s="95">
        <f>'DOE25'!I96</f>
        <v>0</v>
      </c>
      <c r="G59" s="95">
        <f>'DOE25'!J96</f>
        <v>12836.14</v>
      </c>
      <c r="H59"/>
      <c r="I59"/>
    </row>
    <row r="60" spans="1:9" x14ac:dyDescent="0.2">
      <c r="A60" s="1" t="s">
        <v>170</v>
      </c>
      <c r="B60" s="118" t="s">
        <v>171</v>
      </c>
      <c r="C60" s="24" t="s">
        <v>288</v>
      </c>
      <c r="D60" s="95">
        <f>'DOE25'!G97</f>
        <v>518450.8</v>
      </c>
      <c r="E60" s="24" t="s">
        <v>288</v>
      </c>
      <c r="F60" s="24" t="s">
        <v>288</v>
      </c>
      <c r="G60" s="24" t="s">
        <v>288</v>
      </c>
      <c r="H60"/>
      <c r="I60"/>
    </row>
    <row r="61" spans="1:9" ht="12" thickBot="1" x14ac:dyDescent="0.25">
      <c r="A61" s="1" t="s">
        <v>172</v>
      </c>
      <c r="B61" s="118" t="s">
        <v>173</v>
      </c>
      <c r="C61" s="95">
        <f>SUM('DOE25'!F98:F110)</f>
        <v>327834.71999999997</v>
      </c>
      <c r="D61" s="95">
        <f>SUM('DOE25'!G98:G110)</f>
        <v>25575</v>
      </c>
      <c r="E61" s="95">
        <f>SUM('DOE25'!H98:H110)</f>
        <v>215899.55</v>
      </c>
      <c r="F61" s="95">
        <f>SUM('DOE25'!I98:I110)</f>
        <v>0</v>
      </c>
      <c r="G61" s="95">
        <f>SUM('DOE25'!J98:J110)</f>
        <v>0</v>
      </c>
      <c r="H61"/>
      <c r="I61"/>
    </row>
    <row r="62" spans="1:9" ht="12.75" thickTop="1" thickBot="1" x14ac:dyDescent="0.25">
      <c r="A62" s="29" t="s">
        <v>174</v>
      </c>
      <c r="B62" s="6"/>
      <c r="C62" s="130">
        <f>SUM(C57:C61)</f>
        <v>12875964.670000002</v>
      </c>
      <c r="D62" s="130">
        <f>SUM(D57:D61)</f>
        <v>544025.80000000005</v>
      </c>
      <c r="E62" s="130">
        <f>SUM(E57:E61)</f>
        <v>523969.6</v>
      </c>
      <c r="F62" s="130">
        <f>SUM(F57:F61)</f>
        <v>0</v>
      </c>
      <c r="G62" s="130">
        <f>SUM(G57:G61)</f>
        <v>12836.14</v>
      </c>
      <c r="H62"/>
      <c r="I62"/>
    </row>
    <row r="63" spans="1:9" ht="12" thickTop="1" x14ac:dyDescent="0.2">
      <c r="A63" s="29" t="s">
        <v>175</v>
      </c>
      <c r="B63" s="6"/>
      <c r="C63" s="22">
        <f>C56+C62</f>
        <v>43159326.670000002</v>
      </c>
      <c r="D63" s="22">
        <f>D56+D62</f>
        <v>544025.80000000005</v>
      </c>
      <c r="E63" s="22">
        <f>E56+E62</f>
        <v>523969.6</v>
      </c>
      <c r="F63" s="22">
        <f>F56+F62</f>
        <v>0</v>
      </c>
      <c r="G63" s="22">
        <f>G56+G62</f>
        <v>12836.14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12074140.26</v>
      </c>
      <c r="D66" s="24" t="s">
        <v>288</v>
      </c>
      <c r="E66" s="24" t="s">
        <v>288</v>
      </c>
      <c r="F66" s="24" t="s">
        <v>288</v>
      </c>
      <c r="G66" s="24" t="s">
        <v>288</v>
      </c>
      <c r="H66"/>
      <c r="I66"/>
    </row>
    <row r="67" spans="1:9" x14ac:dyDescent="0.2">
      <c r="A67" s="1" t="s">
        <v>770</v>
      </c>
      <c r="B67" s="6">
        <v>3112</v>
      </c>
      <c r="C67" s="95">
        <f>'DOE25'!F118</f>
        <v>3727087</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29565.91</v>
      </c>
      <c r="D69" s="95">
        <f>'DOE25'!G120</f>
        <v>0</v>
      </c>
      <c r="E69" s="95">
        <f>'DOE25'!H120</f>
        <v>0</v>
      </c>
      <c r="F69" s="95">
        <f>'DOE25'!I120</f>
        <v>0</v>
      </c>
      <c r="G69" s="95">
        <f>'DOE25'!J120</f>
        <v>0</v>
      </c>
      <c r="H69"/>
      <c r="I69"/>
    </row>
    <row r="70" spans="1:9" ht="12" thickTop="1" x14ac:dyDescent="0.2">
      <c r="A70" s="29" t="s">
        <v>252</v>
      </c>
      <c r="B70" s="2"/>
      <c r="C70" s="139">
        <f>SUM(C66:C69)</f>
        <v>15830793.17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1400532.28</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605295.85</v>
      </c>
      <c r="D75" s="24" t="s">
        <v>288</v>
      </c>
      <c r="E75" s="24" t="s">
        <v>288</v>
      </c>
      <c r="F75" s="24" t="s">
        <v>288</v>
      </c>
      <c r="G75" s="24" t="s">
        <v>288</v>
      </c>
      <c r="H75"/>
      <c r="I75"/>
    </row>
    <row r="76" spans="1:9" x14ac:dyDescent="0.2">
      <c r="A76" s="1" t="s">
        <v>257</v>
      </c>
      <c r="B76" s="6" t="s">
        <v>179</v>
      </c>
      <c r="C76" s="95">
        <f>SUM('DOE25'!F127:F130)</f>
        <v>220812.75999999998</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19698.349999999999</v>
      </c>
      <c r="E77" s="95">
        <f>SUM('DOE25'!H131:H135)</f>
        <v>0</v>
      </c>
      <c r="F77" s="95">
        <f>SUM('DOE25'!I131:I135)</f>
        <v>178400</v>
      </c>
      <c r="G77" s="95">
        <f>SUM('DOE25'!J131:J135)</f>
        <v>0</v>
      </c>
      <c r="H77"/>
      <c r="I77"/>
    </row>
    <row r="78" spans="1:9" ht="12.75" thickTop="1" thickBot="1" x14ac:dyDescent="0.25">
      <c r="A78" s="29" t="s">
        <v>259</v>
      </c>
      <c r="B78" s="6"/>
      <c r="C78" s="130">
        <f>SUM(C72:C77)</f>
        <v>2226640.8899999997</v>
      </c>
      <c r="D78" s="130">
        <f>SUM(D72:D77)</f>
        <v>19698.349999999999</v>
      </c>
      <c r="E78" s="130">
        <f>SUM(E72:E77)</f>
        <v>0</v>
      </c>
      <c r="F78" s="130">
        <f>SUM(F72:F77)</f>
        <v>178400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18057434.059999999</v>
      </c>
      <c r="D81" s="130">
        <f>SUM(D79:D80)+D78+D70</f>
        <v>19698.349999999999</v>
      </c>
      <c r="E81" s="130">
        <f>SUM(E79:E80)+E78+E70</f>
        <v>0</v>
      </c>
      <c r="F81" s="130">
        <f>SUM(F79:F80)+F78+F70</f>
        <v>178400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170147.04</v>
      </c>
      <c r="D88" s="341">
        <f>SUM('DOE25'!G153:G162)</f>
        <v>704388.87</v>
      </c>
      <c r="E88" s="341">
        <f>SUM('DOE25'!H153:H162)</f>
        <v>2359461.8199999998</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170147.04</v>
      </c>
      <c r="D91" s="131">
        <f>SUM(D85:D90)</f>
        <v>704388.87</v>
      </c>
      <c r="E91" s="131">
        <f>SUM(E85:E90)</f>
        <v>2359461.8199999998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92452.62</v>
      </c>
      <c r="G96" s="95">
        <f>'DOE25'!J180</f>
        <v>100000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10201</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10201</v>
      </c>
      <c r="D103" s="86">
        <f>SUM(D93:D102)</f>
        <v>0</v>
      </c>
      <c r="E103" s="86">
        <f>SUM(E93:E102)</f>
        <v>0</v>
      </c>
      <c r="F103" s="86">
        <f>SUM(F93:F102)</f>
        <v>92452.62</v>
      </c>
      <c r="G103" s="86">
        <f>SUM(G93:G102)</f>
        <v>100000</v>
      </c>
    </row>
    <row r="104" spans="1:7" ht="12.75" thickTop="1" thickBot="1" x14ac:dyDescent="0.25">
      <c r="A104" s="33" t="s">
        <v>761</v>
      </c>
      <c r="C104" s="86">
        <f>C63+C81+C91+C103</f>
        <v>61397108.770000003</v>
      </c>
      <c r="D104" s="86">
        <f>D63+D81+D91+D103</f>
        <v>1268113.02</v>
      </c>
      <c r="E104" s="86">
        <f>E63+E81+E91+E103</f>
        <v>2883431.42</v>
      </c>
      <c r="F104" s="86">
        <f>F63+F81+F91+F103</f>
        <v>270852.62</v>
      </c>
      <c r="G104" s="86">
        <f>G63+G81+G103</f>
        <v>112836.14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20167636.709999997</v>
      </c>
      <c r="D109" s="24" t="s">
        <v>288</v>
      </c>
      <c r="E109" s="95">
        <f>('DOE25'!L277)+('DOE25'!L296)+('DOE25'!L315)</f>
        <v>865802.99</v>
      </c>
      <c r="F109" s="24" t="s">
        <v>288</v>
      </c>
      <c r="G109" s="24" t="s">
        <v>288</v>
      </c>
    </row>
    <row r="110" spans="1:7" x14ac:dyDescent="0.2">
      <c r="A110" t="s">
        <v>198</v>
      </c>
      <c r="B110" s="32" t="s">
        <v>199</v>
      </c>
      <c r="C110" s="95">
        <f>('DOE25'!L199)+('DOE25'!L217)+('DOE25'!L235)</f>
        <v>11270594.619999999</v>
      </c>
      <c r="D110" s="24" t="s">
        <v>288</v>
      </c>
      <c r="E110" s="95">
        <f>('DOE25'!L278)+('DOE25'!L297)+('DOE25'!L316)</f>
        <v>309278.7</v>
      </c>
      <c r="F110" s="24" t="s">
        <v>288</v>
      </c>
      <c r="G110" s="24" t="s">
        <v>288</v>
      </c>
    </row>
    <row r="111" spans="1:7" x14ac:dyDescent="0.2">
      <c r="A111" t="s">
        <v>200</v>
      </c>
      <c r="B111" s="32" t="s">
        <v>165</v>
      </c>
      <c r="C111" s="95">
        <f>('DOE25'!L200)+('DOE25'!L218)+('DOE25'!L236)</f>
        <v>1472164.0399999998</v>
      </c>
      <c r="D111" s="24" t="s">
        <v>288</v>
      </c>
      <c r="E111" s="95">
        <f>('DOE25'!L279)+('DOE25'!L298)+('DOE25'!L317)</f>
        <v>111552.04</v>
      </c>
      <c r="F111" s="24" t="s">
        <v>288</v>
      </c>
      <c r="G111" s="24" t="s">
        <v>288</v>
      </c>
    </row>
    <row r="112" spans="1:7" x14ac:dyDescent="0.2">
      <c r="A112" t="s">
        <v>201</v>
      </c>
      <c r="B112" s="32" t="s">
        <v>167</v>
      </c>
      <c r="C112" s="95">
        <f>('DOE25'!L201)+('DOE25'!L219)+('DOE25'!L237)</f>
        <v>777819</v>
      </c>
      <c r="D112" s="24" t="s">
        <v>288</v>
      </c>
      <c r="E112" s="95">
        <f>+('DOE25'!L280)+('DOE25'!L299)+('DOE25'!L318)</f>
        <v>8888.2900000000009</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497198.18000000005</v>
      </c>
      <c r="F114" s="24" t="s">
        <v>288</v>
      </c>
      <c r="G114" s="24" t="s">
        <v>288</v>
      </c>
    </row>
    <row r="115" spans="1:7" ht="12.75" thickTop="1" thickBot="1" x14ac:dyDescent="0.25">
      <c r="A115" s="33" t="s">
        <v>205</v>
      </c>
      <c r="C115" s="86">
        <f>SUM(C109:C114)</f>
        <v>33688214.369999997</v>
      </c>
      <c r="D115" s="86">
        <f>SUM(D109:D114)</f>
        <v>0</v>
      </c>
      <c r="E115" s="86">
        <f>SUM(E109:E114)</f>
        <v>1792720.2000000002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4849257.1100000003</v>
      </c>
      <c r="D118" s="24" t="s">
        <v>288</v>
      </c>
      <c r="E118" s="95">
        <f>+('DOE25'!L282)+('DOE25'!L301)+('DOE25'!L320)</f>
        <v>520307.18999999994</v>
      </c>
      <c r="F118" s="24" t="s">
        <v>288</v>
      </c>
      <c r="G118" s="24" t="s">
        <v>288</v>
      </c>
    </row>
    <row r="119" spans="1:7" x14ac:dyDescent="0.2">
      <c r="A119" t="s">
        <v>208</v>
      </c>
      <c r="B119" s="32" t="s">
        <v>209</v>
      </c>
      <c r="C119" s="95">
        <f>('DOE25'!L204)+('DOE25'!L222)+('DOE25'!L240)</f>
        <v>1223906.97</v>
      </c>
      <c r="D119" s="24" t="s">
        <v>288</v>
      </c>
      <c r="E119" s="95">
        <f>+('DOE25'!L283)+('DOE25'!L302)+('DOE25'!L321)</f>
        <v>327092.46000000002</v>
      </c>
      <c r="F119" s="24" t="s">
        <v>288</v>
      </c>
      <c r="G119" s="24" t="s">
        <v>288</v>
      </c>
    </row>
    <row r="120" spans="1:7" x14ac:dyDescent="0.2">
      <c r="A120" t="s">
        <v>210</v>
      </c>
      <c r="B120" s="32" t="s">
        <v>211</v>
      </c>
      <c r="C120" s="95">
        <f>('DOE25'!L205)+('DOE25'!L223)+('DOE25'!L241)</f>
        <v>3557346.11</v>
      </c>
      <c r="D120" s="24" t="s">
        <v>288</v>
      </c>
      <c r="E120" s="95">
        <f>+('DOE25'!L284)+('DOE25'!L303)+('DOE25'!L322)</f>
        <v>144653.96</v>
      </c>
      <c r="F120" s="24" t="s">
        <v>288</v>
      </c>
      <c r="G120" s="24" t="s">
        <v>288</v>
      </c>
    </row>
    <row r="121" spans="1:7" x14ac:dyDescent="0.2">
      <c r="A121" t="s">
        <v>212</v>
      </c>
      <c r="B121" s="32" t="s">
        <v>213</v>
      </c>
      <c r="C121" s="95">
        <f>('DOE25'!L206)+('DOE25'!L224)+('DOE25'!L242)</f>
        <v>3048883.6899999995</v>
      </c>
      <c r="D121" s="24" t="s">
        <v>288</v>
      </c>
      <c r="E121" s="95">
        <f>+('DOE25'!L285)+('DOE25'!L304)+('DOE25'!L323)</f>
        <v>0</v>
      </c>
      <c r="F121" s="24" t="s">
        <v>288</v>
      </c>
      <c r="G121" s="24" t="s">
        <v>288</v>
      </c>
    </row>
    <row r="122" spans="1:7" x14ac:dyDescent="0.2">
      <c r="A122" t="s">
        <v>214</v>
      </c>
      <c r="B122" s="32" t="s">
        <v>215</v>
      </c>
      <c r="C122" s="95">
        <f>('DOE25'!L207)+('DOE25'!L225)+('DOE25'!L243)</f>
        <v>23776.720000000001</v>
      </c>
      <c r="D122" s="24" t="s">
        <v>288</v>
      </c>
      <c r="E122" s="95">
        <f>+('DOE25'!L286)+('DOE25'!L305)+('DOE25'!L324)</f>
        <v>109079.05</v>
      </c>
      <c r="F122" s="24" t="s">
        <v>288</v>
      </c>
      <c r="G122" s="24" t="s">
        <v>288</v>
      </c>
    </row>
    <row r="123" spans="1:7" x14ac:dyDescent="0.2">
      <c r="A123" t="s">
        <v>216</v>
      </c>
      <c r="B123" s="32" t="s">
        <v>217</v>
      </c>
      <c r="C123" s="95">
        <f>('DOE25'!L208)+('DOE25'!L226)+('DOE25'!L244)</f>
        <v>4830711.71</v>
      </c>
      <c r="D123" s="24" t="s">
        <v>288</v>
      </c>
      <c r="E123" s="95">
        <f>+('DOE25'!L287)+('DOE25'!L306)+('DOE25'!L325)</f>
        <v>31947.039999999997</v>
      </c>
      <c r="F123" s="24" t="s">
        <v>288</v>
      </c>
      <c r="G123" s="24" t="s">
        <v>288</v>
      </c>
    </row>
    <row r="124" spans="1:7" x14ac:dyDescent="0.2">
      <c r="A124" t="s">
        <v>218</v>
      </c>
      <c r="B124" s="32" t="s">
        <v>219</v>
      </c>
      <c r="C124" s="95">
        <f>('DOE25'!L209)+('DOE25'!L227)+('DOE25'!L245+'DOE25'!L255)</f>
        <v>2015594.0799999998</v>
      </c>
      <c r="D124" s="24" t="s">
        <v>288</v>
      </c>
      <c r="E124" s="95">
        <f>+('DOE25'!L288)+('DOE25'!L307)+('DOE25'!L326)</f>
        <v>0</v>
      </c>
      <c r="F124" s="24" t="s">
        <v>288</v>
      </c>
      <c r="G124" s="24" t="s">
        <v>288</v>
      </c>
    </row>
    <row r="125" spans="1:7" x14ac:dyDescent="0.2">
      <c r="A125" t="s">
        <v>220</v>
      </c>
      <c r="B125" s="32" t="s">
        <v>221</v>
      </c>
      <c r="C125" s="95">
        <f>('DOE25'!L210)+('DOE25'!L228)+('DOE25'!L246)</f>
        <v>601563.49</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1435188.2</v>
      </c>
      <c r="E127" s="24" t="s">
        <v>288</v>
      </c>
      <c r="F127" s="24" t="s">
        <v>288</v>
      </c>
      <c r="G127" s="24" t="s">
        <v>288</v>
      </c>
    </row>
    <row r="128" spans="1:7" ht="12.75" thickTop="1" thickBot="1" x14ac:dyDescent="0.25">
      <c r="A128" s="33" t="s">
        <v>226</v>
      </c>
      <c r="C128" s="86">
        <f>SUM(C118:C127)</f>
        <v>20151039.879999995</v>
      </c>
      <c r="D128" s="86">
        <f>SUM(D118:D127)</f>
        <v>1435188.2</v>
      </c>
      <c r="E128" s="86">
        <f>SUM(E118:E127)</f>
        <v>1133079.7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3283436.62</v>
      </c>
      <c r="D130" s="24" t="s">
        <v>288</v>
      </c>
      <c r="E130" s="129">
        <f>'DOE25'!L337</f>
        <v>0</v>
      </c>
      <c r="F130" s="129">
        <f>SUM('DOE25'!L375:'DOE25'!L381)</f>
        <v>253909.12</v>
      </c>
      <c r="G130" s="24" t="s">
        <v>288</v>
      </c>
    </row>
    <row r="131" spans="1:7" x14ac:dyDescent="0.2">
      <c r="A131" t="s">
        <v>229</v>
      </c>
      <c r="B131" s="32">
        <v>5110</v>
      </c>
      <c r="C131" s="95">
        <f>'DOE25'!L261</f>
        <v>2404435.56</v>
      </c>
      <c r="D131" s="24" t="s">
        <v>288</v>
      </c>
      <c r="E131" s="129">
        <f>'DOE25'!L342</f>
        <v>0</v>
      </c>
      <c r="F131" s="24" t="s">
        <v>288</v>
      </c>
      <c r="G131" s="24" t="s">
        <v>288</v>
      </c>
    </row>
    <row r="132" spans="1:7" x14ac:dyDescent="0.2">
      <c r="A132" t="s">
        <v>230</v>
      </c>
      <c r="B132" s="32">
        <v>5120</v>
      </c>
      <c r="C132" s="95">
        <f>'DOE25'!L262</f>
        <v>733155.69</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92452.62</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112836.14000000001</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-12836.140000000014</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6613480.4899999993</v>
      </c>
      <c r="D144" s="141">
        <f>SUM(D130:D143)</f>
        <v>0</v>
      </c>
      <c r="E144" s="141">
        <f>SUM(E130:E143)</f>
        <v>0</v>
      </c>
      <c r="F144" s="141">
        <f>SUM(F130:F143)</f>
        <v>253909.12</v>
      </c>
      <c r="G144" s="141">
        <f>SUM(G130:G143)</f>
        <v>0</v>
      </c>
    </row>
    <row r="145" spans="1:9" ht="12.75" thickTop="1" thickBot="1" x14ac:dyDescent="0.25">
      <c r="A145" s="33" t="s">
        <v>244</v>
      </c>
      <c r="C145" s="86">
        <f>(C115+C128+C144)</f>
        <v>60452734.739999995</v>
      </c>
      <c r="D145" s="86">
        <f>(D115+D128+D144)</f>
        <v>1435188.2</v>
      </c>
      <c r="E145" s="86">
        <f>(E115+E128+E144)</f>
        <v>2925799.9000000004</v>
      </c>
      <c r="F145" s="86">
        <f>(F115+F128+F144)</f>
        <v>253909.12</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29</v>
      </c>
      <c r="D151" s="153">
        <f>'DOE25'!H491</f>
        <v>29</v>
      </c>
      <c r="E151" s="153">
        <f>'DOE25'!I491</f>
        <v>0</v>
      </c>
      <c r="F151" s="153">
        <f>'DOE25'!J491</f>
        <v>0</v>
      </c>
      <c r="G151" s="24" t="s">
        <v>288</v>
      </c>
    </row>
    <row r="152" spans="1:9" x14ac:dyDescent="0.2">
      <c r="A152" s="136" t="s">
        <v>28</v>
      </c>
      <c r="B152" s="152" t="str">
        <f>'DOE25'!F492</f>
        <v>07/99</v>
      </c>
      <c r="C152" s="152" t="str">
        <f>'DOE25'!G492</f>
        <v>07/10</v>
      </c>
      <c r="D152" s="152">
        <f>'DOE25'!H492</f>
        <v>0.7</v>
      </c>
      <c r="E152" s="152">
        <f>'DOE25'!I492</f>
        <v>0</v>
      </c>
      <c r="F152" s="152">
        <f>'DOE25'!J492</f>
        <v>0</v>
      </c>
      <c r="G152" s="24" t="s">
        <v>288</v>
      </c>
    </row>
    <row r="153" spans="1:9" x14ac:dyDescent="0.2">
      <c r="A153" s="136" t="s">
        <v>29</v>
      </c>
      <c r="B153" s="152" t="str">
        <f>'DOE25'!F493</f>
        <v>08/19</v>
      </c>
      <c r="C153" s="152" t="str">
        <f>'DOE25'!G493</f>
        <v>08/39</v>
      </c>
      <c r="D153" s="152">
        <f>'DOE25'!H493</f>
        <v>0.20512820512820512</v>
      </c>
      <c r="E153" s="152">
        <f>'DOE25'!I493</f>
        <v>0</v>
      </c>
      <c r="F153" s="152">
        <f>'DOE25'!J493</f>
        <v>0</v>
      </c>
      <c r="G153" s="24" t="s">
        <v>288</v>
      </c>
    </row>
    <row r="154" spans="1:9" x14ac:dyDescent="0.2">
      <c r="A154" s="136" t="s">
        <v>30</v>
      </c>
      <c r="B154" s="137">
        <f>'DOE25'!F494</f>
        <v>17500000</v>
      </c>
      <c r="C154" s="137">
        <f>'DOE25'!G494</f>
        <v>35115529.659999996</v>
      </c>
      <c r="D154" s="137">
        <f>'DOE25'!H494</f>
        <v>1817971.34</v>
      </c>
      <c r="E154" s="137">
        <f>'DOE25'!I494</f>
        <v>0</v>
      </c>
      <c r="F154" s="137">
        <f>'DOE25'!J494</f>
        <v>0</v>
      </c>
      <c r="G154" s="24" t="s">
        <v>288</v>
      </c>
    </row>
    <row r="155" spans="1:9" x14ac:dyDescent="0.2">
      <c r="A155" s="136" t="s">
        <v>31</v>
      </c>
      <c r="B155" s="137">
        <f>'DOE25'!F495</f>
        <v>5.2</v>
      </c>
      <c r="C155" s="137">
        <f>'DOE25'!G495</f>
        <v>4.4400000000000004</v>
      </c>
      <c r="D155" s="137">
        <f>'DOE25'!H495</f>
        <v>4.4400000000000004</v>
      </c>
      <c r="E155" s="137">
        <f>'DOE25'!I495</f>
        <v>0</v>
      </c>
      <c r="F155" s="137">
        <f>'DOE25'!J495</f>
        <v>0</v>
      </c>
      <c r="G155" s="24" t="s">
        <v>288</v>
      </c>
    </row>
    <row r="156" spans="1:9" x14ac:dyDescent="0.2">
      <c r="A156" s="22" t="s">
        <v>32</v>
      </c>
      <c r="B156" s="137">
        <f>'DOE25'!F496</f>
        <v>875000</v>
      </c>
      <c r="C156" s="137">
        <f>'DOE25'!G496</f>
        <v>19734979.100000001</v>
      </c>
      <c r="D156" s="137">
        <f>'DOE25'!H496</f>
        <v>1020390.6</v>
      </c>
      <c r="E156" s="137">
        <f>'DOE25'!I496</f>
        <v>0</v>
      </c>
      <c r="F156" s="137">
        <f>'DOE25'!J496</f>
        <v>0</v>
      </c>
      <c r="G156" s="138">
        <f>SUM(B156:F156)</f>
        <v>21630369.700000003</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875000</v>
      </c>
      <c r="C158" s="137">
        <f>'DOE25'!G498</f>
        <v>1452963.78</v>
      </c>
      <c r="D158" s="137">
        <f>'DOE25'!H498</f>
        <v>76471.78</v>
      </c>
      <c r="E158" s="137">
        <f>'DOE25'!I498</f>
        <v>0</v>
      </c>
      <c r="F158" s="137">
        <f>'DOE25'!J498</f>
        <v>0</v>
      </c>
      <c r="G158" s="138">
        <f t="shared" si="0"/>
        <v>2404435.56</v>
      </c>
    </row>
    <row r="159" spans="1:9" x14ac:dyDescent="0.2">
      <c r="A159" s="22" t="s">
        <v>35</v>
      </c>
      <c r="B159" s="137">
        <f>'DOE25'!F499</f>
        <v>0</v>
      </c>
      <c r="C159" s="137">
        <f>'DOE25'!G499</f>
        <v>18282015.32</v>
      </c>
      <c r="D159" s="137">
        <f>'DOE25'!H499</f>
        <v>943918.82</v>
      </c>
      <c r="E159" s="137">
        <f>'DOE25'!I499</f>
        <v>0</v>
      </c>
      <c r="F159" s="137">
        <f>'DOE25'!J499</f>
        <v>0</v>
      </c>
      <c r="G159" s="138">
        <f t="shared" si="0"/>
        <v>19225934.140000001</v>
      </c>
    </row>
    <row r="160" spans="1:9" x14ac:dyDescent="0.2">
      <c r="A160" s="22" t="s">
        <v>36</v>
      </c>
      <c r="B160" s="137">
        <f>'DOE25'!F500</f>
        <v>0</v>
      </c>
      <c r="C160" s="137">
        <f>'DOE25'!G500</f>
        <v>24998144.289999999</v>
      </c>
      <c r="D160" s="137">
        <f>'DOE25'!H500</f>
        <v>1315691.8</v>
      </c>
      <c r="E160" s="137">
        <f>'DOE25'!I500</f>
        <v>0</v>
      </c>
      <c r="F160" s="137">
        <f>'DOE25'!J500</f>
        <v>0</v>
      </c>
      <c r="G160" s="138">
        <f t="shared" si="0"/>
        <v>26313836.09</v>
      </c>
    </row>
    <row r="161" spans="1:7" x14ac:dyDescent="0.2">
      <c r="A161" s="22" t="s">
        <v>37</v>
      </c>
      <c r="B161" s="137">
        <f>'DOE25'!F501</f>
        <v>0</v>
      </c>
      <c r="C161" s="137">
        <f>'DOE25'!G501</f>
        <v>43280159.609999999</v>
      </c>
      <c r="D161" s="137">
        <f>'DOE25'!H501</f>
        <v>2259610.62</v>
      </c>
      <c r="E161" s="137">
        <f>'DOE25'!I501</f>
        <v>0</v>
      </c>
      <c r="F161" s="137">
        <f>'DOE25'!J501</f>
        <v>0</v>
      </c>
      <c r="G161" s="138">
        <f t="shared" si="0"/>
        <v>45539770.229999997</v>
      </c>
    </row>
    <row r="162" spans="1:7" x14ac:dyDescent="0.2">
      <c r="A162" s="22" t="s">
        <v>38</v>
      </c>
      <c r="B162" s="137">
        <f>'DOE25'!F502</f>
        <v>0</v>
      </c>
      <c r="C162" s="137">
        <f>'DOE25'!G502</f>
        <v>1385750.47</v>
      </c>
      <c r="D162" s="137">
        <f>'DOE25'!H502</f>
        <v>72934.240000000005</v>
      </c>
      <c r="E162" s="137">
        <f>'DOE25'!I502</f>
        <v>0</v>
      </c>
      <c r="F162" s="137">
        <f>'DOE25'!J502</f>
        <v>0</v>
      </c>
      <c r="G162" s="138">
        <f t="shared" si="0"/>
        <v>1458684.71</v>
      </c>
    </row>
    <row r="163" spans="1:7" x14ac:dyDescent="0.2">
      <c r="A163" s="22" t="s">
        <v>39</v>
      </c>
      <c r="B163" s="137">
        <f>'DOE25'!F503</f>
        <v>0</v>
      </c>
      <c r="C163" s="137">
        <f>'DOE25'!G503</f>
        <v>741534.66</v>
      </c>
      <c r="D163" s="137">
        <f>'DOE25'!H503</f>
        <v>39028.14</v>
      </c>
      <c r="E163" s="137">
        <f>'DOE25'!I503</f>
        <v>0</v>
      </c>
      <c r="F163" s="137">
        <f>'DOE25'!J503</f>
        <v>0</v>
      </c>
      <c r="G163" s="138">
        <f t="shared" si="0"/>
        <v>780562.8</v>
      </c>
    </row>
    <row r="164" spans="1:7" x14ac:dyDescent="0.2">
      <c r="A164" s="22" t="s">
        <v>246</v>
      </c>
      <c r="B164" s="137">
        <f>'DOE25'!F504</f>
        <v>0</v>
      </c>
      <c r="C164" s="137">
        <f>'DOE25'!G504</f>
        <v>2127285.13</v>
      </c>
      <c r="D164" s="137">
        <f>'DOE25'!H504</f>
        <v>111962.38</v>
      </c>
      <c r="E164" s="137">
        <f>'DOE25'!I504</f>
        <v>0</v>
      </c>
      <c r="F164" s="137">
        <f>'DOE25'!J504</f>
        <v>0</v>
      </c>
      <c r="G164" s="138">
        <f t="shared" si="0"/>
        <v>2239247.5099999998</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Keene</v>
      </c>
    </row>
    <row r="3" spans="1:4" x14ac:dyDescent="0.2">
      <c r="B3" s="188" t="s">
        <v>1587</v>
      </c>
    </row>
    <row r="4" spans="1:4" x14ac:dyDescent="0.2">
      <c r="B4" t="s">
        <v>61</v>
      </c>
      <c r="C4" s="179">
        <f>IF('DOE25'!F666+'DOE25'!F671=0,0,ROUND('DOE25'!F673,0))</f>
        <v>18605</v>
      </c>
    </row>
    <row r="5" spans="1:4" x14ac:dyDescent="0.2">
      <c r="B5" t="s">
        <v>700</v>
      </c>
      <c r="C5" s="179">
        <f>IF('DOE25'!G666+'DOE25'!G671=0,0,ROUND('DOE25'!G673,0))</f>
        <v>12710</v>
      </c>
    </row>
    <row r="6" spans="1:4" x14ac:dyDescent="0.2">
      <c r="B6" t="s">
        <v>62</v>
      </c>
      <c r="C6" s="179">
        <f>IF('DOE25'!H666+'DOE25'!H671=0,0,ROUND('DOE25'!H673,0))</f>
        <v>15317</v>
      </c>
    </row>
    <row r="7" spans="1:4" x14ac:dyDescent="0.2">
      <c r="B7" t="s">
        <v>701</v>
      </c>
      <c r="C7" s="179">
        <f>IF('DOE25'!I666+'DOE25'!I671=0,0,ROUND('DOE25'!I673,0))</f>
        <v>15860</v>
      </c>
    </row>
    <row r="9" spans="1:4" x14ac:dyDescent="0.2">
      <c r="A9" s="187" t="s">
        <v>94</v>
      </c>
      <c r="B9" s="188" t="s">
        <v>1588</v>
      </c>
      <c r="C9" s="181" t="s">
        <v>720</v>
      </c>
      <c r="D9" s="181" t="s">
        <v>721</v>
      </c>
    </row>
    <row r="10" spans="1:4" x14ac:dyDescent="0.2">
      <c r="A10">
        <v>1100</v>
      </c>
      <c r="B10" t="s">
        <v>702</v>
      </c>
      <c r="C10" s="179">
        <f>ROUND('DOE25'!L198+'DOE25'!L216+'DOE25'!L234+'DOE25'!L277+'DOE25'!L296+'DOE25'!L315,0)</f>
        <v>21033440</v>
      </c>
      <c r="D10" s="182">
        <f>ROUND((C10/$C$28)*100,1)</f>
        <v>36</v>
      </c>
    </row>
    <row r="11" spans="1:4" x14ac:dyDescent="0.2">
      <c r="A11">
        <v>1200</v>
      </c>
      <c r="B11" t="s">
        <v>703</v>
      </c>
      <c r="C11" s="179">
        <f>ROUND('DOE25'!L199+'DOE25'!L217+'DOE25'!L235+'DOE25'!L278+'DOE25'!L297+'DOE25'!L316,0)</f>
        <v>11579873</v>
      </c>
      <c r="D11" s="182">
        <f>ROUND((C11/$C$28)*100,1)</f>
        <v>19.8</v>
      </c>
    </row>
    <row r="12" spans="1:4" x14ac:dyDescent="0.2">
      <c r="A12">
        <v>1300</v>
      </c>
      <c r="B12" t="s">
        <v>704</v>
      </c>
      <c r="C12" s="179">
        <f>ROUND('DOE25'!L200+'DOE25'!L218+'DOE25'!L236+'DOE25'!L279+'DOE25'!L298+'DOE25'!L317,0)</f>
        <v>1583716</v>
      </c>
      <c r="D12" s="182">
        <f>ROUND((C12/$C$28)*100,1)</f>
        <v>2.7</v>
      </c>
    </row>
    <row r="13" spans="1:4" x14ac:dyDescent="0.2">
      <c r="A13">
        <v>1400</v>
      </c>
      <c r="B13" t="s">
        <v>705</v>
      </c>
      <c r="C13" s="179">
        <f>ROUND('DOE25'!L201+'DOE25'!L219+'DOE25'!L237+'DOE25'!L280+'DOE25'!L299+'DOE25'!L318,0)</f>
        <v>786707</v>
      </c>
      <c r="D13" s="182">
        <f>ROUND((C13/$C$28)*100,1)</f>
        <v>1.3</v>
      </c>
    </row>
    <row r="14" spans="1:4" x14ac:dyDescent="0.2">
      <c r="D14" s="182"/>
    </row>
    <row r="15" spans="1:4" x14ac:dyDescent="0.2">
      <c r="A15">
        <v>2100</v>
      </c>
      <c r="B15" t="s">
        <v>706</v>
      </c>
      <c r="C15" s="179">
        <f>ROUND('DOE25'!L203+'DOE25'!L221+'DOE25'!L239+'DOE25'!L282+'DOE25'!L301+'DOE25'!L320,0)</f>
        <v>5369564</v>
      </c>
      <c r="D15" s="182">
        <f t="shared" ref="D15:D27" si="0">ROUND((C15/$C$28)*100,1)</f>
        <v>9.1999999999999993</v>
      </c>
    </row>
    <row r="16" spans="1:4" x14ac:dyDescent="0.2">
      <c r="A16">
        <v>2200</v>
      </c>
      <c r="B16" t="s">
        <v>707</v>
      </c>
      <c r="C16" s="179">
        <f>ROUND('DOE25'!L204+'DOE25'!L222+'DOE25'!L240+'DOE25'!L283+'DOE25'!L302+'DOE25'!L321,0)</f>
        <v>1550999</v>
      </c>
      <c r="D16" s="182">
        <f t="shared" si="0"/>
        <v>2.7</v>
      </c>
    </row>
    <row r="17" spans="1:4" x14ac:dyDescent="0.2">
      <c r="A17" s="183" t="s">
        <v>723</v>
      </c>
      <c r="B17" t="s">
        <v>738</v>
      </c>
      <c r="C17" s="179">
        <f>ROUND('DOE25'!L205+'DOE25'!L210+'DOE25'!L223+'DOE25'!L228+'DOE25'!L241+'DOE25'!L246+'DOE25'!L284+'DOE25'!L289+'DOE25'!L303+'DOE25'!L308+'DOE25'!L322+'DOE25'!L327,0)</f>
        <v>4303564</v>
      </c>
      <c r="D17" s="182">
        <f t="shared" si="0"/>
        <v>7.4</v>
      </c>
    </row>
    <row r="18" spans="1:4" x14ac:dyDescent="0.2">
      <c r="A18">
        <v>2400</v>
      </c>
      <c r="B18" t="s">
        <v>711</v>
      </c>
      <c r="C18" s="179">
        <f>ROUND('DOE25'!L206+'DOE25'!L224+'DOE25'!L242+'DOE25'!L285+'DOE25'!L304+'DOE25'!L323,0)</f>
        <v>3048884</v>
      </c>
      <c r="D18" s="182">
        <f t="shared" si="0"/>
        <v>5.2</v>
      </c>
    </row>
    <row r="19" spans="1:4" x14ac:dyDescent="0.2">
      <c r="A19">
        <v>2500</v>
      </c>
      <c r="B19" t="s">
        <v>708</v>
      </c>
      <c r="C19" s="179">
        <f>ROUND('DOE25'!L207+'DOE25'!L225+'DOE25'!L243+'DOE25'!L286+'DOE25'!L305+'DOE25'!L324,0)</f>
        <v>132856</v>
      </c>
      <c r="D19" s="182">
        <f t="shared" si="0"/>
        <v>0.2</v>
      </c>
    </row>
    <row r="20" spans="1:4" x14ac:dyDescent="0.2">
      <c r="A20">
        <v>2600</v>
      </c>
      <c r="B20" t="s">
        <v>709</v>
      </c>
      <c r="C20" s="179">
        <f>ROUND('DOE25'!L208+'DOE25'!L226+'DOE25'!L244+'DOE25'!L287+'DOE25'!L306+'DOE25'!L325,0)</f>
        <v>4862659</v>
      </c>
      <c r="D20" s="182">
        <f t="shared" si="0"/>
        <v>8.3000000000000007</v>
      </c>
    </row>
    <row r="21" spans="1:4" x14ac:dyDescent="0.2">
      <c r="A21">
        <v>2700</v>
      </c>
      <c r="B21" t="s">
        <v>710</v>
      </c>
      <c r="C21" s="179">
        <f>ROUND('DOE25'!L209+'DOE25'!L227+'DOE25'!L245+'DOE25'!L288+'DOE25'!L307+'DOE25'!L326,0)</f>
        <v>2015594</v>
      </c>
      <c r="D21" s="182">
        <f t="shared" si="0"/>
        <v>3.5</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497198</v>
      </c>
      <c r="D24" s="182">
        <f t="shared" si="0"/>
        <v>0.9</v>
      </c>
    </row>
    <row r="25" spans="1:4" x14ac:dyDescent="0.2">
      <c r="A25">
        <v>5120</v>
      </c>
      <c r="B25" t="s">
        <v>716</v>
      </c>
      <c r="C25" s="179">
        <f>ROUND('DOE25'!L262+'DOE25'!L343,0)</f>
        <v>733156</v>
      </c>
      <c r="D25" s="182">
        <f t="shared" si="0"/>
        <v>1.3</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891162.2</v>
      </c>
      <c r="D27" s="182">
        <f t="shared" si="0"/>
        <v>1.5</v>
      </c>
    </row>
    <row r="28" spans="1:4" x14ac:dyDescent="0.2">
      <c r="B28" s="187" t="s">
        <v>719</v>
      </c>
      <c r="C28" s="180">
        <f>SUM(C10:C27)</f>
        <v>58389372.200000003</v>
      </c>
      <c r="D28" s="184">
        <f>ROUND(SUM(D10:D27),0)</f>
        <v>100</v>
      </c>
    </row>
    <row r="29" spans="1:4" x14ac:dyDescent="0.2">
      <c r="A29">
        <v>4000</v>
      </c>
      <c r="B29" t="s">
        <v>724</v>
      </c>
      <c r="C29" s="179">
        <f>ROUND('DOE25'!L256+'DOE25'!L337+'DOE25'!L375+'DOE25'!L376+'DOE25'!L377+'DOE25'!L378+'DOE25'!L379+'DOE25'!L380+'DOE25'!L381,0)</f>
        <v>3537346</v>
      </c>
    </row>
    <row r="30" spans="1:4" x14ac:dyDescent="0.2">
      <c r="B30" s="187" t="s">
        <v>725</v>
      </c>
      <c r="C30" s="180">
        <f>SUM(C28:C29)</f>
        <v>61926718.200000003</v>
      </c>
    </row>
    <row r="31" spans="1:4" x14ac:dyDescent="0.2">
      <c r="B31" s="33"/>
      <c r="C31" s="180"/>
    </row>
    <row r="32" spans="1:4" x14ac:dyDescent="0.2">
      <c r="A32">
        <v>5100</v>
      </c>
      <c r="B32" s="33" t="s">
        <v>726</v>
      </c>
      <c r="C32" s="180">
        <f>ROUND('DOE25'!L261+'DOE25'!L342,0)</f>
        <v>2404436</v>
      </c>
    </row>
    <row r="34" spans="1:4" x14ac:dyDescent="0.2">
      <c r="A34" s="187" t="s">
        <v>94</v>
      </c>
      <c r="B34" s="188" t="s">
        <v>1589</v>
      </c>
      <c r="C34" s="181" t="s">
        <v>720</v>
      </c>
      <c r="D34" s="181" t="s">
        <v>721</v>
      </c>
    </row>
    <row r="35" spans="1:4" x14ac:dyDescent="0.2">
      <c r="A35">
        <v>1100</v>
      </c>
      <c r="B35" s="185" t="s">
        <v>727</v>
      </c>
      <c r="C35" s="179">
        <f>ROUND('DOE25'!F60+'DOE25'!G60+'DOE25'!H60+'DOE25'!I60+'DOE25'!J60,0)</f>
        <v>30283362</v>
      </c>
      <c r="D35" s="182">
        <f t="shared" ref="D35:D40" si="1">ROUND((C35/$C$41)*100,1)</f>
        <v>46.4</v>
      </c>
    </row>
    <row r="36" spans="1:4" x14ac:dyDescent="0.2">
      <c r="B36" s="185" t="s">
        <v>739</v>
      </c>
      <c r="C36" s="179">
        <f>SUM('DOE25'!F112:J112)-SUM('DOE25'!G97:G110)+('DOE25'!F175+'DOE25'!F176+'DOE25'!I175+'DOE25'!I176)-C35</f>
        <v>13412770.410000004</v>
      </c>
      <c r="D36" s="182">
        <f t="shared" si="1"/>
        <v>20.6</v>
      </c>
    </row>
    <row r="37" spans="1:4" x14ac:dyDescent="0.2">
      <c r="A37" s="183" t="s">
        <v>835</v>
      </c>
      <c r="B37" s="185" t="s">
        <v>728</v>
      </c>
      <c r="C37" s="179">
        <f>ROUND('DOE25'!F117+'DOE25'!F118,0)</f>
        <v>15801227</v>
      </c>
      <c r="D37" s="182">
        <f t="shared" si="1"/>
        <v>24.2</v>
      </c>
    </row>
    <row r="38" spans="1:4" x14ac:dyDescent="0.2">
      <c r="A38" s="183" t="s">
        <v>734</v>
      </c>
      <c r="B38" s="185" t="s">
        <v>729</v>
      </c>
      <c r="C38" s="179">
        <f>ROUND(SUM('DOE25'!F140:J140)-SUM('DOE25'!F117:F119),0)</f>
        <v>2454305</v>
      </c>
      <c r="D38" s="182">
        <f t="shared" si="1"/>
        <v>3.8</v>
      </c>
    </row>
    <row r="39" spans="1:4" x14ac:dyDescent="0.2">
      <c r="A39">
        <v>4000</v>
      </c>
      <c r="B39" s="185" t="s">
        <v>730</v>
      </c>
      <c r="C39" s="179">
        <f>ROUND('DOE25'!F170+'DOE25'!G170+'DOE25'!H170+'DOE25'!I170,0)</f>
        <v>3233998</v>
      </c>
      <c r="D39" s="182">
        <f t="shared" si="1"/>
        <v>5</v>
      </c>
    </row>
    <row r="40" spans="1:4" x14ac:dyDescent="0.2">
      <c r="A40" s="183" t="s">
        <v>735</v>
      </c>
      <c r="B40" s="185" t="s">
        <v>731</v>
      </c>
      <c r="C40" s="179">
        <f>ROUND(SUM('DOE25'!F190:F192)+SUM('DOE25'!G190:G192)+SUM('DOE25'!H190:H192)+SUM('DOE25'!I190:I192),0)</f>
        <v>10201</v>
      </c>
      <c r="D40" s="182">
        <f t="shared" si="1"/>
        <v>0</v>
      </c>
    </row>
    <row r="41" spans="1:4" x14ac:dyDescent="0.2">
      <c r="B41" s="187" t="s">
        <v>732</v>
      </c>
      <c r="C41" s="180">
        <f>SUM(C35:C40)</f>
        <v>65195863.410000004</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B5" sqref="B5"/>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Keene</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v>3</v>
      </c>
      <c r="C4" s="355" t="s">
        <v>1646</v>
      </c>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2020-10-13T16:02:47Z</cp:lastPrinted>
  <dcterms:created xsi:type="dcterms:W3CDTF">1997-12-04T19:04:30Z</dcterms:created>
  <dcterms:modified xsi:type="dcterms:W3CDTF">2020-12-11T15:26:35Z</dcterms:modified>
</cp:coreProperties>
</file>