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24" i="1" l="1"/>
  <c r="F614" i="1"/>
  <c r="J594" i="1"/>
  <c r="F11" i="1"/>
  <c r="G204" i="1"/>
  <c r="G222" i="1"/>
  <c r="G240" i="1"/>
  <c r="H334" i="1"/>
  <c r="G334" i="1"/>
  <c r="F334" i="1"/>
  <c r="I334" i="1"/>
  <c r="F244" i="1"/>
  <c r="F252" i="1"/>
  <c r="F28" i="1"/>
  <c r="F127" i="1"/>
  <c r="F101" i="1"/>
  <c r="H22" i="1"/>
  <c r="F13" i="1"/>
  <c r="F12" i="1"/>
  <c r="F9"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c r="L318" i="1"/>
  <c r="L320" i="1"/>
  <c r="L321" i="1"/>
  <c r="L322" i="1"/>
  <c r="L323" i="1"/>
  <c r="L324" i="1"/>
  <c r="L325" i="1"/>
  <c r="L326" i="1"/>
  <c r="E124" i="2"/>
  <c r="L327" i="1"/>
  <c r="L334" i="1"/>
  <c r="L335" i="1"/>
  <c r="L336" i="1"/>
  <c r="L261" i="1"/>
  <c r="L262" i="1"/>
  <c r="C132" i="2"/>
  <c r="L342" i="1"/>
  <c r="E131" i="2"/>
  <c r="L343" i="1"/>
  <c r="E132" i="2"/>
  <c r="L256" i="1"/>
  <c r="C130" i="2"/>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D56" i="2"/>
  <c r="H60" i="1"/>
  <c r="E56" i="2"/>
  <c r="I60" i="1"/>
  <c r="F56" i="2"/>
  <c r="F79" i="1"/>
  <c r="C57" i="2"/>
  <c r="F94" i="1"/>
  <c r="C58" i="2"/>
  <c r="F111" i="1"/>
  <c r="G111" i="1"/>
  <c r="H79" i="1"/>
  <c r="H94" i="1"/>
  <c r="E58" i="2"/>
  <c r="H111" i="1"/>
  <c r="I111" i="1"/>
  <c r="J111" i="1"/>
  <c r="F121" i="1"/>
  <c r="F136" i="1"/>
  <c r="G121" i="1"/>
  <c r="G136" i="1"/>
  <c r="H121" i="1"/>
  <c r="H136" i="1"/>
  <c r="I121" i="1"/>
  <c r="I136" i="1"/>
  <c r="J121" i="1"/>
  <c r="J136" i="1"/>
  <c r="F147" i="1"/>
  <c r="C85" i="2"/>
  <c r="G147" i="1"/>
  <c r="D85" i="2"/>
  <c r="H147" i="1"/>
  <c r="H170" i="1"/>
  <c r="I147" i="1"/>
  <c r="I170" i="1"/>
  <c r="L251" i="1"/>
  <c r="C113" i="2"/>
  <c r="L333" i="1"/>
  <c r="E113" i="2"/>
  <c r="L255" i="1"/>
  <c r="L269" i="1"/>
  <c r="L270" i="1"/>
  <c r="C143" i="2"/>
  <c r="L350" i="1"/>
  <c r="E142" i="2"/>
  <c r="L351" i="1"/>
  <c r="E143" i="2"/>
  <c r="I666" i="1"/>
  <c r="I671" i="1"/>
  <c r="I673" i="1" s="1"/>
  <c r="C7" i="10" s="1"/>
  <c r="I670" i="1"/>
  <c r="C42" i="10"/>
  <c r="L375" i="1"/>
  <c r="L376" i="1"/>
  <c r="L377" i="1"/>
  <c r="L378" i="1"/>
  <c r="L379" i="1"/>
  <c r="L380" i="1"/>
  <c r="L381" i="1"/>
  <c r="B2" i="10"/>
  <c r="L345" i="1"/>
  <c r="E134" i="2"/>
  <c r="L346" i="1"/>
  <c r="E135" i="2"/>
  <c r="L347" i="1"/>
  <c r="E137" i="2"/>
  <c r="L348" i="1"/>
  <c r="K352" i="1"/>
  <c r="L522" i="1"/>
  <c r="F550" i="1"/>
  <c r="L523" i="1"/>
  <c r="F551" i="1"/>
  <c r="L524" i="1"/>
  <c r="F552" i="1"/>
  <c r="L527" i="1"/>
  <c r="G550" i="1"/>
  <c r="L528" i="1"/>
  <c r="G551" i="1"/>
  <c r="L529" i="1"/>
  <c r="G552" i="1"/>
  <c r="L532" i="1"/>
  <c r="H550" i="1"/>
  <c r="L533" i="1"/>
  <c r="H551" i="1"/>
  <c r="L534" i="1"/>
  <c r="H552" i="1"/>
  <c r="L537" i="1"/>
  <c r="I550" i="1"/>
  <c r="I553" i="1" s="1"/>
  <c r="L538" i="1"/>
  <c r="I551" i="1" s="1"/>
  <c r="L539" i="1"/>
  <c r="I552" i="1"/>
  <c r="L542" i="1"/>
  <c r="J550" i="1" s="1"/>
  <c r="L543" i="1"/>
  <c r="J551" i="1" s="1"/>
  <c r="L544" i="1"/>
  <c r="J552" i="1" s="1"/>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c r="F134" i="2"/>
  <c r="K420" i="1"/>
  <c r="K428" i="1"/>
  <c r="K434" i="1"/>
  <c r="L264" i="1"/>
  <c r="C135" i="2"/>
  <c r="L265" i="1"/>
  <c r="C136" i="2"/>
  <c r="L266" i="1"/>
  <c r="C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G625"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H546" i="1" s="1"/>
  <c r="I540" i="1"/>
  <c r="J540" i="1"/>
  <c r="K540" i="1"/>
  <c r="F545" i="1"/>
  <c r="G545" i="1"/>
  <c r="H545" i="1"/>
  <c r="I545" i="1"/>
  <c r="I546" i="1" s="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H631" i="1"/>
  <c r="H632" i="1"/>
  <c r="H637" i="1"/>
  <c r="H638" i="1"/>
  <c r="H639" i="1"/>
  <c r="G644" i="1"/>
  <c r="G645" i="1"/>
  <c r="G651" i="1"/>
  <c r="G653" i="1"/>
  <c r="H653" i="1"/>
  <c r="G654" i="1"/>
  <c r="H654" i="1"/>
  <c r="G655" i="1"/>
  <c r="H655" i="1"/>
  <c r="H656" i="1"/>
  <c r="G62" i="2"/>
  <c r="H140" i="1"/>
  <c r="G663" i="1"/>
  <c r="E123" i="2"/>
  <c r="K339" i="1"/>
  <c r="K353" i="1"/>
  <c r="F85" i="2"/>
  <c r="F91" i="2"/>
  <c r="H193" i="1"/>
  <c r="E125" i="2"/>
  <c r="J112" i="1"/>
  <c r="F409" i="1"/>
  <c r="H644" i="1"/>
  <c r="J644" i="1"/>
  <c r="I409" i="1"/>
  <c r="J140" i="1"/>
  <c r="C125" i="2"/>
  <c r="I112" i="1"/>
  <c r="E121" i="2"/>
  <c r="A40" i="12"/>
  <c r="J572" i="1"/>
  <c r="C110" i="2"/>
  <c r="E120" i="2"/>
  <c r="E85" i="2"/>
  <c r="E91" i="2"/>
  <c r="H409" i="1"/>
  <c r="H645" i="1"/>
  <c r="J645" i="1"/>
  <c r="H462" i="1"/>
  <c r="H642" i="1"/>
  <c r="J642" i="1"/>
  <c r="G553" i="1"/>
  <c r="L402" i="1"/>
  <c r="C139" i="2"/>
  <c r="C32" i="10"/>
  <c r="E114" i="2"/>
  <c r="G409" i="1"/>
  <c r="H646" i="1"/>
  <c r="G646" i="1"/>
  <c r="J656" i="1"/>
  <c r="J652" i="1"/>
  <c r="I370" i="1"/>
  <c r="H635" i="1"/>
  <c r="J635" i="1"/>
  <c r="G662" i="1"/>
  <c r="E119" i="2"/>
  <c r="E112" i="2"/>
  <c r="G339" i="1"/>
  <c r="G353" i="1"/>
  <c r="E110" i="2"/>
  <c r="A31" i="12"/>
  <c r="D18" i="13"/>
  <c r="C18" i="13"/>
  <c r="C91" i="2"/>
  <c r="D50" i="2"/>
  <c r="C119" i="2"/>
  <c r="C131" i="2"/>
  <c r="H663" i="1"/>
  <c r="C12" i="10"/>
  <c r="D15" i="13"/>
  <c r="C15" i="13"/>
  <c r="E13" i="13"/>
  <c r="C13" i="13"/>
  <c r="J258" i="1"/>
  <c r="J272" i="1"/>
  <c r="D6" i="13"/>
  <c r="C6" i="13"/>
  <c r="C13" i="10"/>
  <c r="C11" i="10"/>
  <c r="F258" i="1"/>
  <c r="F272" i="1"/>
  <c r="L257" i="1"/>
  <c r="C112" i="2"/>
  <c r="C20" i="10"/>
  <c r="C121" i="2"/>
  <c r="C120" i="2"/>
  <c r="H112" i="1"/>
  <c r="H194" i="1"/>
  <c r="F170" i="1"/>
  <c r="F339" i="1"/>
  <c r="F353" i="1"/>
  <c r="L561" i="1"/>
  <c r="G462" i="1"/>
  <c r="H641" i="1"/>
  <c r="J641" i="1"/>
  <c r="E103" i="2"/>
  <c r="D18" i="2"/>
  <c r="H553" i="1"/>
  <c r="L310" i="1"/>
  <c r="F462" i="1"/>
  <c r="H640" i="1"/>
  <c r="J640" i="1"/>
  <c r="K606" i="1"/>
  <c r="G649" i="1"/>
  <c r="H258" i="1"/>
  <c r="H272" i="1"/>
  <c r="I52" i="1"/>
  <c r="H621" i="1"/>
  <c r="J621" i="1"/>
  <c r="D31" i="2"/>
  <c r="E31" i="2"/>
  <c r="C18" i="2"/>
  <c r="F18" i="2"/>
  <c r="L271" i="1"/>
  <c r="F662" i="1"/>
  <c r="F572" i="1"/>
  <c r="L420" i="1"/>
  <c r="D91" i="2"/>
  <c r="D81" i="2"/>
  <c r="E78" i="2"/>
  <c r="E81" i="2"/>
  <c r="G546" i="1"/>
  <c r="F112" i="1"/>
  <c r="L394" i="1"/>
  <c r="C138" i="2"/>
  <c r="L363" i="1"/>
  <c r="B28" i="16"/>
  <c r="L329" i="1"/>
  <c r="E122" i="2"/>
  <c r="L291" i="1"/>
  <c r="L615" i="1"/>
  <c r="K599" i="1"/>
  <c r="G648" i="1"/>
  <c r="K572" i="1"/>
  <c r="L571" i="1"/>
  <c r="H572" i="1"/>
  <c r="L566" i="1"/>
  <c r="I572" i="1"/>
  <c r="K546" i="1"/>
  <c r="H52" i="1"/>
  <c r="H620" i="1"/>
  <c r="J620" i="1"/>
  <c r="C114" i="2"/>
  <c r="G112" i="1"/>
  <c r="B10" i="16"/>
  <c r="E118" i="2"/>
  <c r="L248" i="1"/>
  <c r="L212" i="1"/>
  <c r="H648" i="1"/>
  <c r="G626" i="1"/>
  <c r="L530" i="1"/>
  <c r="G164" i="2"/>
  <c r="G161" i="2"/>
  <c r="G157" i="2"/>
  <c r="G156" i="2"/>
  <c r="G81" i="2"/>
  <c r="C78" i="2"/>
  <c r="F78" i="2"/>
  <c r="F81" i="2"/>
  <c r="C70" i="2"/>
  <c r="D62" i="2"/>
  <c r="D63" i="2"/>
  <c r="E57" i="2"/>
  <c r="E62" i="2"/>
  <c r="E63" i="2"/>
  <c r="C26" i="10"/>
  <c r="C18" i="10"/>
  <c r="J546" i="1"/>
  <c r="I477" i="1"/>
  <c r="H626" i="1"/>
  <c r="J477" i="1"/>
  <c r="H627" i="1"/>
  <c r="L434" i="1"/>
  <c r="L428" i="1"/>
  <c r="I258" i="1"/>
  <c r="I272" i="1"/>
  <c r="K258" i="1"/>
  <c r="K272" i="1"/>
  <c r="G193" i="1"/>
  <c r="B13" i="16"/>
  <c r="F193" i="1"/>
  <c r="F553" i="1"/>
  <c r="L352" i="1"/>
  <c r="F130" i="2"/>
  <c r="F144" i="2" s="1"/>
  <c r="F145" i="2" s="1"/>
  <c r="G170" i="1"/>
  <c r="B12" i="16"/>
  <c r="J618" i="1"/>
  <c r="I25" i="13"/>
  <c r="L535" i="1"/>
  <c r="K501" i="1"/>
  <c r="I461" i="1"/>
  <c r="I453" i="1"/>
  <c r="I447" i="1"/>
  <c r="G643" i="1"/>
  <c r="H339" i="1"/>
  <c r="H353" i="1"/>
  <c r="C123" i="2"/>
  <c r="E109" i="2"/>
  <c r="C56" i="2"/>
  <c r="F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E50" i="2"/>
  <c r="C50" i="2"/>
  <c r="F31" i="2"/>
  <c r="C31" i="2"/>
  <c r="E18" i="2"/>
  <c r="E144" i="2"/>
  <c r="F50" i="2"/>
  <c r="C24" i="10"/>
  <c r="H31" i="13"/>
  <c r="H33" i="13"/>
  <c r="I339" i="1"/>
  <c r="I353" i="1"/>
  <c r="J651" i="1"/>
  <c r="L408" i="1"/>
  <c r="C140" i="2"/>
  <c r="I193" i="1"/>
  <c r="J655" i="1"/>
  <c r="J654" i="1"/>
  <c r="G21" i="2"/>
  <c r="G31" i="2"/>
  <c r="J32" i="1"/>
  <c r="J435" i="1"/>
  <c r="F435" i="1"/>
  <c r="K435" i="1"/>
  <c r="G134" i="2"/>
  <c r="G144" i="2"/>
  <c r="G145" i="2"/>
  <c r="G31" i="13"/>
  <c r="G140" i="1"/>
  <c r="B11" i="16"/>
  <c r="F140" i="1"/>
  <c r="G63" i="2"/>
  <c r="J619" i="1"/>
  <c r="G42" i="2"/>
  <c r="G50" i="2"/>
  <c r="J51" i="1"/>
  <c r="G16" i="2"/>
  <c r="G18" i="2"/>
  <c r="J19" i="1"/>
  <c r="G622" i="1"/>
  <c r="F546" i="1"/>
  <c r="H435" i="1"/>
  <c r="D103" i="2"/>
  <c r="I140" i="1"/>
  <c r="A22" i="12"/>
  <c r="J653" i="1"/>
  <c r="G572" i="1"/>
  <c r="I435" i="1"/>
  <c r="G435" i="1"/>
  <c r="I664" i="1"/>
  <c r="J194" i="1"/>
  <c r="G647" i="1"/>
  <c r="J646" i="1"/>
  <c r="L572" i="1"/>
  <c r="C141" i="2"/>
  <c r="C144" i="2"/>
  <c r="B17" i="16"/>
  <c r="B19" i="16"/>
  <c r="G473" i="1"/>
  <c r="G630" i="1"/>
  <c r="H469" i="1"/>
  <c r="I663" i="1"/>
  <c r="E128" i="2"/>
  <c r="E115" i="2"/>
  <c r="G24" i="14"/>
  <c r="H24" i="14"/>
  <c r="I24" i="14"/>
  <c r="H649" i="1"/>
  <c r="J649" i="1"/>
  <c r="F51" i="2"/>
  <c r="D51" i="2"/>
  <c r="H661" i="1"/>
  <c r="H665" i="1"/>
  <c r="H668" i="1"/>
  <c r="F661" i="1"/>
  <c r="F665" i="1"/>
  <c r="F668" i="1"/>
  <c r="G36" i="14"/>
  <c r="H36" i="14"/>
  <c r="I36" i="14"/>
  <c r="F194" i="1"/>
  <c r="C81" i="2"/>
  <c r="E51" i="2"/>
  <c r="E104" i="2"/>
  <c r="C36" i="10"/>
  <c r="L435" i="1"/>
  <c r="G639" i="1"/>
  <c r="J639" i="1"/>
  <c r="I662" i="1"/>
  <c r="G104" i="2"/>
  <c r="L339" i="1"/>
  <c r="L353" i="1"/>
  <c r="I194" i="1"/>
  <c r="G631" i="1"/>
  <c r="J631" i="1"/>
  <c r="G636" i="1"/>
  <c r="G51" i="2"/>
  <c r="D104" i="2"/>
  <c r="L409" i="1"/>
  <c r="C27" i="10"/>
  <c r="C28" i="10"/>
  <c r="D23" i="10"/>
  <c r="G4" i="14"/>
  <c r="H4" i="14"/>
  <c r="I4" i="14"/>
  <c r="J626" i="1"/>
  <c r="F104" i="2"/>
  <c r="B14" i="16"/>
  <c r="E33" i="13"/>
  <c r="D35" i="13"/>
  <c r="J648" i="1"/>
  <c r="L258" i="1"/>
  <c r="L272" i="1"/>
  <c r="C115" i="2"/>
  <c r="C63" i="2"/>
  <c r="C39" i="10"/>
  <c r="G33" i="13"/>
  <c r="C128" i="2"/>
  <c r="D31" i="13"/>
  <c r="C31" i="13"/>
  <c r="I462" i="1"/>
  <c r="H643" i="1"/>
  <c r="J643" i="1"/>
  <c r="G661" i="1"/>
  <c r="G665" i="1"/>
  <c r="G673" i="1"/>
  <c r="C5" i="10"/>
  <c r="C25" i="13"/>
  <c r="I33" i="13"/>
  <c r="C51" i="2"/>
  <c r="G632" i="1"/>
  <c r="J632" i="1"/>
  <c r="G194" i="1"/>
  <c r="G627" i="1"/>
  <c r="J627" i="1"/>
  <c r="J52" i="1"/>
  <c r="H622" i="1"/>
  <c r="J622" i="1"/>
  <c r="C38" i="10"/>
  <c r="B22" i="16"/>
  <c r="G628" i="1"/>
  <c r="F469" i="1"/>
  <c r="G475" i="1"/>
  <c r="H636" i="1"/>
  <c r="J636" i="1"/>
  <c r="G634" i="1"/>
  <c r="H473" i="1"/>
  <c r="G629" i="1"/>
  <c r="G469" i="1"/>
  <c r="H471" i="1"/>
  <c r="H630" i="1"/>
  <c r="J630" i="1"/>
  <c r="G633" i="1"/>
  <c r="F473" i="1"/>
  <c r="E145" i="2"/>
  <c r="H673" i="1"/>
  <c r="C6" i="10"/>
  <c r="F673" i="1"/>
  <c r="C4" i="10" s="1"/>
  <c r="C104" i="2"/>
  <c r="I661" i="1"/>
  <c r="I665" i="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F471" i="1"/>
  <c r="H628" i="1"/>
  <c r="J628" i="1"/>
  <c r="H475" i="1"/>
  <c r="H477" i="1"/>
  <c r="H625" i="1"/>
  <c r="J625" i="1"/>
  <c r="H634" i="1"/>
  <c r="J634" i="1"/>
  <c r="G471" i="1"/>
  <c r="G477" i="1"/>
  <c r="H629" i="1"/>
  <c r="J629" i="1"/>
  <c r="H633" i="1"/>
  <c r="J633" i="1"/>
  <c r="F475" i="1"/>
  <c r="I668" i="1"/>
  <c r="D28" i="10"/>
  <c r="D37" i="10"/>
  <c r="D36" i="10"/>
  <c r="D35" i="10"/>
  <c r="D40" i="10"/>
  <c r="D39" i="10"/>
  <c r="F477" i="1"/>
  <c r="H623" i="1"/>
  <c r="J623" i="1"/>
  <c r="H624" i="1"/>
  <c r="J624" i="1"/>
  <c r="B33" i="16"/>
  <c r="D41" i="10"/>
  <c r="H657" i="1"/>
  <c r="J553" i="1" l="1"/>
  <c r="K552" i="1"/>
  <c r="L545" i="1"/>
  <c r="L546" i="1" s="1"/>
  <c r="K551" i="1"/>
  <c r="K550" i="1"/>
  <c r="K553"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<sst xmlns="http://schemas.openxmlformats.org/spreadsheetml/2006/main" count="5549" uniqueCount="1642">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</sst>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5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1171</v>
      </c>
      <c r="B2" s="21">
        <v>285</v>
      </c>
      <c r="C2" s="21">
        <v>285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11779+600</f>
        <v>12379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f>-20875+1956896</f>
        <v>1936021</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1483050+52362</f>
        <v>1535412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-21530+223326</f>
        <v>201796</v>
      </c>
      <c r="G13" s="18">
        <v>19230</v>
      </c>
      <c r="H13" s="18">
        <v>1402490</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1801</v>
      </c>
      <c r="G14" s="18"/>
      <c r="H14" s="18">
        <v>216976</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34755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114</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10000</v>
      </c>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3697523</v>
      </c>
      <c r="G19" s="41">
        <f>SUM(G9:G18)</f>
        <v>53985</v>
      </c>
      <c r="H19" s="41">
        <f>SUM(H9:H18)</f>
        <v>1619466</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52728</v>
      </c>
      <c r="H22" s="18">
        <f>1483050-366</f>
        <v>1482684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100+2201944</f>
        <v>2202044</v>
      </c>
      <c r="G24" s="18">
        <v>1257</v>
      </c>
      <c r="H24" s="18">
        <v>5937</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550969+107-25+13936</f>
        <v>564987</v>
      </c>
      <c r="G28" s="18"/>
      <c r="H28" s="18">
        <v>3180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205415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308520</v>
      </c>
      <c r="G30" s="18"/>
      <c r="H30" s="18">
        <v>127665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401557</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3682523</v>
      </c>
      <c r="G32" s="41">
        <f>SUM(G22:G31)</f>
        <v>53985</v>
      </c>
      <c r="H32" s="41">
        <f>SUM(H22:H31)</f>
        <v>1619466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0</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15000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15000</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3697523</v>
      </c>
      <c r="G52" s="41">
        <f>G51+G32</f>
        <v>53985</v>
      </c>
      <c r="H52" s="41">
        <f>H51+H32</f>
        <v>1619466</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20658984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20658984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2082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3900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49858</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8816</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685538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750194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236059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15270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1230+24435</f>
        <v>25665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70415</v>
      </c>
      <c r="G110" s="18"/>
      <c r="H110" s="18">
        <v>64941</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111350</v>
      </c>
      <c r="G111" s="41">
        <f>SUM(G96:G110)</f>
        <v>236059</v>
      </c>
      <c r="H111" s="41">
        <f>SUM(H96:H110)</f>
        <v>64941</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21520528</v>
      </c>
      <c r="G112" s="41">
        <f>G60+G111</f>
        <v>236059</v>
      </c>
      <c r="H112" s="41">
        <f>H60+H79+H94+H111</f>
        <v>64941</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6732670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4475666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11208336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693263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71996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-692+786612</f>
        <v>785920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692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10703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1551871</v>
      </c>
      <c r="G136" s="41">
        <f>SUM(G123:G135)</f>
        <v>10703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12760207</v>
      </c>
      <c r="G140" s="41">
        <f>G121+SUM(G136:G137)</f>
        <v>10703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25572</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25572</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442707</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1129229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773776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151656</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255940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686816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695774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606158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156207</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606158</v>
      </c>
      <c r="G163" s="41">
        <f>SUM(G150:G162)</f>
        <v>686816</v>
      </c>
      <c r="H163" s="41">
        <f>SUM(H150:H162)</f>
        <v>3605289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631730</v>
      </c>
      <c r="G170" s="41">
        <f>G147+G163+SUM(G164:G169)</f>
        <v>686816</v>
      </c>
      <c r="H170" s="41">
        <f>H147+H163+SUM(H164:H169)</f>
        <v>3605289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56443</v>
      </c>
      <c r="H180" s="18">
        <v>150000</v>
      </c>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56443</v>
      </c>
      <c r="H184" s="41">
        <f>SUM(H180:H183)</f>
        <v>150000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56443</v>
      </c>
      <c r="H193" s="41">
        <f>+H184+SUM(H189:H192)</f>
        <v>150000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34912465</v>
      </c>
      <c r="G194" s="47">
        <f>G112+G140+G170+G193</f>
        <v>990021</v>
      </c>
      <c r="H194" s="47">
        <f>H112+H140+H170+H193</f>
        <v>3820230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3100078</v>
      </c>
      <c r="G198" s="18">
        <v>1610070</v>
      </c>
      <c r="H198" s="18">
        <v>39317</v>
      </c>
      <c r="I198" s="18">
        <v>135622</v>
      </c>
      <c r="J198" s="18">
        <v>79847</v>
      </c>
      <c r="K198" s="18"/>
      <c r="L198" s="19">
        <f>SUM(F198:K198)</f>
        <v>4964934</v>
      </c>
      <c r="M198" s="8"/>
      <c r="N198" s="266"/>
    </row>
    <row r="199" spans="1:14" s="3" customFormat="1" ht="12.2" customHeight="1" x14ac:dyDescent="0.15">
      <c r="A199" s="1" t="s">
        <v>439</v>
      </c>
      <c r="B199" s="2" t="s">
        <v>341</v>
      </c>
      <c r="C199" s="2" t="s">
        <v>291</v>
      </c>
      <c r="D199" s="2" t="s">
        <v>431</v>
      </c>
      <c r="E199" s="6">
        <v>1200</v>
      </c>
      <c r="F199" s="18">
        <v>1789151</v>
      </c>
      <c r="G199" s="18">
        <v>929221</v>
      </c>
      <c r="H199" s="18">
        <v>758901</v>
      </c>
      <c r="I199" s="18">
        <v>16414</v>
      </c>
      <c r="J199" s="18">
        <v>4353</v>
      </c>
      <c r="K199" s="18">
        <v>654</v>
      </c>
      <c r="L199" s="19">
        <f>SUM(F199:K199)</f>
        <v>3498694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767989</v>
      </c>
      <c r="G203" s="18">
        <v>398866</v>
      </c>
      <c r="H203" s="18">
        <v>37552</v>
      </c>
      <c r="I203" s="18">
        <v>13879</v>
      </c>
      <c r="J203" s="18">
        <v>2821</v>
      </c>
      <c r="K203" s="18"/>
      <c r="L203" s="19">
        <f t="shared" ref="L203:L209" si="0">SUM(F203:K203)</f>
        <v>1221107</v>
      </c>
      <c r="M203" s="8"/>
      <c r="N203" s="266"/>
    </row>
    <row r="204" spans="1:14" s="3" customFormat="1" ht="12.2" customHeight="1" x14ac:dyDescent="0.15">
      <c r="A204" s="1" t="s">
        <v>443</v>
      </c>
      <c r="B204" s="2" t="s">
        <v>341</v>
      </c>
      <c r="C204" s="2" t="s">
        <v>295</v>
      </c>
      <c r="D204" s="2" t="s">
        <v>431</v>
      </c>
      <c r="E204" s="6">
        <v>2200</v>
      </c>
      <c r="F204" s="18">
        <v>194382</v>
      </c>
      <c r="G204" s="18">
        <f>30678+121069</f>
        <v>151747</v>
      </c>
      <c r="H204" s="18">
        <v>61444</v>
      </c>
      <c r="I204" s="18">
        <v>108046</v>
      </c>
      <c r="J204" s="18">
        <v>179009</v>
      </c>
      <c r="K204" s="18"/>
      <c r="L204" s="19">
        <f t="shared" si="0"/>
        <v>694628</v>
      </c>
      <c r="M204" s="8"/>
      <c r="N204" s="266"/>
    </row>
    <row r="205" spans="1:14" s="3" customFormat="1" ht="12.2" customHeight="1" x14ac:dyDescent="0.15">
      <c r="A205" s="1" t="s">
        <v>444</v>
      </c>
      <c r="B205" s="2" t="s">
        <v>341</v>
      </c>
      <c r="C205" s="2" t="s">
        <v>296</v>
      </c>
      <c r="D205" s="2" t="s">
        <v>431</v>
      </c>
      <c r="E205" s="6">
        <v>2300</v>
      </c>
      <c r="F205" s="18">
        <v>199729</v>
      </c>
      <c r="G205" s="18">
        <v>103732</v>
      </c>
      <c r="H205" s="18">
        <v>52576</v>
      </c>
      <c r="I205" s="18">
        <v>17872</v>
      </c>
      <c r="J205" s="18"/>
      <c r="K205" s="18">
        <v>20436</v>
      </c>
      <c r="L205" s="19">
        <f t="shared" si="0"/>
        <v>394345</v>
      </c>
      <c r="M205" s="8"/>
      <c r="N205" s="266"/>
    </row>
    <row r="206" spans="1:14" s="3" customFormat="1" ht="12.2" customHeight="1" x14ac:dyDescent="0.15">
      <c r="A206" s="1" t="s">
        <v>445</v>
      </c>
      <c r="B206" s="2" t="s">
        <v>341</v>
      </c>
      <c r="C206" s="2" t="s">
        <v>297</v>
      </c>
      <c r="D206" s="2" t="s">
        <v>431</v>
      </c>
      <c r="E206" s="6">
        <v>2400</v>
      </c>
      <c r="F206" s="18">
        <v>500600</v>
      </c>
      <c r="G206" s="18">
        <v>259994</v>
      </c>
      <c r="H206" s="18">
        <v>9393</v>
      </c>
      <c r="I206" s="18">
        <v>4740</v>
      </c>
      <c r="J206" s="18">
        <v>0</v>
      </c>
      <c r="K206" s="18">
        <v>3057</v>
      </c>
      <c r="L206" s="19">
        <f t="shared" si="0"/>
        <v>777784</v>
      </c>
      <c r="M206" s="8"/>
      <c r="N206" s="266"/>
    </row>
    <row r="207" spans="1:14" s="3" customFormat="1" ht="12.2" customHeight="1" x14ac:dyDescent="0.15">
      <c r="A207" s="1" t="s">
        <v>446</v>
      </c>
      <c r="B207" s="2" t="s">
        <v>341</v>
      </c>
      <c r="C207" s="2" t="s">
        <v>298</v>
      </c>
      <c r="D207" s="2" t="s">
        <v>431</v>
      </c>
      <c r="E207" s="6">
        <v>2500</v>
      </c>
      <c r="F207" s="18">
        <v>126245</v>
      </c>
      <c r="G207" s="18">
        <v>65567</v>
      </c>
      <c r="H207" s="18">
        <v>6462</v>
      </c>
      <c r="I207" s="18">
        <v>546</v>
      </c>
      <c r="J207" s="18">
        <v>681</v>
      </c>
      <c r="K207" s="18">
        <v>0</v>
      </c>
      <c r="L207" s="19">
        <f t="shared" si="0"/>
        <v>199501</v>
      </c>
      <c r="M207" s="8"/>
      <c r="N207" s="266"/>
    </row>
    <row r="208" spans="1:14" s="3" customFormat="1" ht="12.2" customHeight="1" x14ac:dyDescent="0.15">
      <c r="A208" s="1" t="s">
        <v>447</v>
      </c>
      <c r="B208" s="2" t="s">
        <v>341</v>
      </c>
      <c r="C208" s="2" t="s">
        <v>299</v>
      </c>
      <c r="D208" s="2" t="s">
        <v>431</v>
      </c>
      <c r="E208" s="6">
        <v>2600</v>
      </c>
      <c r="F208" s="18">
        <v>283456</v>
      </c>
      <c r="G208" s="18">
        <v>147217</v>
      </c>
      <c r="H208" s="18">
        <v>792966</v>
      </c>
      <c r="I208" s="18">
        <v>264162</v>
      </c>
      <c r="J208" s="18">
        <v>2601</v>
      </c>
      <c r="K208" s="18"/>
      <c r="L208" s="19">
        <f t="shared" si="0"/>
        <v>1490402</v>
      </c>
      <c r="M208" s="8"/>
      <c r="N208" s="266"/>
    </row>
    <row r="209" spans="1:14" s="3" customFormat="1" ht="12.2" customHeight="1" x14ac:dyDescent="0.15">
      <c r="A209" s="1" t="s">
        <v>448</v>
      </c>
      <c r="B209" s="2" t="s">
        <v>341</v>
      </c>
      <c r="C209" s="2" t="s">
        <v>300</v>
      </c>
      <c r="D209" s="2" t="s">
        <v>431</v>
      </c>
      <c r="E209" s="6">
        <v>2700</v>
      </c>
      <c r="F209" s="18">
        <v>0</v>
      </c>
      <c r="G209" s="18">
        <v>0</v>
      </c>
      <c r="H209" s="18">
        <v>282561</v>
      </c>
      <c r="I209" s="18"/>
      <c r="J209" s="18"/>
      <c r="K209" s="18"/>
      <c r="L209" s="19">
        <f t="shared" si="0"/>
        <v>282561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6961630</v>
      </c>
      <c r="G212" s="41">
        <f t="shared" si="1"/>
        <v>3666414</v>
      </c>
      <c r="H212" s="41">
        <f t="shared" si="1"/>
        <v>2041172</v>
      </c>
      <c r="I212" s="41">
        <f t="shared" si="1"/>
        <v>561281</v>
      </c>
      <c r="J212" s="41">
        <f t="shared" si="1"/>
        <v>269312</v>
      </c>
      <c r="K212" s="41">
        <f t="shared" si="1"/>
        <v>24147</v>
      </c>
      <c r="L212" s="41">
        <f t="shared" si="1"/>
        <v>13523956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1899699</v>
      </c>
      <c r="G216" s="18">
        <v>986636</v>
      </c>
      <c r="H216" s="18">
        <v>15714</v>
      </c>
      <c r="I216" s="18">
        <v>34834</v>
      </c>
      <c r="J216" s="18">
        <v>5534</v>
      </c>
      <c r="K216" s="18"/>
      <c r="L216" s="19">
        <f>SUM(F216:K216)</f>
        <v>2942417</v>
      </c>
      <c r="M216" s="8"/>
      <c r="N216" s="266"/>
    </row>
    <row r="217" spans="1:14" s="3" customFormat="1" ht="12.2" customHeight="1" x14ac:dyDescent="0.15">
      <c r="A217" s="1" t="s">
        <v>439</v>
      </c>
      <c r="B217" s="2" t="s">
        <v>346</v>
      </c>
      <c r="C217" s="2" t="s">
        <v>291</v>
      </c>
      <c r="D217" s="2" t="s">
        <v>431</v>
      </c>
      <c r="E217" s="6">
        <v>1200</v>
      </c>
      <c r="F217" s="18">
        <v>825774</v>
      </c>
      <c r="G217" s="18">
        <v>428877</v>
      </c>
      <c r="H217" s="18">
        <v>581753</v>
      </c>
      <c r="I217" s="18">
        <v>3613</v>
      </c>
      <c r="J217" s="18">
        <v>2465</v>
      </c>
      <c r="K217" s="18">
        <v>218</v>
      </c>
      <c r="L217" s="19">
        <f>SUM(F217:K217)</f>
        <v>1842700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25350</v>
      </c>
      <c r="G219" s="18">
        <v>3179</v>
      </c>
      <c r="H219" s="18">
        <v>8598</v>
      </c>
      <c r="I219" s="18">
        <v>4632</v>
      </c>
      <c r="J219" s="18"/>
      <c r="K219" s="18">
        <v>0</v>
      </c>
      <c r="L219" s="19">
        <f>SUM(F219:K219)</f>
        <v>41759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183857</v>
      </c>
      <c r="G221" s="18">
        <v>95489</v>
      </c>
      <c r="H221" s="18">
        <v>35231</v>
      </c>
      <c r="I221" s="18">
        <v>3091</v>
      </c>
      <c r="J221" s="18">
        <v>721</v>
      </c>
      <c r="K221" s="18">
        <v>0</v>
      </c>
      <c r="L221" s="19">
        <f t="shared" ref="L221:L227" si="2">SUM(F221:K221)</f>
        <v>318389</v>
      </c>
      <c r="M221" s="8"/>
      <c r="N221" s="266"/>
    </row>
    <row r="222" spans="1:14" s="3" customFormat="1" ht="12.2" customHeight="1" x14ac:dyDescent="0.15">
      <c r="A222" s="1" t="s">
        <v>443</v>
      </c>
      <c r="B222" s="2" t="s">
        <v>346</v>
      </c>
      <c r="C222" s="2" t="s">
        <v>295</v>
      </c>
      <c r="D222" s="2" t="s">
        <v>431</v>
      </c>
      <c r="E222" s="6">
        <v>2200</v>
      </c>
      <c r="F222" s="18">
        <v>97830</v>
      </c>
      <c r="G222" s="18">
        <f>17530+54349</f>
        <v>71879</v>
      </c>
      <c r="H222" s="18">
        <v>38631</v>
      </c>
      <c r="I222" s="18">
        <v>65349</v>
      </c>
      <c r="J222" s="18">
        <v>119756</v>
      </c>
      <c r="K222" s="18">
        <v>0</v>
      </c>
      <c r="L222" s="19">
        <f t="shared" si="2"/>
        <v>393445</v>
      </c>
      <c r="M222" s="8"/>
      <c r="N222" s="266"/>
    </row>
    <row r="223" spans="1:14" s="3" customFormat="1" ht="12.2" customHeight="1" x14ac:dyDescent="0.15">
      <c r="A223" s="1" t="s">
        <v>444</v>
      </c>
      <c r="B223" s="2" t="s">
        <v>346</v>
      </c>
      <c r="C223" s="2" t="s">
        <v>296</v>
      </c>
      <c r="D223" s="2" t="s">
        <v>431</v>
      </c>
      <c r="E223" s="6">
        <v>2300</v>
      </c>
      <c r="F223" s="18">
        <v>111476</v>
      </c>
      <c r="G223" s="18">
        <v>57897</v>
      </c>
      <c r="H223" s="18">
        <v>28674</v>
      </c>
      <c r="I223" s="18">
        <v>10212</v>
      </c>
      <c r="J223" s="18">
        <v>11678</v>
      </c>
      <c r="K223" s="18">
        <v>0</v>
      </c>
      <c r="L223" s="19">
        <f t="shared" si="2"/>
        <v>219937</v>
      </c>
      <c r="M223" s="8"/>
      <c r="N223" s="266"/>
    </row>
    <row r="224" spans="1:14" s="3" customFormat="1" ht="12.2" customHeight="1" x14ac:dyDescent="0.15">
      <c r="A224" s="1" t="s">
        <v>445</v>
      </c>
      <c r="B224" s="2" t="s">
        <v>346</v>
      </c>
      <c r="C224" s="2" t="s">
        <v>297</v>
      </c>
      <c r="D224" s="2" t="s">
        <v>431</v>
      </c>
      <c r="E224" s="6">
        <v>2400</v>
      </c>
      <c r="F224" s="18">
        <v>291227</v>
      </c>
      <c r="G224" s="18">
        <v>151253</v>
      </c>
      <c r="H224" s="18">
        <v>1456</v>
      </c>
      <c r="I224" s="18">
        <v>2722</v>
      </c>
      <c r="J224" s="18">
        <v>0</v>
      </c>
      <c r="K224" s="18">
        <v>1479</v>
      </c>
      <c r="L224" s="19">
        <f t="shared" si="2"/>
        <v>448137</v>
      </c>
      <c r="M224" s="8"/>
      <c r="N224" s="266"/>
    </row>
    <row r="225" spans="1:14" s="3" customFormat="1" ht="12.2" customHeight="1" x14ac:dyDescent="0.15">
      <c r="A225" s="1" t="s">
        <v>446</v>
      </c>
      <c r="B225" s="2" t="s">
        <v>346</v>
      </c>
      <c r="C225" s="2" t="s">
        <v>298</v>
      </c>
      <c r="D225" s="2" t="s">
        <v>431</v>
      </c>
      <c r="E225" s="6">
        <v>2500</v>
      </c>
      <c r="F225" s="18">
        <v>72138</v>
      </c>
      <c r="G225" s="18">
        <v>37466</v>
      </c>
      <c r="H225" s="18">
        <v>3692</v>
      </c>
      <c r="I225" s="18">
        <v>312</v>
      </c>
      <c r="J225" s="18">
        <v>389</v>
      </c>
      <c r="K225" s="18">
        <v>0</v>
      </c>
      <c r="L225" s="19">
        <f t="shared" si="2"/>
        <v>113997</v>
      </c>
      <c r="M225" s="8"/>
      <c r="N225" s="266"/>
    </row>
    <row r="226" spans="1:14" s="3" customFormat="1" ht="12.2" customHeight="1" x14ac:dyDescent="0.15">
      <c r="A226" s="1" t="s">
        <v>447</v>
      </c>
      <c r="B226" s="2" t="s">
        <v>346</v>
      </c>
      <c r="C226" s="2" t="s">
        <v>299</v>
      </c>
      <c r="D226" s="2" t="s">
        <v>431</v>
      </c>
      <c r="E226" s="6">
        <v>2600</v>
      </c>
      <c r="F226" s="18">
        <v>184282</v>
      </c>
      <c r="G226" s="18">
        <v>95709</v>
      </c>
      <c r="H226" s="18">
        <v>144933</v>
      </c>
      <c r="I226" s="18">
        <v>243333</v>
      </c>
      <c r="J226" s="18">
        <v>1139</v>
      </c>
      <c r="K226" s="18">
        <v>0</v>
      </c>
      <c r="L226" s="19">
        <f t="shared" si="2"/>
        <v>669396</v>
      </c>
      <c r="M226" s="8"/>
      <c r="N226" s="266"/>
    </row>
    <row r="227" spans="1:14" s="3" customFormat="1" ht="12.2" customHeight="1" x14ac:dyDescent="0.15">
      <c r="A227" s="1" t="s">
        <v>448</v>
      </c>
      <c r="B227" s="2" t="s">
        <v>346</v>
      </c>
      <c r="C227" s="2" t="s">
        <v>300</v>
      </c>
      <c r="D227" s="2" t="s">
        <v>431</v>
      </c>
      <c r="E227" s="6">
        <v>2700</v>
      </c>
      <c r="F227" s="18">
        <v>0</v>
      </c>
      <c r="G227" s="18">
        <v>0</v>
      </c>
      <c r="H227" s="18">
        <v>163983</v>
      </c>
      <c r="I227" s="18">
        <v>0</v>
      </c>
      <c r="J227" s="18">
        <v>0</v>
      </c>
      <c r="K227" s="18">
        <v>0</v>
      </c>
      <c r="L227" s="19">
        <f t="shared" si="2"/>
        <v>163983</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3691633</v>
      </c>
      <c r="G230" s="41">
        <f>SUM(G216:G229)</f>
        <v>1928385</v>
      </c>
      <c r="H230" s="41">
        <f>SUM(H216:H229)</f>
        <v>1022665</v>
      </c>
      <c r="I230" s="41">
        <f>SUM(I216:I229)</f>
        <v>368098</v>
      </c>
      <c r="J230" s="41">
        <f>SUM(J216:J229)</f>
        <v>141682</v>
      </c>
      <c r="K230" s="41">
        <f t="shared" si="3"/>
        <v>1697</v>
      </c>
      <c r="L230" s="41">
        <f t="shared" si="3"/>
        <v>7154160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2407166</v>
      </c>
      <c r="G234" s="18">
        <v>1250196</v>
      </c>
      <c r="H234" s="18">
        <v>24800</v>
      </c>
      <c r="I234" s="18">
        <v>94707</v>
      </c>
      <c r="J234" s="18">
        <v>48065</v>
      </c>
      <c r="K234" s="18">
        <v>1243</v>
      </c>
      <c r="L234" s="19">
        <f>SUM(F234:K234)</f>
        <v>3826177</v>
      </c>
      <c r="M234" s="8"/>
      <c r="N234" s="266"/>
    </row>
    <row r="235" spans="1:14" s="3" customFormat="1" ht="12.2" customHeight="1" x14ac:dyDescent="0.15">
      <c r="A235" s="1" t="s">
        <v>439</v>
      </c>
      <c r="B235" s="2" t="s">
        <v>350</v>
      </c>
      <c r="C235" s="2" t="s">
        <v>291</v>
      </c>
      <c r="D235" s="2" t="s">
        <v>431</v>
      </c>
      <c r="E235" s="6">
        <v>1200</v>
      </c>
      <c r="F235" s="18">
        <v>743210</v>
      </c>
      <c r="G235" s="18">
        <v>385997</v>
      </c>
      <c r="H235" s="18">
        <v>577596</v>
      </c>
      <c r="I235" s="18">
        <v>4836</v>
      </c>
      <c r="J235" s="18">
        <v>1360</v>
      </c>
      <c r="K235" s="18">
        <v>218</v>
      </c>
      <c r="L235" s="19">
        <f>SUM(F235:K235)</f>
        <v>1713217</v>
      </c>
      <c r="M235" s="8"/>
      <c r="N235" s="266"/>
    </row>
    <row r="236" spans="1:14" s="3" customFormat="1" ht="12.2" customHeight="1" x14ac:dyDescent="0.15">
      <c r="A236" s="1" t="s">
        <v>440</v>
      </c>
      <c r="B236" s="2" t="s">
        <v>350</v>
      </c>
      <c r="C236" s="2" t="s">
        <v>292</v>
      </c>
      <c r="D236" s="2" t="s">
        <v>431</v>
      </c>
      <c r="E236" s="6">
        <v>1300</v>
      </c>
      <c r="F236" s="18">
        <v>712188</v>
      </c>
      <c r="G236" s="18">
        <v>369885</v>
      </c>
      <c r="H236" s="18">
        <v>70670</v>
      </c>
      <c r="I236" s="18">
        <v>37202</v>
      </c>
      <c r="J236" s="18">
        <v>1717</v>
      </c>
      <c r="K236" s="18"/>
      <c r="L236" s="19">
        <f>SUM(F236:K236)</f>
        <v>1191662</v>
      </c>
      <c r="M236" s="8"/>
      <c r="N236" s="266"/>
    </row>
    <row r="237" spans="1:14" s="3" customFormat="1" ht="12.2" customHeight="1" x14ac:dyDescent="0.15">
      <c r="A237" s="1" t="s">
        <v>441</v>
      </c>
      <c r="B237" s="2" t="s">
        <v>350</v>
      </c>
      <c r="C237" s="2" t="s">
        <v>293</v>
      </c>
      <c r="D237" s="2" t="s">
        <v>431</v>
      </c>
      <c r="E237" s="6">
        <v>1400</v>
      </c>
      <c r="F237" s="18">
        <v>149467</v>
      </c>
      <c r="G237" s="18">
        <v>18746</v>
      </c>
      <c r="H237" s="18">
        <v>92655</v>
      </c>
      <c r="I237" s="18">
        <v>22137</v>
      </c>
      <c r="J237" s="18"/>
      <c r="K237" s="18"/>
      <c r="L237" s="19">
        <f>SUM(F237:K237)</f>
        <v>283005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375167</v>
      </c>
      <c r="G239" s="18">
        <v>194848</v>
      </c>
      <c r="H239" s="18">
        <v>12796</v>
      </c>
      <c r="I239" s="18">
        <v>5447</v>
      </c>
      <c r="J239" s="18"/>
      <c r="K239" s="18"/>
      <c r="L239" s="19">
        <f t="shared" ref="L239:L245" si="4">SUM(F239:K239)</f>
        <v>588258</v>
      </c>
      <c r="M239" s="8"/>
      <c r="N239" s="266"/>
    </row>
    <row r="240" spans="1:14" s="3" customFormat="1" ht="12.2" customHeight="1" x14ac:dyDescent="0.15">
      <c r="A240" s="1" t="s">
        <v>443</v>
      </c>
      <c r="B240" s="2" t="s">
        <v>350</v>
      </c>
      <c r="C240" s="2" t="s">
        <v>295</v>
      </c>
      <c r="D240" s="2" t="s">
        <v>431</v>
      </c>
      <c r="E240" s="6">
        <v>2200</v>
      </c>
      <c r="F240" s="18">
        <v>125416</v>
      </c>
      <c r="G240" s="18">
        <f>19243+73491</f>
        <v>92734</v>
      </c>
      <c r="H240" s="18">
        <v>39395</v>
      </c>
      <c r="I240" s="18">
        <v>78782</v>
      </c>
      <c r="J240" s="18">
        <v>119008</v>
      </c>
      <c r="K240" s="18"/>
      <c r="L240" s="19">
        <f t="shared" si="4"/>
        <v>455335</v>
      </c>
      <c r="M240" s="8"/>
      <c r="N240" s="266"/>
    </row>
    <row r="241" spans="1:14" s="3" customFormat="1" ht="12.2" customHeight="1" x14ac:dyDescent="0.15">
      <c r="A241" s="1" t="s">
        <v>444</v>
      </c>
      <c r="B241" s="2" t="s">
        <v>350</v>
      </c>
      <c r="C241" s="2" t="s">
        <v>296</v>
      </c>
      <c r="D241" s="2" t="s">
        <v>431</v>
      </c>
      <c r="E241" s="6">
        <v>2300</v>
      </c>
      <c r="F241" s="18">
        <v>120631</v>
      </c>
      <c r="G241" s="18">
        <v>62651</v>
      </c>
      <c r="H241" s="18">
        <v>31479</v>
      </c>
      <c r="I241" s="18">
        <v>11210</v>
      </c>
      <c r="J241" s="18"/>
      <c r="K241" s="18">
        <v>12820</v>
      </c>
      <c r="L241" s="19">
        <f t="shared" si="4"/>
        <v>238791</v>
      </c>
      <c r="M241" s="8"/>
      <c r="N241" s="266"/>
    </row>
    <row r="242" spans="1:14" s="3" customFormat="1" ht="12.2" customHeight="1" x14ac:dyDescent="0.15">
      <c r="A242" s="1" t="s">
        <v>445</v>
      </c>
      <c r="B242" s="2" t="s">
        <v>350</v>
      </c>
      <c r="C242" s="2" t="s">
        <v>297</v>
      </c>
      <c r="D242" s="2" t="s">
        <v>431</v>
      </c>
      <c r="E242" s="6">
        <v>2400</v>
      </c>
      <c r="F242" s="18">
        <v>536597</v>
      </c>
      <c r="G242" s="18">
        <v>278689</v>
      </c>
      <c r="H242" s="18">
        <v>28618</v>
      </c>
      <c r="I242" s="18">
        <v>2152</v>
      </c>
      <c r="J242" s="18">
        <v>0</v>
      </c>
      <c r="K242" s="18">
        <v>4930</v>
      </c>
      <c r="L242" s="19">
        <f t="shared" si="4"/>
        <v>850986</v>
      </c>
      <c r="M242" s="8"/>
      <c r="N242" s="266"/>
    </row>
    <row r="243" spans="1:14" s="3" customFormat="1" ht="12.2" customHeight="1" x14ac:dyDescent="0.15">
      <c r="A243" s="1" t="s">
        <v>446</v>
      </c>
      <c r="B243" s="2" t="s">
        <v>350</v>
      </c>
      <c r="C243" s="2" t="s">
        <v>298</v>
      </c>
      <c r="D243" s="2" t="s">
        <v>431</v>
      </c>
      <c r="E243" s="6">
        <v>2500</v>
      </c>
      <c r="F243" s="18">
        <v>79193</v>
      </c>
      <c r="G243" s="18">
        <v>41139</v>
      </c>
      <c r="H243" s="18">
        <v>4054</v>
      </c>
      <c r="I243" s="18">
        <v>342</v>
      </c>
      <c r="J243" s="18">
        <v>427</v>
      </c>
      <c r="K243" s="18"/>
      <c r="L243" s="19">
        <f t="shared" si="4"/>
        <v>125155</v>
      </c>
      <c r="M243" s="8"/>
      <c r="N243" s="266"/>
    </row>
    <row r="244" spans="1:14" s="3" customFormat="1" ht="12.2" customHeight="1" x14ac:dyDescent="0.15">
      <c r="A244" s="1" t="s">
        <v>447</v>
      </c>
      <c r="B244" s="2" t="s">
        <v>350</v>
      </c>
      <c r="C244" s="2" t="s">
        <v>299</v>
      </c>
      <c r="D244" s="2" t="s">
        <v>431</v>
      </c>
      <c r="E244" s="6">
        <v>2600</v>
      </c>
      <c r="F244" s="18">
        <f>19072+272138</f>
        <v>291210</v>
      </c>
      <c r="G244" s="18">
        <v>141339</v>
      </c>
      <c r="H244" s="18">
        <v>1003262</v>
      </c>
      <c r="I244" s="18">
        <v>268300</v>
      </c>
      <c r="J244" s="18"/>
      <c r="K244" s="18"/>
      <c r="L244" s="19">
        <f t="shared" si="4"/>
        <v>1704111</v>
      </c>
      <c r="M244" s="8"/>
      <c r="N244" s="266"/>
    </row>
    <row r="245" spans="1:14" s="3" customFormat="1" ht="12.2" customHeight="1" x14ac:dyDescent="0.15">
      <c r="A245" s="1" t="s">
        <v>448</v>
      </c>
      <c r="B245" s="2" t="s">
        <v>350</v>
      </c>
      <c r="C245" s="2" t="s">
        <v>300</v>
      </c>
      <c r="D245" s="2" t="s">
        <v>431</v>
      </c>
      <c r="E245" s="6">
        <v>2700</v>
      </c>
      <c r="F245" s="18">
        <v>125</v>
      </c>
      <c r="G245" s="18">
        <v>0</v>
      </c>
      <c r="H245" s="18">
        <v>206687</v>
      </c>
      <c r="I245" s="18">
        <v>0</v>
      </c>
      <c r="J245" s="18">
        <v>0</v>
      </c>
      <c r="K245" s="18">
        <v>0</v>
      </c>
      <c r="L245" s="19">
        <f t="shared" si="4"/>
        <v>206812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5540370</v>
      </c>
      <c r="G248" s="41">
        <f t="shared" si="5"/>
        <v>2836224</v>
      </c>
      <c r="H248" s="41">
        <f t="shared" si="5"/>
        <v>2092012</v>
      </c>
      <c r="I248" s="41">
        <f t="shared" si="5"/>
        <v>525115</v>
      </c>
      <c r="J248" s="41">
        <f t="shared" si="5"/>
        <v>170577</v>
      </c>
      <c r="K248" s="41">
        <f t="shared" si="5"/>
        <v>19211</v>
      </c>
      <c r="L248" s="41">
        <f t="shared" si="5"/>
        <v>11183509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f>111687+69576</f>
        <v>181263</v>
      </c>
      <c r="G252" s="18">
        <v>27903</v>
      </c>
      <c r="H252" s="18">
        <v>748</v>
      </c>
      <c r="I252" s="18">
        <v>8718</v>
      </c>
      <c r="J252" s="18">
        <v>1549</v>
      </c>
      <c r="K252" s="18">
        <v>3279</v>
      </c>
      <c r="L252" s="19">
        <f t="shared" si="6"/>
        <v>223460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143835</v>
      </c>
      <c r="I256" s="18"/>
      <c r="J256" s="18"/>
      <c r="K256" s="18"/>
      <c r="L256" s="19">
        <f t="shared" si="6"/>
        <v>143835</v>
      </c>
      <c r="M256" s="8"/>
      <c r="N256" s="266"/>
    </row>
    <row r="257" spans="1:14" s="3" customFormat="1" ht="12.2" customHeight="1" thickTop="1" thickBot="1" x14ac:dyDescent="0.2">
      <c r="A257" s="38" t="s">
        <v>461</v>
      </c>
      <c r="B257" s="40">
        <v>10</v>
      </c>
      <c r="C257" s="40">
        <v>7</v>
      </c>
      <c r="D257" s="39" t="s">
        <v>431</v>
      </c>
      <c r="E257" s="40"/>
      <c r="F257" s="41">
        <f t="shared" ref="F257:K257" si="7">SUM(F251:F256)</f>
        <v>181263</v>
      </c>
      <c r="G257" s="41">
        <f t="shared" si="7"/>
        <v>27903</v>
      </c>
      <c r="H257" s="41">
        <f t="shared" si="7"/>
        <v>144583</v>
      </c>
      <c r="I257" s="41">
        <f t="shared" si="7"/>
        <v>8718</v>
      </c>
      <c r="J257" s="41">
        <f t="shared" si="7"/>
        <v>1549</v>
      </c>
      <c r="K257" s="41">
        <f t="shared" si="7"/>
        <v>3279</v>
      </c>
      <c r="L257" s="41">
        <f>SUM(F257:K257)</f>
        <v>367295</v>
      </c>
      <c r="M257" s="8"/>
      <c r="N257" s="266"/>
    </row>
    <row r="258" spans="1:14" s="3" customFormat="1" ht="12.2" customHeight="1" thickTop="1" x14ac:dyDescent="0.15">
      <c r="A258" s="38" t="s">
        <v>462</v>
      </c>
      <c r="B258" s="40">
        <v>10</v>
      </c>
      <c r="C258" s="40">
        <v>8</v>
      </c>
      <c r="D258" s="39" t="s">
        <v>431</v>
      </c>
      <c r="E258" s="40"/>
      <c r="F258" s="41">
        <f t="shared" ref="F258:L258" si="8">F212+F230+F248+F257</f>
        <v>16374896</v>
      </c>
      <c r="G258" s="41">
        <f t="shared" si="8"/>
        <v>8458926</v>
      </c>
      <c r="H258" s="41">
        <f t="shared" si="8"/>
        <v>5300432</v>
      </c>
      <c r="I258" s="41">
        <f t="shared" si="8"/>
        <v>1463212</v>
      </c>
      <c r="J258" s="41">
        <f t="shared" si="8"/>
        <v>583120</v>
      </c>
      <c r="K258" s="41">
        <f t="shared" si="8"/>
        <v>48334</v>
      </c>
      <c r="L258" s="41">
        <f t="shared" si="8"/>
        <v>32228920</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1763336</v>
      </c>
      <c r="L261" s="19">
        <f>SUM(F261:K261)</f>
        <v>1763336</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698766</v>
      </c>
      <c r="L262" s="19">
        <f>SUM(F262:K262)</f>
        <v>698766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56443</v>
      </c>
      <c r="L264" s="19">
        <f>SUM(F264:K264)</f>
        <v>56443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150000</v>
      </c>
      <c r="L265" s="19">
        <f t="shared" ref="L265:L271" si="9">SUM(F265:K265)</f>
        <v>150000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2668545</v>
      </c>
      <c r="L271" s="41">
        <f t="shared" si="9"/>
        <v>2668545</v>
      </c>
      <c r="M271" s="8"/>
      <c r="N271" s="266"/>
    </row>
    <row r="272" spans="1:14" s="34" customFormat="1" ht="12.2" customHeight="1" thickTop="1" x14ac:dyDescent="0.2">
      <c r="A272" s="43" t="s">
        <v>464</v>
      </c>
      <c r="B272" s="40">
        <v>10</v>
      </c>
      <c r="C272" s="40">
        <v>18</v>
      </c>
      <c r="D272" s="39" t="s">
        <v>431</v>
      </c>
      <c r="E272" s="40"/>
      <c r="F272" s="42">
        <f t="shared" ref="F272:L272" si="11">F258+F271</f>
        <v>16374896</v>
      </c>
      <c r="G272" s="42">
        <f t="shared" si="11"/>
        <v>8458926</v>
      </c>
      <c r="H272" s="42">
        <f t="shared" si="11"/>
        <v>5300432</v>
      </c>
      <c r="I272" s="42">
        <f t="shared" si="11"/>
        <v>1463212</v>
      </c>
      <c r="J272" s="42">
        <f t="shared" si="11"/>
        <v>583120</v>
      </c>
      <c r="K272" s="42">
        <f t="shared" si="11"/>
        <v>2716879</v>
      </c>
      <c r="L272" s="42">
        <f t="shared" si="11"/>
        <v>34897465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826494</v>
      </c>
      <c r="G277" s="18">
        <v>368582</v>
      </c>
      <c r="H277" s="18">
        <v>2767</v>
      </c>
      <c r="I277" s="18">
        <v>83773</v>
      </c>
      <c r="J277" s="18">
        <v>46686</v>
      </c>
      <c r="K277" s="18"/>
      <c r="L277" s="19">
        <f>SUM(F277:K277)</f>
        <v>1328302</v>
      </c>
      <c r="M277" s="8"/>
      <c r="N277" s="266"/>
    </row>
    <row r="278" spans="1:14" s="3" customFormat="1" ht="12.2" customHeight="1" x14ac:dyDescent="0.15">
      <c r="A278" s="1" t="s">
        <v>439</v>
      </c>
      <c r="B278" s="2" t="s">
        <v>357</v>
      </c>
      <c r="C278" s="2" t="s">
        <v>291</v>
      </c>
      <c r="D278" s="2" t="s">
        <v>431</v>
      </c>
      <c r="E278" s="6">
        <v>1200</v>
      </c>
      <c r="F278" s="18">
        <v>203243</v>
      </c>
      <c r="G278" s="18">
        <v>85747</v>
      </c>
      <c r="H278" s="18">
        <v>24337</v>
      </c>
      <c r="I278" s="18">
        <v>161</v>
      </c>
      <c r="J278" s="18">
        <v>2739</v>
      </c>
      <c r="K278" s="18"/>
      <c r="L278" s="19">
        <f>SUM(F278:K278)</f>
        <v>316227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200</v>
      </c>
      <c r="G280" s="18"/>
      <c r="H280" s="18"/>
      <c r="I280" s="18">
        <v>488</v>
      </c>
      <c r="J280" s="18"/>
      <c r="K280" s="18"/>
      <c r="L280" s="19">
        <f>SUM(F280:K280)</f>
        <v>688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126687</v>
      </c>
      <c r="G282" s="18">
        <v>28309</v>
      </c>
      <c r="H282" s="18">
        <v>28075</v>
      </c>
      <c r="I282" s="18">
        <v>5159</v>
      </c>
      <c r="J282" s="18"/>
      <c r="K282" s="18"/>
      <c r="L282" s="19">
        <f t="shared" ref="L282:L288" si="12">SUM(F282:K282)</f>
        <v>188230</v>
      </c>
      <c r="M282" s="8"/>
      <c r="N282" s="266"/>
    </row>
    <row r="283" spans="1:14" s="3" customFormat="1" ht="12.2" customHeight="1" x14ac:dyDescent="0.15">
      <c r="A283" s="1" t="s">
        <v>443</v>
      </c>
      <c r="B283" s="2" t="s">
        <v>357</v>
      </c>
      <c r="C283" s="2" t="s">
        <v>295</v>
      </c>
      <c r="D283" s="2" t="s">
        <v>431</v>
      </c>
      <c r="E283" s="6">
        <v>2200</v>
      </c>
      <c r="F283" s="18">
        <v>69748</v>
      </c>
      <c r="G283" s="18">
        <v>28369</v>
      </c>
      <c r="H283" s="18">
        <v>103209</v>
      </c>
      <c r="I283" s="18">
        <v>8216</v>
      </c>
      <c r="J283" s="18">
        <v>1000</v>
      </c>
      <c r="K283" s="18"/>
      <c r="L283" s="19">
        <f t="shared" si="12"/>
        <v>210542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23615</v>
      </c>
      <c r="I288" s="18"/>
      <c r="J288" s="18"/>
      <c r="K288" s="18"/>
      <c r="L288" s="19">
        <f t="shared" si="12"/>
        <v>23615</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1226372</v>
      </c>
      <c r="G291" s="42">
        <f t="shared" si="13"/>
        <v>511007</v>
      </c>
      <c r="H291" s="42">
        <f t="shared" si="13"/>
        <v>182003</v>
      </c>
      <c r="I291" s="42">
        <f t="shared" si="13"/>
        <v>97797</v>
      </c>
      <c r="J291" s="42">
        <f t="shared" si="13"/>
        <v>50425</v>
      </c>
      <c r="K291" s="42">
        <f t="shared" si="13"/>
        <v>0</v>
      </c>
      <c r="L291" s="41">
        <f t="shared" si="13"/>
        <v>2067604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138631</v>
      </c>
      <c r="G296" s="18">
        <v>30390</v>
      </c>
      <c r="H296" s="18">
        <v>1581</v>
      </c>
      <c r="I296" s="18">
        <v>1770</v>
      </c>
      <c r="J296" s="18">
        <v>6268</v>
      </c>
      <c r="K296" s="18"/>
      <c r="L296" s="19">
        <f>SUM(F296:K296)</f>
        <v>178640</v>
      </c>
      <c r="M296" s="8"/>
      <c r="N296" s="266"/>
    </row>
    <row r="297" spans="1:14" s="3" customFormat="1" ht="12.2" customHeight="1" x14ac:dyDescent="0.15">
      <c r="A297" s="1" t="s">
        <v>439</v>
      </c>
      <c r="B297" s="2" t="s">
        <v>358</v>
      </c>
      <c r="C297" s="2" t="s">
        <v>291</v>
      </c>
      <c r="D297" s="2" t="s">
        <v>431</v>
      </c>
      <c r="E297" s="6">
        <v>1200</v>
      </c>
      <c r="F297" s="18">
        <v>101602</v>
      </c>
      <c r="G297" s="18">
        <v>48997</v>
      </c>
      <c r="H297" s="18">
        <v>13907</v>
      </c>
      <c r="I297" s="18">
        <v>92</v>
      </c>
      <c r="J297" s="18">
        <v>1565</v>
      </c>
      <c r="K297" s="18"/>
      <c r="L297" s="19">
        <f>SUM(F297:K297)</f>
        <v>166163</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550</v>
      </c>
      <c r="G299" s="18"/>
      <c r="H299" s="18"/>
      <c r="I299" s="18">
        <v>1068</v>
      </c>
      <c r="J299" s="18"/>
      <c r="K299" s="18"/>
      <c r="L299" s="19">
        <f>SUM(F299:K299)</f>
        <v>1618</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72390</v>
      </c>
      <c r="G301" s="18">
        <v>16176</v>
      </c>
      <c r="H301" s="18">
        <v>16042</v>
      </c>
      <c r="I301" s="18">
        <v>2948</v>
      </c>
      <c r="J301" s="18"/>
      <c r="K301" s="18"/>
      <c r="L301" s="19">
        <f t="shared" ref="L301:L307" si="14">SUM(F301:K301)</f>
        <v>107556</v>
      </c>
      <c r="M301" s="8"/>
      <c r="N301" s="266"/>
    </row>
    <row r="302" spans="1:14" s="3" customFormat="1" ht="12.2" customHeight="1" x14ac:dyDescent="0.15">
      <c r="A302" s="1" t="s">
        <v>443</v>
      </c>
      <c r="B302" s="2" t="s">
        <v>358</v>
      </c>
      <c r="C302" s="2" t="s">
        <v>295</v>
      </c>
      <c r="D302" s="2" t="s">
        <v>431</v>
      </c>
      <c r="E302" s="6">
        <v>2200</v>
      </c>
      <c r="F302" s="18">
        <v>37769</v>
      </c>
      <c r="G302" s="18">
        <v>14813</v>
      </c>
      <c r="H302" s="18">
        <v>38256</v>
      </c>
      <c r="I302" s="18">
        <v>4660</v>
      </c>
      <c r="J302" s="18">
        <v>572</v>
      </c>
      <c r="K302" s="18"/>
      <c r="L302" s="19">
        <f t="shared" si="14"/>
        <v>96070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v>2859</v>
      </c>
      <c r="I307" s="18"/>
      <c r="J307" s="18"/>
      <c r="K307" s="18"/>
      <c r="L307" s="19">
        <f t="shared" si="14"/>
        <v>2859</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350942</v>
      </c>
      <c r="G310" s="42">
        <f t="shared" si="15"/>
        <v>110376</v>
      </c>
      <c r="H310" s="42">
        <f t="shared" si="15"/>
        <v>72645</v>
      </c>
      <c r="I310" s="42">
        <f t="shared" si="15"/>
        <v>10538</v>
      </c>
      <c r="J310" s="42">
        <f t="shared" si="15"/>
        <v>8405</v>
      </c>
      <c r="K310" s="42">
        <f t="shared" si="15"/>
        <v>0</v>
      </c>
      <c r="L310" s="41">
        <f t="shared" si="15"/>
        <v>552906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163946</v>
      </c>
      <c r="G315" s="18">
        <v>34199</v>
      </c>
      <c r="H315" s="18">
        <v>1736</v>
      </c>
      <c r="I315" s="18">
        <v>5320</v>
      </c>
      <c r="J315" s="18">
        <v>6882</v>
      </c>
      <c r="K315" s="4"/>
      <c r="L315" s="19">
        <f>SUM(F315:J315)</f>
        <v>212083</v>
      </c>
      <c r="M315" s="8"/>
      <c r="N315" s="266"/>
    </row>
    <row r="316" spans="1:14" s="3" customFormat="1" ht="12.2" customHeight="1" x14ac:dyDescent="0.15">
      <c r="A316" s="1" t="s">
        <v>439</v>
      </c>
      <c r="B316" s="2" t="s">
        <v>359</v>
      </c>
      <c r="C316" s="2" t="s">
        <v>291</v>
      </c>
      <c r="D316" s="2" t="s">
        <v>431</v>
      </c>
      <c r="E316" s="6">
        <v>1200</v>
      </c>
      <c r="F316" s="18">
        <v>111539</v>
      </c>
      <c r="G316" s="18">
        <v>53789</v>
      </c>
      <c r="H316" s="18">
        <v>15266</v>
      </c>
      <c r="I316" s="18">
        <v>2040</v>
      </c>
      <c r="J316" s="18">
        <v>1719</v>
      </c>
      <c r="K316" s="18"/>
      <c r="L316" s="19">
        <f>SUM(F316:K316)</f>
        <v>184353</v>
      </c>
      <c r="M316" s="8"/>
      <c r="N316" s="266"/>
    </row>
    <row r="317" spans="1:14" s="3" customFormat="1" ht="12.2" customHeight="1" x14ac:dyDescent="0.15">
      <c r="A317" s="1" t="s">
        <v>440</v>
      </c>
      <c r="B317" s="2" t="s">
        <v>359</v>
      </c>
      <c r="C317" s="2" t="s">
        <v>292</v>
      </c>
      <c r="D317" s="2" t="s">
        <v>431</v>
      </c>
      <c r="E317" s="6">
        <v>1300</v>
      </c>
      <c r="F317" s="18">
        <v>45881</v>
      </c>
      <c r="G317" s="18">
        <v>15811</v>
      </c>
      <c r="H317" s="18">
        <v>7473</v>
      </c>
      <c r="I317" s="18">
        <v>10072</v>
      </c>
      <c r="J317" s="18">
        <v>46837</v>
      </c>
      <c r="K317" s="18">
        <v>6911</v>
      </c>
      <c r="L317" s="19">
        <f>SUM(F317:K317)</f>
        <v>132985</v>
      </c>
      <c r="M317" s="8"/>
      <c r="N317" s="266"/>
    </row>
    <row r="318" spans="1:14" s="3" customFormat="1" ht="12.2" customHeight="1" x14ac:dyDescent="0.15">
      <c r="A318" s="1" t="s">
        <v>441</v>
      </c>
      <c r="B318" s="2" t="s">
        <v>359</v>
      </c>
      <c r="C318" s="2" t="s">
        <v>293</v>
      </c>
      <c r="D318" s="2" t="s">
        <v>431</v>
      </c>
      <c r="E318" s="6">
        <v>1400</v>
      </c>
      <c r="F318" s="18">
        <v>1250</v>
      </c>
      <c r="G318" s="18"/>
      <c r="H318" s="18"/>
      <c r="I318" s="18">
        <v>3782</v>
      </c>
      <c r="J318" s="18"/>
      <c r="K318" s="18"/>
      <c r="L318" s="19">
        <f>SUM(F318:K318)</f>
        <v>5032</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79470</v>
      </c>
      <c r="G320" s="18">
        <v>17758</v>
      </c>
      <c r="H320" s="18">
        <v>17611</v>
      </c>
      <c r="I320" s="18">
        <v>3237</v>
      </c>
      <c r="J320" s="18"/>
      <c r="K320" s="18"/>
      <c r="L320" s="19">
        <f t="shared" ref="L320:L326" si="16">SUM(F320:K320)</f>
        <v>118076</v>
      </c>
      <c r="M320" s="8"/>
      <c r="N320" s="266"/>
    </row>
    <row r="321" spans="1:14" s="3" customFormat="1" ht="12.2" customHeight="1" x14ac:dyDescent="0.15">
      <c r="A321" s="1" t="s">
        <v>443</v>
      </c>
      <c r="B321" s="2" t="s">
        <v>359</v>
      </c>
      <c r="C321" s="2" t="s">
        <v>295</v>
      </c>
      <c r="D321" s="2" t="s">
        <v>431</v>
      </c>
      <c r="E321" s="6">
        <v>2200</v>
      </c>
      <c r="F321" s="18">
        <v>41463</v>
      </c>
      <c r="G321" s="18">
        <v>16262</v>
      </c>
      <c r="H321" s="18">
        <v>39363</v>
      </c>
      <c r="I321" s="18">
        <v>5115</v>
      </c>
      <c r="J321" s="18">
        <v>628</v>
      </c>
      <c r="K321" s="18"/>
      <c r="L321" s="19">
        <f t="shared" si="16"/>
        <v>102831</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v>3750</v>
      </c>
      <c r="G326" s="18">
        <v>696</v>
      </c>
      <c r="H326" s="18">
        <v>3138</v>
      </c>
      <c r="I326" s="18"/>
      <c r="J326" s="18">
        <v>137</v>
      </c>
      <c r="K326" s="18"/>
      <c r="L326" s="19">
        <f t="shared" si="16"/>
        <v>7721</v>
      </c>
      <c r="M326" s="8"/>
      <c r="N326" s="266"/>
    </row>
    <row r="327" spans="1:14" s="3" customFormat="1" ht="12.2" customHeight="1" x14ac:dyDescent="0.15">
      <c r="A327" s="1" t="s">
        <v>449</v>
      </c>
      <c r="B327" s="2" t="s">
        <v>359</v>
      </c>
      <c r="C327" s="2" t="s">
        <v>343</v>
      </c>
      <c r="D327" s="2" t="s">
        <v>431</v>
      </c>
      <c r="E327" s="6">
        <v>2800</v>
      </c>
      <c r="F327" s="18">
        <v>2250</v>
      </c>
      <c r="G327" s="18"/>
      <c r="H327" s="18"/>
      <c r="I327" s="18"/>
      <c r="J327" s="18"/>
      <c r="K327" s="18"/>
      <c r="L327" s="19">
        <f>SUM(F327:K327)</f>
        <v>2250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449549</v>
      </c>
      <c r="G329" s="42">
        <f t="shared" si="17"/>
        <v>138515</v>
      </c>
      <c r="H329" s="42">
        <f t="shared" si="17"/>
        <v>84587</v>
      </c>
      <c r="I329" s="42">
        <f t="shared" si="17"/>
        <v>29566</v>
      </c>
      <c r="J329" s="42">
        <f>SUM(J315:J328)</f>
        <v>56203</v>
      </c>
      <c r="K329" s="42">
        <f>SUM(K315:K328)</f>
        <v>6911</v>
      </c>
      <c r="L329" s="41">
        <f t="shared" si="17"/>
        <v>765331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26834</v>
      </c>
      <c r="G333" s="18">
        <v>1481</v>
      </c>
      <c r="H333" s="18"/>
      <c r="I333" s="18"/>
      <c r="J333" s="18"/>
      <c r="K333" s="18"/>
      <c r="L333" s="19">
        <f t="shared" ref="L333:L338" si="18">SUM(F333:K333)</f>
        <v>28315</v>
      </c>
      <c r="M333" s="8"/>
      <c r="N333" s="266"/>
    </row>
    <row r="334" spans="1:14" s="3" customFormat="1" ht="12.2" customHeight="1" x14ac:dyDescent="0.15">
      <c r="A334" s="1" t="s">
        <v>353</v>
      </c>
      <c r="B334" s="6">
        <v>14</v>
      </c>
      <c r="C334" s="2" t="s">
        <v>309</v>
      </c>
      <c r="D334" s="2" t="s">
        <v>431</v>
      </c>
      <c r="E334" s="6">
        <v>1600</v>
      </c>
      <c r="F334" s="18">
        <f>69093+61513+13507+2673+13137</f>
        <v>159923</v>
      </c>
      <c r="G334" s="18">
        <f>5155+4682+1033+205+2963</f>
        <v>14038</v>
      </c>
      <c r="H334" s="18">
        <f>21060+14309+1500+600</f>
        <v>37469</v>
      </c>
      <c r="I334" s="18">
        <f>41177+3367</f>
        <v>44544</v>
      </c>
      <c r="J334" s="18">
        <v>0</v>
      </c>
      <c r="K334" s="18">
        <v>100</v>
      </c>
      <c r="L334" s="19">
        <f t="shared" si="18"/>
        <v>256074</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186757</v>
      </c>
      <c r="G338" s="41">
        <f t="shared" si="19"/>
        <v>15519</v>
      </c>
      <c r="H338" s="41">
        <f t="shared" si="19"/>
        <v>37469</v>
      </c>
      <c r="I338" s="41">
        <f t="shared" si="19"/>
        <v>44544</v>
      </c>
      <c r="J338" s="41">
        <f t="shared" si="19"/>
        <v>0</v>
      </c>
      <c r="K338" s="41">
        <f t="shared" si="19"/>
        <v>100</v>
      </c>
      <c r="L338" s="41">
        <f t="shared" si="18"/>
        <v>284389</v>
      </c>
      <c r="M338" s="8"/>
      <c r="N338" s="266"/>
    </row>
    <row r="339" spans="1:43" s="3" customFormat="1" ht="12.2" customHeight="1" thickTop="1" x14ac:dyDescent="0.15">
      <c r="A339" s="38" t="s">
        <v>468</v>
      </c>
      <c r="B339" s="40">
        <v>14</v>
      </c>
      <c r="C339" s="40">
        <v>7</v>
      </c>
      <c r="D339" s="39" t="s">
        <v>431</v>
      </c>
      <c r="E339" s="40"/>
      <c r="F339" s="41">
        <f t="shared" ref="F339:L339" si="20">F291+F310+F329+F338</f>
        <v>2213620</v>
      </c>
      <c r="G339" s="41">
        <f t="shared" si="20"/>
        <v>775417</v>
      </c>
      <c r="H339" s="41">
        <f t="shared" si="20"/>
        <v>376704</v>
      </c>
      <c r="I339" s="41">
        <f t="shared" si="20"/>
        <v>182445</v>
      </c>
      <c r="J339" s="41">
        <f t="shared" si="20"/>
        <v>115033</v>
      </c>
      <c r="K339" s="41">
        <f t="shared" si="20"/>
        <v>7011</v>
      </c>
      <c r="L339" s="41">
        <f t="shared" si="20"/>
        <v>3670230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150000</v>
      </c>
      <c r="L345" s="19">
        <f t="shared" ref="L345:L351" si="21">SUM(F345:K345)</f>
        <v>150000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150000</v>
      </c>
      <c r="L352" s="41">
        <f>SUM(L342:L351)</f>
        <v>150000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2213620</v>
      </c>
      <c r="G353" s="41">
        <f>G339</f>
        <v>775417</v>
      </c>
      <c r="H353" s="41">
        <f>H339</f>
        <v>376704</v>
      </c>
      <c r="I353" s="41">
        <f>I339</f>
        <v>182445</v>
      </c>
      <c r="J353" s="41">
        <f>J339</f>
        <v>115033</v>
      </c>
      <c r="K353" s="47">
        <f>K339+K352</f>
        <v>157011</v>
      </c>
      <c r="L353" s="41">
        <f>L339+L352</f>
        <v>3820230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203323</v>
      </c>
      <c r="G359" s="18">
        <v>29914</v>
      </c>
      <c r="H359" s="18">
        <v>8845</v>
      </c>
      <c r="I359" s="18">
        <v>275878</v>
      </c>
      <c r="J359" s="18">
        <v>1730</v>
      </c>
      <c r="K359" s="18"/>
      <c r="L359" s="13">
        <f>SUM(F359:K359)</f>
        <v>519690</v>
      </c>
      <c r="M359" s="8"/>
      <c r="N359" s="266"/>
    </row>
    <row r="360" spans="1:22" s="3" customFormat="1" ht="12.2" customHeight="1" x14ac:dyDescent="0.15">
      <c r="A360" s="1" t="s">
        <v>542</v>
      </c>
      <c r="B360" s="2" t="s">
        <v>366</v>
      </c>
      <c r="C360" s="6">
        <v>2</v>
      </c>
      <c r="D360" s="2" t="s">
        <v>431</v>
      </c>
      <c r="E360" s="6"/>
      <c r="F360" s="18">
        <v>128148</v>
      </c>
      <c r="G360" s="18">
        <v>17956</v>
      </c>
      <c r="H360" s="18">
        <v>13706</v>
      </c>
      <c r="I360" s="18">
        <v>95615</v>
      </c>
      <c r="J360" s="18">
        <v>454</v>
      </c>
      <c r="K360" s="18"/>
      <c r="L360" s="19">
        <f>SUM(F360:K360)</f>
        <v>255879</v>
      </c>
      <c r="M360" s="8"/>
      <c r="N360" s="266"/>
    </row>
    <row r="361" spans="1:22" s="3" customFormat="1" ht="12.2" customHeight="1" x14ac:dyDescent="0.15">
      <c r="A361" s="3" t="s">
        <v>543</v>
      </c>
      <c r="B361" s="2" t="s">
        <v>366</v>
      </c>
      <c r="C361" s="6">
        <v>3</v>
      </c>
      <c r="D361" s="2" t="s">
        <v>431</v>
      </c>
      <c r="E361" s="6"/>
      <c r="F361" s="18">
        <v>99939</v>
      </c>
      <c r="G361" s="18">
        <v>16591</v>
      </c>
      <c r="H361" s="18">
        <v>3601</v>
      </c>
      <c r="I361" s="18">
        <v>92578</v>
      </c>
      <c r="J361" s="18">
        <v>1743</v>
      </c>
      <c r="K361" s="18"/>
      <c r="L361" s="19">
        <f>SUM(F361:K361)</f>
        <v>214452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431410</v>
      </c>
      <c r="G363" s="47">
        <f t="shared" si="22"/>
        <v>64461</v>
      </c>
      <c r="H363" s="47">
        <f t="shared" si="22"/>
        <v>26152</v>
      </c>
      <c r="I363" s="47">
        <f t="shared" si="22"/>
        <v>464071</v>
      </c>
      <c r="J363" s="47">
        <f t="shared" si="22"/>
        <v>3927</v>
      </c>
      <c r="K363" s="47">
        <f t="shared" si="22"/>
        <v>0</v>
      </c>
      <c r="L363" s="47">
        <f t="shared" si="22"/>
        <v>990021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257379</v>
      </c>
      <c r="G368" s="18">
        <v>87289</v>
      </c>
      <c r="H368" s="18">
        <v>83753</v>
      </c>
      <c r="I368" s="56">
        <f>SUM(F368:H368)</f>
        <v>428421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18499</v>
      </c>
      <c r="G369" s="63">
        <v>8326</v>
      </c>
      <c r="H369" s="63">
        <v>8825</v>
      </c>
      <c r="I369" s="56">
        <f>SUM(F369:H369)</f>
        <v>35650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275878</v>
      </c>
      <c r="G370" s="47">
        <f>SUM(G368:G369)</f>
        <v>95615</v>
      </c>
      <c r="H370" s="47">
        <f>SUM(H368:H369)</f>
        <v>92578</v>
      </c>
      <c r="I370" s="47">
        <f>SUM(I368:I369)</f>
        <v>464071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0</v>
      </c>
      <c r="G466" s="18">
        <v>0</v>
      </c>
      <c r="H466" s="18">
        <v>0</v>
      </c>
      <c r="I466" s="18"/>
      <c r="J466" s="18">
        <v>0</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34912465</v>
      </c>
      <c r="G469" s="18">
        <f>G194</f>
        <v>990021</v>
      </c>
      <c r="H469" s="18">
        <f>H194</f>
        <v>3820230</v>
      </c>
      <c r="I469" s="18"/>
      <c r="J469" s="18">
        <v>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34912465</v>
      </c>
      <c r="G471" s="53">
        <f>SUM(G469:G470)</f>
        <v>990021</v>
      </c>
      <c r="H471" s="53">
        <f>SUM(H469:H470)</f>
        <v>3820230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34897465</v>
      </c>
      <c r="G473" s="18">
        <f>L363</f>
        <v>990021</v>
      </c>
      <c r="H473" s="18">
        <f>L353</f>
        <v>3820230</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34897465</v>
      </c>
      <c r="G475" s="53">
        <f>SUM(G473:G474)</f>
        <v>990021</v>
      </c>
      <c r="H475" s="53">
        <f>SUM(H473:H474)</f>
        <v>3820230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15000</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1677302</v>
      </c>
      <c r="G522" s="18">
        <v>855424</v>
      </c>
      <c r="H522" s="18">
        <v>591225</v>
      </c>
      <c r="I522" s="18">
        <v>7876</v>
      </c>
      <c r="J522" s="18">
        <v>2821</v>
      </c>
      <c r="K522" s="18"/>
      <c r="L522" s="88">
        <f>SUM(F522:K522)</f>
        <v>3134648</v>
      </c>
      <c r="N522" s="265"/>
    </row>
    <row r="523" spans="1:14" s="52" customFormat="1" ht="12.2" customHeight="1" x14ac:dyDescent="0.2">
      <c r="A523" s="22" t="s">
        <v>634</v>
      </c>
      <c r="B523" s="105">
        <v>21</v>
      </c>
      <c r="C523" s="115">
        <v>2</v>
      </c>
      <c r="D523" s="2" t="s">
        <v>432</v>
      </c>
      <c r="E523" s="115"/>
      <c r="F523" s="18">
        <v>754266</v>
      </c>
      <c r="G523" s="18">
        <v>373361</v>
      </c>
      <c r="H523" s="18">
        <v>401962</v>
      </c>
      <c r="I523" s="18">
        <v>995</v>
      </c>
      <c r="J523" s="18">
        <v>722</v>
      </c>
      <c r="K523" s="18"/>
      <c r="L523" s="88">
        <f>SUM(F523:K523)</f>
        <v>1531306</v>
      </c>
      <c r="N523" s="265"/>
    </row>
    <row r="524" spans="1:14" s="52" customFormat="1" ht="12.2" customHeight="1" thickBot="1" x14ac:dyDescent="0.25">
      <c r="A524" s="22" t="s">
        <v>635</v>
      </c>
      <c r="B524" s="105">
        <v>21</v>
      </c>
      <c r="C524" s="115">
        <v>3</v>
      </c>
      <c r="D524" s="2" t="s">
        <v>432</v>
      </c>
      <c r="E524" s="115"/>
      <c r="F524" s="18">
        <v>728068</v>
      </c>
      <c r="G524" s="18">
        <v>353113</v>
      </c>
      <c r="H524" s="18">
        <v>223535</v>
      </c>
      <c r="I524" s="18">
        <v>1226</v>
      </c>
      <c r="J524" s="18" t="s">
        <v>286</v>
      </c>
      <c r="K524" s="18"/>
      <c r="L524" s="88">
        <f>SUM(F524:K524)</f>
        <v>1305942</v>
      </c>
      <c r="N524" s="265"/>
    </row>
    <row r="525" spans="1:14" s="52" customFormat="1" ht="12.2" customHeight="1" thickTop="1" x14ac:dyDescent="0.2">
      <c r="A525" s="139" t="s">
        <v>63</v>
      </c>
      <c r="B525" s="107">
        <v>21</v>
      </c>
      <c r="C525" s="195">
        <v>4</v>
      </c>
      <c r="D525" s="196" t="s">
        <v>432</v>
      </c>
      <c r="E525" s="195"/>
      <c r="F525" s="108">
        <f>SUM(F522:F524)</f>
        <v>3159636</v>
      </c>
      <c r="G525" s="108">
        <f t="shared" ref="G525:L525" si="36">SUM(G522:G524)</f>
        <v>1581898</v>
      </c>
      <c r="H525" s="108">
        <f t="shared" si="36"/>
        <v>1216722</v>
      </c>
      <c r="I525" s="108">
        <f t="shared" si="36"/>
        <v>10097</v>
      </c>
      <c r="J525" s="108">
        <f t="shared" si="36"/>
        <v>3543</v>
      </c>
      <c r="K525" s="108">
        <f t="shared" si="36"/>
        <v>0</v>
      </c>
      <c r="L525" s="89">
        <f t="shared" si="36"/>
        <v>5971896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495528</v>
      </c>
      <c r="G527" s="18">
        <v>235656</v>
      </c>
      <c r="H527" s="18">
        <v>591225</v>
      </c>
      <c r="I527" s="18">
        <v>7876</v>
      </c>
      <c r="J527" s="18">
        <v>2821</v>
      </c>
      <c r="K527" s="18"/>
      <c r="L527" s="88">
        <f>SUM(F527:K527)</f>
        <v>1333106</v>
      </c>
      <c r="M527" s="8"/>
      <c r="N527" s="266"/>
    </row>
    <row r="528" spans="1:14" s="3" customFormat="1" ht="12.2" customHeight="1" x14ac:dyDescent="0.15">
      <c r="A528" s="22" t="s">
        <v>634</v>
      </c>
      <c r="B528" s="105">
        <v>21</v>
      </c>
      <c r="C528" s="115">
        <v>6</v>
      </c>
      <c r="D528" s="2" t="s">
        <v>432</v>
      </c>
      <c r="E528" s="115"/>
      <c r="F528" s="18">
        <v>125075</v>
      </c>
      <c r="G528" s="18">
        <v>63586</v>
      </c>
      <c r="H528" s="18">
        <v>401962</v>
      </c>
      <c r="I528" s="18">
        <v>995</v>
      </c>
      <c r="J528" s="18">
        <v>722</v>
      </c>
      <c r="K528" s="18"/>
      <c r="L528" s="88">
        <f>SUM(F528:K528)</f>
        <v>592340</v>
      </c>
      <c r="M528" s="8"/>
      <c r="N528" s="266"/>
    </row>
    <row r="529" spans="1:14" s="3" customFormat="1" ht="12.2" customHeight="1" thickBot="1" x14ac:dyDescent="0.2">
      <c r="A529" s="22" t="s">
        <v>635</v>
      </c>
      <c r="B529" s="118">
        <v>21</v>
      </c>
      <c r="C529" s="118">
        <v>7</v>
      </c>
      <c r="D529" s="2" t="s">
        <v>432</v>
      </c>
      <c r="E529" s="118"/>
      <c r="F529" s="18">
        <v>150396</v>
      </c>
      <c r="G529" s="18">
        <v>72190</v>
      </c>
      <c r="H529" s="18">
        <v>223535</v>
      </c>
      <c r="I529" s="18">
        <v>1226</v>
      </c>
      <c r="J529" s="18" t="s">
        <v>286</v>
      </c>
      <c r="K529" s="18"/>
      <c r="L529" s="88">
        <f>SUM(F529:K529)</f>
        <v>447347</v>
      </c>
      <c r="M529" s="8"/>
      <c r="N529" s="266"/>
    </row>
    <row r="530" spans="1:14" s="3" customFormat="1" ht="12.2" customHeight="1" thickTop="1" x14ac:dyDescent="0.15">
      <c r="A530" s="139" t="s">
        <v>65</v>
      </c>
      <c r="B530" s="107">
        <v>21</v>
      </c>
      <c r="C530" s="107">
        <v>8</v>
      </c>
      <c r="D530" s="158" t="s">
        <v>432</v>
      </c>
      <c r="E530" s="107"/>
      <c r="F530" s="89">
        <f>SUM(F527:F529)</f>
        <v>770999</v>
      </c>
      <c r="G530" s="89">
        <f t="shared" ref="G530:L530" si="37">SUM(G527:G529)</f>
        <v>371432</v>
      </c>
      <c r="H530" s="89">
        <f t="shared" si="37"/>
        <v>1216722</v>
      </c>
      <c r="I530" s="89">
        <f t="shared" si="37"/>
        <v>10097</v>
      </c>
      <c r="J530" s="89">
        <f t="shared" si="37"/>
        <v>3543</v>
      </c>
      <c r="K530" s="89">
        <f t="shared" si="37"/>
        <v>0</v>
      </c>
      <c r="L530" s="89">
        <f t="shared" si="37"/>
        <v>2372793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185654</v>
      </c>
      <c r="G532" s="18">
        <v>96540</v>
      </c>
      <c r="H532" s="18"/>
      <c r="I532" s="18"/>
      <c r="J532" s="18"/>
      <c r="K532" s="18"/>
      <c r="L532" s="88">
        <f>SUM(F532:K532)</f>
        <v>282194</v>
      </c>
      <c r="M532" s="8"/>
      <c r="N532" s="266"/>
    </row>
    <row r="533" spans="1:14" s="3" customFormat="1" ht="12.2" customHeight="1" x14ac:dyDescent="0.15">
      <c r="A533" s="22" t="s">
        <v>634</v>
      </c>
      <c r="B533" s="105">
        <v>21</v>
      </c>
      <c r="C533" s="105">
        <v>10</v>
      </c>
      <c r="D533" s="2" t="s">
        <v>432</v>
      </c>
      <c r="E533" s="105"/>
      <c r="F533" s="18">
        <v>48035</v>
      </c>
      <c r="G533" s="18">
        <v>21525</v>
      </c>
      <c r="H533" s="18"/>
      <c r="I533" s="18"/>
      <c r="J533" s="18"/>
      <c r="K533" s="18"/>
      <c r="L533" s="88">
        <f>SUM(F533:K533)</f>
        <v>69560</v>
      </c>
      <c r="M533" s="8"/>
      <c r="N533" s="266"/>
    </row>
    <row r="534" spans="1:14" s="3" customFormat="1" ht="12.2" customHeight="1" thickBot="1" x14ac:dyDescent="0.2">
      <c r="A534" s="22" t="s">
        <v>635</v>
      </c>
      <c r="B534" s="105">
        <v>21</v>
      </c>
      <c r="C534" s="105">
        <v>11</v>
      </c>
      <c r="D534" s="2" t="s">
        <v>432</v>
      </c>
      <c r="E534" s="105"/>
      <c r="F534" s="18">
        <v>52525</v>
      </c>
      <c r="G534" s="18">
        <v>18758</v>
      </c>
      <c r="H534" s="18"/>
      <c r="I534" s="18"/>
      <c r="J534" s="18"/>
      <c r="K534" s="18"/>
      <c r="L534" s="88">
        <f>SUM(F534:K534)</f>
        <v>71283</v>
      </c>
      <c r="M534" s="8"/>
      <c r="N534" s="266"/>
    </row>
    <row r="535" spans="1:14" s="3" customFormat="1" ht="12.2" customHeight="1" thickTop="1" x14ac:dyDescent="0.15">
      <c r="A535" s="139" t="s">
        <v>67</v>
      </c>
      <c r="B535" s="107">
        <v>21</v>
      </c>
      <c r="C535" s="107">
        <v>12</v>
      </c>
      <c r="D535" s="158" t="s">
        <v>432</v>
      </c>
      <c r="E535" s="107"/>
      <c r="F535" s="89">
        <f>SUM(F532:F534)</f>
        <v>286214</v>
      </c>
      <c r="G535" s="89">
        <f t="shared" ref="G535:L535" si="38">SUM(G532:G534)</f>
        <v>136823</v>
      </c>
      <c r="H535" s="89">
        <f t="shared" si="38"/>
        <v>0</v>
      </c>
      <c r="I535" s="89">
        <f t="shared" si="38"/>
        <v>0</v>
      </c>
      <c r="J535" s="89">
        <f t="shared" si="38"/>
        <v>0</v>
      </c>
      <c r="K535" s="89">
        <f t="shared" si="38"/>
        <v>0</v>
      </c>
      <c r="L535" s="89">
        <f t="shared" si="38"/>
        <v>423037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5680</v>
      </c>
      <c r="I537" s="18"/>
      <c r="J537" s="18"/>
      <c r="K537" s="18"/>
      <c r="L537" s="88">
        <f>SUM(F537:K537)</f>
        <v>5680</v>
      </c>
      <c r="M537" s="8"/>
      <c r="N537" s="266"/>
    </row>
    <row r="538" spans="1:14" s="3" customFormat="1" ht="12.2" customHeight="1" x14ac:dyDescent="0.15">
      <c r="A538" s="22" t="s">
        <v>634</v>
      </c>
      <c r="B538" s="105">
        <v>21</v>
      </c>
      <c r="C538" s="105">
        <v>14</v>
      </c>
      <c r="D538" s="2" t="s">
        <v>432</v>
      </c>
      <c r="E538" s="105"/>
      <c r="F538" s="18"/>
      <c r="G538" s="18"/>
      <c r="H538" s="18">
        <v>3245</v>
      </c>
      <c r="I538" s="18"/>
      <c r="J538" s="18"/>
      <c r="K538" s="18"/>
      <c r="L538" s="88">
        <f>SUM(F538:K538)</f>
        <v>3245</v>
      </c>
      <c r="M538" s="8"/>
      <c r="N538" s="266"/>
    </row>
    <row r="539" spans="1:14" s="3" customFormat="1" ht="12.2" customHeight="1" thickBot="1" x14ac:dyDescent="0.2">
      <c r="A539" s="22" t="s">
        <v>635</v>
      </c>
      <c r="B539" s="105">
        <v>21</v>
      </c>
      <c r="C539" s="105">
        <v>15</v>
      </c>
      <c r="D539" s="2" t="s">
        <v>432</v>
      </c>
      <c r="E539" s="105"/>
      <c r="F539" s="18"/>
      <c r="G539" s="18"/>
      <c r="H539" s="18">
        <v>3562</v>
      </c>
      <c r="I539" s="18"/>
      <c r="J539" s="18"/>
      <c r="K539" s="18"/>
      <c r="L539" s="88">
        <f>SUM(F539:K539)</f>
        <v>3562</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12487</v>
      </c>
      <c r="I540" s="89">
        <f t="shared" si="39"/>
        <v>0</v>
      </c>
      <c r="J540" s="89">
        <f t="shared" si="39"/>
        <v>0</v>
      </c>
      <c r="K540" s="89">
        <f t="shared" si="39"/>
        <v>0</v>
      </c>
      <c r="L540" s="89">
        <f t="shared" si="39"/>
        <v>12487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116236</v>
      </c>
      <c r="I542" s="18"/>
      <c r="J542" s="18"/>
      <c r="K542" s="18"/>
      <c r="L542" s="88">
        <f>SUM(F542:K542)</f>
        <v>116236</v>
      </c>
      <c r="M542" s="8"/>
      <c r="N542" s="266"/>
    </row>
    <row r="543" spans="1:14" s="3" customFormat="1" ht="12.2" customHeight="1" x14ac:dyDescent="0.15">
      <c r="A543" s="22" t="s">
        <v>634</v>
      </c>
      <c r="B543" s="105">
        <v>21</v>
      </c>
      <c r="C543" s="105">
        <v>18</v>
      </c>
      <c r="D543" s="2" t="s">
        <v>432</v>
      </c>
      <c r="E543" s="105"/>
      <c r="F543" s="18"/>
      <c r="G543" s="18"/>
      <c r="H543" s="18">
        <v>61247</v>
      </c>
      <c r="I543" s="18"/>
      <c r="J543" s="18"/>
      <c r="K543" s="18"/>
      <c r="L543" s="88">
        <f>SUM(F543:K543)</f>
        <v>61247</v>
      </c>
      <c r="M543" s="8"/>
      <c r="N543" s="266"/>
    </row>
    <row r="544" spans="1:14" s="3" customFormat="1" ht="12.2" customHeight="1" thickBot="1" x14ac:dyDescent="0.2">
      <c r="A544" s="22" t="s">
        <v>635</v>
      </c>
      <c r="B544" s="105">
        <v>21</v>
      </c>
      <c r="C544" s="105">
        <v>19</v>
      </c>
      <c r="D544" s="2" t="s">
        <v>432</v>
      </c>
      <c r="E544" s="105"/>
      <c r="F544" s="18"/>
      <c r="G544" s="18"/>
      <c r="H544" s="18">
        <v>67176</v>
      </c>
      <c r="I544" s="18"/>
      <c r="J544" s="18"/>
      <c r="K544" s="18"/>
      <c r="L544" s="88">
        <f>SUM(F544:K544)</f>
        <v>67176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244659</v>
      </c>
      <c r="I545" s="193">
        <f t="shared" si="40"/>
        <v>0</v>
      </c>
      <c r="J545" s="193">
        <f t="shared" si="40"/>
        <v>0</v>
      </c>
      <c r="K545" s="193">
        <f t="shared" si="40"/>
        <v>0</v>
      </c>
      <c r="L545" s="193">
        <f t="shared" si="40"/>
        <v>244659</v>
      </c>
      <c r="M545" s="8"/>
      <c r="N545" s="266"/>
    </row>
    <row r="546" spans="1:14" s="3" customFormat="1" ht="12.2" customHeight="1" thickTop="1" x14ac:dyDescent="0.15">
      <c r="A546" s="98" t="s">
        <v>72</v>
      </c>
      <c r="B546" s="107">
        <v>21</v>
      </c>
      <c r="C546" s="107">
        <v>21</v>
      </c>
      <c r="D546" s="158" t="s">
        <v>432</v>
      </c>
      <c r="E546" s="107"/>
      <c r="F546" s="89">
        <f>F525+F530+F535+F540+F545</f>
        <v>4216849</v>
      </c>
      <c r="G546" s="89">
        <f t="shared" ref="G546:L546" si="41">G525+G530+G535+G540+G545</f>
        <v>2090153</v>
      </c>
      <c r="H546" s="89">
        <f t="shared" si="41"/>
        <v>2690590</v>
      </c>
      <c r="I546" s="89">
        <f t="shared" si="41"/>
        <v>20194</v>
      </c>
      <c r="J546" s="89">
        <f t="shared" si="41"/>
        <v>7086</v>
      </c>
      <c r="K546" s="89">
        <f t="shared" si="41"/>
        <v>0</v>
      </c>
      <c r="L546" s="89">
        <f t="shared" si="41"/>
        <v>9024872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3134648</v>
      </c>
      <c r="G550" s="87">
        <f>L527</f>
        <v>1333106</v>
      </c>
      <c r="H550" s="87">
        <f>L532</f>
        <v>282194</v>
      </c>
      <c r="I550" s="87">
        <f>L537</f>
        <v>5680</v>
      </c>
      <c r="J550" s="87">
        <f>L542</f>
        <v>116236</v>
      </c>
      <c r="K550" s="87">
        <f>SUM(F550:J550)</f>
        <v>4871864</v>
      </c>
      <c r="L550" s="24" t="s">
        <v>288</v>
      </c>
      <c r="M550" s="8"/>
      <c r="N550" s="266"/>
    </row>
    <row r="551" spans="1:14" s="3" customFormat="1" ht="12.2" customHeight="1" x14ac:dyDescent="0.15">
      <c r="A551" s="22" t="s">
        <v>634</v>
      </c>
      <c r="B551" s="75">
        <v>21</v>
      </c>
      <c r="C551" s="75">
        <v>23</v>
      </c>
      <c r="D551" s="2" t="s">
        <v>432</v>
      </c>
      <c r="E551" s="75"/>
      <c r="F551" s="87">
        <f>L523</f>
        <v>1531306</v>
      </c>
      <c r="G551" s="87">
        <f>L528</f>
        <v>592340</v>
      </c>
      <c r="H551" s="87">
        <f>L533</f>
        <v>69560</v>
      </c>
      <c r="I551" s="87">
        <f>L538</f>
        <v>3245</v>
      </c>
      <c r="J551" s="87">
        <f>L543</f>
        <v>61247</v>
      </c>
      <c r="K551" s="87">
        <f>SUM(F551:J551)</f>
        <v>2257698</v>
      </c>
      <c r="L551" s="24" t="s">
        <v>288</v>
      </c>
      <c r="M551" s="8"/>
      <c r="N551" s="266"/>
    </row>
    <row r="552" spans="1:14" s="3" customFormat="1" ht="12.2" customHeight="1" thickBot="1" x14ac:dyDescent="0.2">
      <c r="A552" s="22" t="s">
        <v>635</v>
      </c>
      <c r="B552" s="75">
        <v>21</v>
      </c>
      <c r="C552" s="75">
        <v>24</v>
      </c>
      <c r="D552" s="2" t="s">
        <v>432</v>
      </c>
      <c r="E552" s="75"/>
      <c r="F552" s="87">
        <f>L524</f>
        <v>1305942</v>
      </c>
      <c r="G552" s="87">
        <f>L529</f>
        <v>447347</v>
      </c>
      <c r="H552" s="87">
        <f>L534</f>
        <v>71283</v>
      </c>
      <c r="I552" s="87">
        <f>L539</f>
        <v>3562</v>
      </c>
      <c r="J552" s="87">
        <f>L544</f>
        <v>67176</v>
      </c>
      <c r="K552" s="87">
        <f>SUM(F552:J552)</f>
        <v>1895310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5971896</v>
      </c>
      <c r="G553" s="89">
        <f t="shared" si="42"/>
        <v>2372793</v>
      </c>
      <c r="H553" s="89">
        <f t="shared" si="42"/>
        <v>423037</v>
      </c>
      <c r="I553" s="89">
        <f t="shared" si="42"/>
        <v>12487</v>
      </c>
      <c r="J553" s="89">
        <f t="shared" si="42"/>
        <v>244659</v>
      </c>
      <c r="K553" s="89">
        <f t="shared" si="42"/>
        <v>9024872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23218</v>
      </c>
      <c r="G580" s="18"/>
      <c r="H580" s="18">
        <v>3953</v>
      </c>
      <c r="I580" s="87">
        <f t="shared" si="47"/>
        <v>27171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128964</v>
      </c>
      <c r="G583" s="18">
        <v>196249</v>
      </c>
      <c r="H583" s="18">
        <v>153467</v>
      </c>
      <c r="I583" s="87">
        <f t="shared" si="47"/>
        <v>478680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64027</v>
      </c>
      <c r="G584" s="18">
        <v>29671</v>
      </c>
      <c r="H584" s="18">
        <v>211021</v>
      </c>
      <c r="I584" s="87">
        <f t="shared" si="47"/>
        <v>304719</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5078</v>
      </c>
      <c r="I585" s="87">
        <f t="shared" si="47"/>
        <v>5078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165525</v>
      </c>
      <c r="I592" s="18">
        <v>94584</v>
      </c>
      <c r="J592" s="18">
        <v>103833</v>
      </c>
      <c r="K592" s="104">
        <f t="shared" ref="K592:K598" si="48">SUM(H592:J592)</f>
        <v>363942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116236</v>
      </c>
      <c r="I593" s="18">
        <v>61247</v>
      </c>
      <c r="J593" s="18">
        <v>67176</v>
      </c>
      <c r="K593" s="104">
        <f t="shared" si="48"/>
        <v>244659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25+2964</f>
        <v>2989</v>
      </c>
      <c r="K594" s="104">
        <f t="shared" si="48"/>
        <v>2989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6627</v>
      </c>
      <c r="J595" s="18">
        <v>30295</v>
      </c>
      <c r="K595" s="104">
        <f t="shared" si="48"/>
        <v>36922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800</v>
      </c>
      <c r="I596" s="18">
        <v>1525</v>
      </c>
      <c r="J596" s="18">
        <v>2519</v>
      </c>
      <c r="K596" s="104">
        <f t="shared" si="48"/>
        <v>4844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282561</v>
      </c>
      <c r="I599" s="108">
        <f>SUM(I592:I598)</f>
        <v>163983</v>
      </c>
      <c r="J599" s="108">
        <f>SUM(J592:J598)</f>
        <v>206812</v>
      </c>
      <c r="K599" s="108">
        <f>SUM(K592:K598)</f>
        <v>653356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368839</v>
      </c>
      <c r="I605" s="18">
        <v>150411</v>
      </c>
      <c r="J605" s="18">
        <v>178903</v>
      </c>
      <c r="K605" s="104">
        <f>SUM(H605:J605)</f>
        <v>698153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368839</v>
      </c>
      <c r="I606" s="108">
        <f>SUM(I603:I605)</f>
        <v>150411</v>
      </c>
      <c r="J606" s="108">
        <f>SUM(J603:J605)</f>
        <v>178903</v>
      </c>
      <c r="K606" s="108">
        <f>SUM(K603:K605)</f>
        <v>698153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11102</v>
      </c>
      <c r="G612" s="18">
        <v>2525</v>
      </c>
      <c r="H612" s="18"/>
      <c r="I612" s="18">
        <v>6787</v>
      </c>
      <c r="J612" s="18"/>
      <c r="K612" s="18"/>
      <c r="L612" s="88">
        <f>SUM(F612:K612)</f>
        <v>20414</v>
      </c>
      <c r="M612" s="8"/>
      <c r="N612" s="266"/>
    </row>
    <row r="613" spans="1:14" s="3" customFormat="1" ht="12.2" customHeight="1" x14ac:dyDescent="0.15">
      <c r="A613" s="22" t="s">
        <v>634</v>
      </c>
      <c r="B613" s="75">
        <v>23</v>
      </c>
      <c r="C613" s="75">
        <v>14</v>
      </c>
      <c r="D613" s="2" t="s">
        <v>432</v>
      </c>
      <c r="E613" s="75"/>
      <c r="F613" s="18">
        <v>3898</v>
      </c>
      <c r="G613" s="18">
        <v>658</v>
      </c>
      <c r="H613" s="18"/>
      <c r="I613" s="18"/>
      <c r="J613" s="18"/>
      <c r="K613" s="18"/>
      <c r="L613" s="88">
        <f>SUM(F613:K613)</f>
        <v>4556</v>
      </c>
      <c r="M613" s="8"/>
      <c r="N613" s="266"/>
    </row>
    <row r="614" spans="1:14" s="3" customFormat="1" ht="12.2" customHeight="1" thickBot="1" x14ac:dyDescent="0.2">
      <c r="A614" s="22" t="s">
        <v>645</v>
      </c>
      <c r="B614" s="75">
        <v>23</v>
      </c>
      <c r="C614" s="75">
        <v>15</v>
      </c>
      <c r="D614" s="2" t="s">
        <v>432</v>
      </c>
      <c r="E614" s="75"/>
      <c r="F614" s="18">
        <f>10775</f>
        <v>10775</v>
      </c>
      <c r="G614" s="18">
        <v>2158</v>
      </c>
      <c r="H614" s="18"/>
      <c r="I614" s="18"/>
      <c r="J614" s="18"/>
      <c r="K614" s="18"/>
      <c r="L614" s="88">
        <f>SUM(F614:K614)</f>
        <v>12933</v>
      </c>
      <c r="M614" s="8"/>
      <c r="N614" s="266"/>
    </row>
    <row r="615" spans="1:14" s="3" customFormat="1" ht="12.2" customHeight="1" thickTop="1" x14ac:dyDescent="0.15">
      <c r="A615" s="98" t="s">
        <v>340</v>
      </c>
      <c r="B615" s="107">
        <v>23</v>
      </c>
      <c r="C615" s="107">
        <v>16</v>
      </c>
      <c r="D615" s="39" t="s">
        <v>432</v>
      </c>
      <c r="E615" s="107"/>
      <c r="F615" s="108">
        <f t="shared" ref="F615:L615" si="49">SUM(F612:F614)</f>
        <v>25775</v>
      </c>
      <c r="G615" s="108">
        <f t="shared" si="49"/>
        <v>5341</v>
      </c>
      <c r="H615" s="108">
        <f t="shared" si="49"/>
        <v>0</v>
      </c>
      <c r="I615" s="108">
        <f t="shared" si="49"/>
        <v>6787</v>
      </c>
      <c r="J615" s="108">
        <f t="shared" si="49"/>
        <v>0</v>
      </c>
      <c r="K615" s="108">
        <f t="shared" si="49"/>
        <v>0</v>
      </c>
      <c r="L615" s="89">
        <f t="shared" si="49"/>
        <v>37903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3697523</v>
      </c>
      <c r="H618" s="109">
        <f>SUM(F52)</f>
        <v>3697523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53985</v>
      </c>
      <c r="H619" s="109">
        <f>SUM(G52)</f>
        <v>53985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1619466</v>
      </c>
      <c r="H620" s="109">
        <f>SUM(H52)</f>
        <v>1619466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15000</v>
      </c>
      <c r="H623" s="109">
        <f>F477</f>
        <v>15000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34912465</v>
      </c>
      <c r="H628" s="104">
        <f>SUM(F469)</f>
        <v>34912465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990021</v>
      </c>
      <c r="H629" s="104">
        <f>SUM(G469)</f>
        <v>990021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3820230</v>
      </c>
      <c r="H630" s="104">
        <f>SUM(H469)</f>
        <v>3820230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34897465</v>
      </c>
      <c r="H633" s="104">
        <f>SUM(F473)</f>
        <v>34897465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3820230</v>
      </c>
      <c r="H634" s="104">
        <f>SUM(H473)</f>
        <v>3820230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464071</v>
      </c>
      <c r="H635" s="104">
        <f>I370</f>
        <v>464071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990021</v>
      </c>
      <c r="H636" s="104">
        <f>SUM(G473)</f>
        <v>990021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653356</v>
      </c>
      <c r="H648" s="104">
        <f>L209+L227+L245</f>
        <v>653356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698153</v>
      </c>
      <c r="H649" s="104">
        <f>(J258+J339)-(J256+J337)</f>
        <v>698153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282561</v>
      </c>
      <c r="H650" s="104">
        <f>H599</f>
        <v>282561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163983</v>
      </c>
      <c r="H651" s="104">
        <f>I599</f>
        <v>163983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206812</v>
      </c>
      <c r="H652" s="104">
        <f>J599</f>
        <v>206812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56443</v>
      </c>
      <c r="H653" s="104">
        <f>K264+K346</f>
        <v>56443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150000</v>
      </c>
      <c r="H654" s="104">
        <f>K265</f>
        <v>150000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16111250</v>
      </c>
      <c r="G661" s="19">
        <f>(L230+L310+L360)</f>
        <v>7962945</v>
      </c>
      <c r="H661" s="19">
        <f>(L248+L329+L361)</f>
        <v>12163292</v>
      </c>
      <c r="I661" s="19">
        <f>SUM(F661:H661)</f>
        <v>36237487</v>
      </c>
      <c r="J661" s="13"/>
      <c r="K661" s="13"/>
      <c r="L661" s="13"/>
      <c r="M661" s="9"/>
    </row>
    <row r="662" spans="1:13" s="3" customFormat="1" ht="12.2" customHeight="1" x14ac:dyDescent="0.2">
      <c r="A662" s="1" t="s">
        <v>127</v>
      </c>
      <c r="F662" s="19">
        <f>(L359/IF(SUM(L359:L361)=0,1,SUM(L359:L361))*(SUM(G97:G110)))</f>
        <v>123914.03991430484</v>
      </c>
      <c r="G662" s="19">
        <f>(L360/IF(SUM(L359:L361)=0,1,SUM(L359:L361))*(SUM(G97:G110)))</f>
        <v>61011.373355716692</v>
      </c>
      <c r="H662" s="19">
        <f>(L361/IF(SUM(L359:L361)=0,1,SUM(L359:L361))*(SUM(G97:G110)))</f>
        <v>51133.586729978459</v>
      </c>
      <c r="I662" s="19">
        <f>SUM(F662:H662)</f>
        <v>236059</v>
      </c>
      <c r="J662"/>
      <c r="K662" s="13"/>
      <c r="L662" s="13"/>
      <c r="M662" s="8"/>
    </row>
    <row r="663" spans="1:13" s="3" customFormat="1" ht="12.2" customHeight="1" x14ac:dyDescent="0.2">
      <c r="A663" s="1" t="s">
        <v>128</v>
      </c>
      <c r="F663" s="19">
        <f>(L209+L288)-(J209+J288)</f>
        <v>306176</v>
      </c>
      <c r="G663" s="19">
        <f>(L227+L307)-(J227+J307)</f>
        <v>166842</v>
      </c>
      <c r="H663" s="19">
        <f>(L245+L326)-(J245+J326)</f>
        <v>214396</v>
      </c>
      <c r="I663" s="19">
        <f>SUM(F663:H663)</f>
        <v>687414</v>
      </c>
      <c r="J663"/>
      <c r="K663" s="13"/>
      <c r="L663" s="13"/>
      <c r="M663" s="9"/>
    </row>
    <row r="664" spans="1:13" s="3" customFormat="1" ht="12.2" customHeight="1" x14ac:dyDescent="0.15">
      <c r="A664" s="198" t="s">
        <v>129</v>
      </c>
      <c r="B664" s="169"/>
      <c r="C664" s="169"/>
      <c r="D664" s="169"/>
      <c r="E664" s="169"/>
      <c r="F664" s="199">
        <f>SUM(F576:F588)+SUM(H603:H605)+SUM(L612)</f>
        <v>605462</v>
      </c>
      <c r="G664" s="199">
        <f>SUM(G576:G588)+SUM(I603:I605)+L613</f>
        <v>380887</v>
      </c>
      <c r="H664" s="199">
        <f>SUM(H576:H588)+SUM(J603:J605)+L614</f>
        <v>565355</v>
      </c>
      <c r="I664" s="19">
        <f>SUM(F664:H664)</f>
        <v>1551704</v>
      </c>
      <c r="J664" s="13"/>
      <c r="K664" s="13"/>
      <c r="L664" s="13"/>
      <c r="M664" s="9"/>
    </row>
    <row r="665" spans="1:13" s="3" customFormat="1" ht="12.2" customHeight="1" x14ac:dyDescent="0.15">
      <c r="A665" s="1" t="s">
        <v>130</v>
      </c>
      <c r="F665" s="19">
        <f>F661-SUM(F662:F664)</f>
        <v>15075697.960085696</v>
      </c>
      <c r="G665" s="19">
        <f>G661-SUM(G662:G664)</f>
        <v>7354204.6266442835</v>
      </c>
      <c r="H665" s="19">
        <f>H661-SUM(H662:H664)</f>
        <v>11332407.413270021</v>
      </c>
      <c r="I665" s="19">
        <f>I661-SUM(I662:I664)</f>
        <v>33762310</v>
      </c>
      <c r="J665" s="13"/>
      <c r="K665" s="13"/>
      <c r="L665" s="13"/>
      <c r="M665" s="8"/>
    </row>
    <row r="666" spans="1:13" s="3" customFormat="1" ht="12.2" customHeight="1" x14ac:dyDescent="0.2">
      <c r="A666" s="1" t="s">
        <v>131</v>
      </c>
      <c r="F666" s="246">
        <f>39.16+130.78+709.5</f>
        <v>879.44</v>
      </c>
      <c r="G666" s="247">
        <v>480.08</v>
      </c>
      <c r="H666" s="247">
        <v>524.76</v>
      </c>
      <c r="I666" s="19">
        <f>SUM(F666:H666)</f>
        <v>1884.28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17142.38</v>
      </c>
      <c r="G668" s="19">
        <f>ROUND(G665/G666,2)</f>
        <v>15318.71</v>
      </c>
      <c r="H668" s="19">
        <f>ROUND(H665/H666,2)</f>
        <v>21595.41</v>
      </c>
      <c r="I668" s="19">
        <f>ROUND(I665/I666,2)</f>
        <v>17917.88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76.05</v>
      </c>
      <c r="I671" s="19">
        <f>SUM(F671:H671)</f>
        <v>76.05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17142.38</v>
      </c>
      <c r="G673" s="19">
        <f>ROUND((G665+G670)/(G666+G671),2)</f>
        <v>15318.71</v>
      </c>
      <c r="H673" s="19">
        <f>ROUND((H665+H670)/(H666+H671),2)</f>
        <v>18861.88</v>
      </c>
      <c r="I673" s="19">
        <f>ROUND((I665+I670)/(I666+I671),2)</f>
        <v>17222.77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link="1"/>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Laconia</v>
      </c>
      <c r="C5" s="344"/>
      <c r="D5" s="344"/>
      <c r="E5" s="344"/>
      <c r="F5" s="344"/>
    </row>
    <row r="8" spans="1:9" ht="18" x14ac:dyDescent="0.25">
      <c r="A8" s="323" t="s">
        <v>1591</v>
      </c>
      <c r="F8" s="330" t="s">
        <v>1609</v>
      </c>
    </row>
    <row r="9" spans="1:9" ht="15" x14ac:dyDescent="0.2">
      <c r="A9" s="321" t="s">
        <v>1592</v>
      </c>
      <c r="B9" s="324">
        <f>'DOE25'!G97</f>
        <v>236059</v>
      </c>
      <c r="F9" s="321" t="s">
        <v>1605</v>
      </c>
    </row>
    <row r="10" spans="1:9" ht="15" x14ac:dyDescent="0.2">
      <c r="A10" s="321" t="s">
        <v>1593</v>
      </c>
      <c r="B10" s="324">
        <f>'DOE25'!G112-'DOE25'!G97</f>
        <v>0</v>
      </c>
      <c r="F10" s="321" t="s">
        <v>1606</v>
      </c>
    </row>
    <row r="11" spans="1:9" ht="15" x14ac:dyDescent="0.2">
      <c r="A11" s="321" t="s">
        <v>1594</v>
      </c>
      <c r="B11" s="324">
        <f>'DOE25'!G140</f>
        <v>10703</v>
      </c>
      <c r="F11" s="321" t="s">
        <v>1607</v>
      </c>
    </row>
    <row r="12" spans="1:9" ht="15" x14ac:dyDescent="0.2">
      <c r="A12" s="321" t="s">
        <v>1595</v>
      </c>
      <c r="B12" s="324">
        <f>'DOE25'!G170</f>
        <v>686816</v>
      </c>
      <c r="F12" s="321" t="s">
        <v>1608</v>
      </c>
    </row>
    <row r="13" spans="1:9" ht="15" x14ac:dyDescent="0.2">
      <c r="A13" s="321" t="s">
        <v>1596</v>
      </c>
      <c r="B13" s="324">
        <f>'DOE25'!G193-'DOE25'!G180</f>
        <v>0</v>
      </c>
      <c r="F13" s="321" t="s">
        <v>1618</v>
      </c>
    </row>
    <row r="14" spans="1:9" ht="18" x14ac:dyDescent="0.25">
      <c r="A14" s="323" t="s">
        <v>732</v>
      </c>
      <c r="B14" s="325">
        <f>SUM(B9:B13)</f>
        <v>933578</v>
      </c>
    </row>
    <row r="16" spans="1:9" ht="18" x14ac:dyDescent="0.25">
      <c r="A16" s="323" t="s">
        <v>786</v>
      </c>
      <c r="F16" s="330" t="s">
        <v>1610</v>
      </c>
    </row>
    <row r="17" spans="1:6" ht="15" x14ac:dyDescent="0.2">
      <c r="A17" s="321" t="s">
        <v>1597</v>
      </c>
      <c r="B17" s="324">
        <f>'DOE25'!L363-'DOE25'!L362</f>
        <v>990021</v>
      </c>
      <c r="F17" s="321" t="s">
        <v>1611</v>
      </c>
    </row>
    <row r="18" spans="1:6" ht="15" x14ac:dyDescent="0.2">
      <c r="A18" s="321" t="s">
        <v>1598</v>
      </c>
      <c r="B18" s="338"/>
      <c r="F18" s="330" t="s">
        <v>1637</v>
      </c>
    </row>
    <row r="19" spans="1:6" ht="18" x14ac:dyDescent="0.25">
      <c r="A19" s="323" t="s">
        <v>725</v>
      </c>
      <c r="B19" s="325">
        <f>SUM(B17:B18)</f>
        <v>990021</v>
      </c>
    </row>
    <row r="21" spans="1:6" ht="18.75" thickBot="1" x14ac:dyDescent="0.3">
      <c r="A21" s="323" t="s">
        <v>1599</v>
      </c>
    </row>
    <row r="22" spans="1:6" ht="18.75" thickTop="1" x14ac:dyDescent="0.25">
      <c r="A22" s="323" t="s">
        <v>1600</v>
      </c>
      <c r="B22" s="329">
        <f>B14-B19</f>
        <v>-56443</v>
      </c>
      <c r="F22" s="321" t="s">
        <v>1612</v>
      </c>
    </row>
    <row r="26" spans="1:6" ht="18" x14ac:dyDescent="0.25">
      <c r="A26" s="323" t="s">
        <v>186</v>
      </c>
    </row>
    <row r="27" spans="1:6" ht="15" x14ac:dyDescent="0.2">
      <c r="A27" s="321" t="s">
        <v>1601</v>
      </c>
      <c r="B27" s="324">
        <f>'DOE25'!G180</f>
        <v>56443</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42370</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zoomScale="120" zoomScaleNormal="120" workbookViewId="0">
      <selection activeCell="C28" sqref="C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Laconia</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8536014</v>
      </c>
      <c r="C9" s="229">
        <f>'DOE25'!G198+'DOE25'!G216+'DOE25'!G234+'DOE25'!G277+'DOE25'!G296+'DOE25'!G315</f>
        <v>4280073</v>
      </c>
    </row>
    <row r="10" spans="1:3" x14ac:dyDescent="0.2">
      <c r="A10" t="s">
        <v>775</v>
      </c>
      <c r="B10" s="240">
        <v>7866614</v>
      </c>
      <c r="C10" s="240">
        <v>4001256</v>
      </c>
    </row>
    <row r="11" spans="1:3" x14ac:dyDescent="0.2">
      <c r="A11" t="s">
        <v>776</v>
      </c>
      <c r="B11" s="240">
        <v>25001</v>
      </c>
      <c r="C11" s="240">
        <v>4958</v>
      </c>
    </row>
    <row r="12" spans="1:3" x14ac:dyDescent="0.2">
      <c r="A12" t="s">
        <v>777</v>
      </c>
      <c r="B12" s="240">
        <v>644399</v>
      </c>
      <c r="C12" s="240">
        <v>273859</v>
      </c>
    </row>
    <row r="13" spans="1:3" x14ac:dyDescent="0.2">
      <c r="A13" t="str">
        <f>IF(B9=B13,IF(C9=C13,"Check Total OK","Check Total Error"),"Check Total Error")</f>
        <v>Check Total OK</v>
      </c>
      <c r="B13" s="231">
        <f>SUM(B10:B12)</f>
        <v>8536014</v>
      </c>
      <c r="C13" s="231">
        <f>SUM(C10:C12)</f>
        <v>4280073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3774519</v>
      </c>
      <c r="C18" s="229">
        <f>'DOE25'!G199+'DOE25'!G217+'DOE25'!G235+'DOE25'!G278+'DOE25'!G297+'DOE25'!G316</f>
        <v>1932628</v>
      </c>
    </row>
    <row r="19" spans="1:3" x14ac:dyDescent="0.2">
      <c r="A19" t="s">
        <v>775</v>
      </c>
      <c r="B19" s="240">
        <v>1833467</v>
      </c>
      <c r="C19" s="240">
        <v>1134004</v>
      </c>
    </row>
    <row r="20" spans="1:3" x14ac:dyDescent="0.2">
      <c r="A20" t="s">
        <v>776</v>
      </c>
      <c r="B20" s="240">
        <v>1518309</v>
      </c>
      <c r="C20" s="240">
        <v>609617</v>
      </c>
    </row>
    <row r="21" spans="1:3" x14ac:dyDescent="0.2">
      <c r="A21" t="s">
        <v>777</v>
      </c>
      <c r="B21" s="240">
        <v>422743</v>
      </c>
      <c r="C21" s="240">
        <v>189007</v>
      </c>
    </row>
    <row r="22" spans="1:3" x14ac:dyDescent="0.2">
      <c r="A22" t="str">
        <f>IF(B18=B22,IF(C18=C22,"Check Total OK","Check Total Error"),"Check Total Error")</f>
        <v>Check Total OK</v>
      </c>
      <c r="B22" s="231">
        <f>SUM(B19:B21)</f>
        <v>3774519</v>
      </c>
      <c r="C22" s="231">
        <f>SUM(C19:C21)</f>
        <v>1932628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758069</v>
      </c>
      <c r="C27" s="234">
        <f>'DOE25'!G200+'DOE25'!G218+'DOE25'!G236+'DOE25'!G279+'DOE25'!G298+'DOE25'!G317</f>
        <v>385696</v>
      </c>
    </row>
    <row r="28" spans="1:3" x14ac:dyDescent="0.2">
      <c r="A28" t="s">
        <v>775</v>
      </c>
      <c r="B28" s="240">
        <v>618898</v>
      </c>
      <c r="C28" s="240">
        <v>365912</v>
      </c>
    </row>
    <row r="29" spans="1:3" x14ac:dyDescent="0.2">
      <c r="A29" t="s">
        <v>776</v>
      </c>
      <c r="B29" s="240">
        <v>20860</v>
      </c>
      <c r="C29" s="240">
        <v>3372</v>
      </c>
    </row>
    <row r="30" spans="1:3" x14ac:dyDescent="0.2">
      <c r="A30" t="s">
        <v>777</v>
      </c>
      <c r="B30" s="240">
        <v>118311</v>
      </c>
      <c r="C30" s="240">
        <v>16412</v>
      </c>
    </row>
    <row r="31" spans="1:3" x14ac:dyDescent="0.2">
      <c r="A31" t="str">
        <f>IF(B27=B31,IF(C27=C31,"Check Total OK","Check Total Error"),"Check Total Error")</f>
        <v>Check Total OK</v>
      </c>
      <c r="B31" s="231">
        <f>SUM(B28:B30)</f>
        <v>758069</v>
      </c>
      <c r="C31" s="231">
        <f>SUM(C28:C30)</f>
        <v>385696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176817</v>
      </c>
      <c r="C36" s="235">
        <f>'DOE25'!G201+'DOE25'!G219+'DOE25'!G237+'DOE25'!G280+'DOE25'!G299+'DOE25'!G318</f>
        <v>21925</v>
      </c>
    </row>
    <row r="37" spans="1:3" x14ac:dyDescent="0.2">
      <c r="A37" t="s">
        <v>775</v>
      </c>
      <c r="B37" s="240">
        <v>51202</v>
      </c>
      <c r="C37" s="240">
        <v>12547</v>
      </c>
    </row>
    <row r="38" spans="1:3" x14ac:dyDescent="0.2">
      <c r="A38" t="s">
        <v>776</v>
      </c>
      <c r="B38" s="240"/>
      <c r="C38" s="240"/>
    </row>
    <row r="39" spans="1:3" x14ac:dyDescent="0.2">
      <c r="A39" t="s">
        <v>777</v>
      </c>
      <c r="B39" s="240">
        <v>125615</v>
      </c>
      <c r="C39" s="240">
        <v>9378</v>
      </c>
    </row>
    <row r="40" spans="1:3" x14ac:dyDescent="0.2">
      <c r="A40" t="str">
        <f>IF(B36=B40,IF(C36=C40,"Check Total OK","Check Total Error"),"Check Total Error")</f>
        <v>Check Total OK</v>
      </c>
      <c r="B40" s="231">
        <f>SUM(B37:B39)</f>
        <v>176817</v>
      </c>
      <c r="C40" s="231">
        <f>SUM(C37:C39)</f>
        <v>21925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Laconia</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20304565</v>
      </c>
      <c r="D5" s="20">
        <f>SUM('DOE25'!L198:L201)+SUM('DOE25'!L216:L219)+SUM('DOE25'!L234:L237)-F5-G5-H5</f>
        <v>20144107</v>
      </c>
      <c r="E5" s="243"/>
      <c r="F5" s="244">
        <v>14784</v>
      </c>
      <c r="G5" s="53">
        <f>SUM('DOE25'!J198:J201)+SUM('DOE25'!J216:J219)+SUM('DOE25'!J234:J237)</f>
        <v>143341</v>
      </c>
      <c r="H5" s="53">
        <f>SUM('DOE25'!K198:K201)+SUM('DOE25'!K216:K219)+SUM('DOE25'!K234:K237)</f>
        <v>2333</v>
      </c>
      <c r="I5" s="256"/>
    </row>
    <row r="6" spans="1:9" x14ac:dyDescent="0.2">
      <c r="A6" s="32">
        <v>2100</v>
      </c>
      <c r="B6" t="s">
        <v>796</v>
      </c>
      <c r="C6" s="276">
        <f t="shared" si="0"/>
        <v>2127754</v>
      </c>
      <c r="D6" s="20">
        <f>'DOE25'!L203+'DOE25'!L221+'DOE25'!L239-F6-G6-H6</f>
        <v>2085837</v>
      </c>
      <c r="E6" s="243"/>
      <c r="F6" s="244">
        <v>38375</v>
      </c>
      <c r="G6" s="53">
        <f>'DOE25'!J203+'DOE25'!J221+'DOE25'!J239</f>
        <v>3542</v>
      </c>
      <c r="H6" s="53">
        <f>'DOE25'!K203+'DOE25'!K221+'DOE25'!K239</f>
        <v>0</v>
      </c>
      <c r="I6" s="256"/>
    </row>
    <row r="7" spans="1:9" x14ac:dyDescent="0.2">
      <c r="A7" s="32">
        <v>2200</v>
      </c>
      <c r="B7" t="s">
        <v>821</v>
      </c>
      <c r="C7" s="276">
        <f t="shared" si="0"/>
        <v>1543408</v>
      </c>
      <c r="D7" s="20">
        <f>'DOE25'!L204+'DOE25'!L222+'DOE25'!L240-F7-G7-H7</f>
        <v>1115275</v>
      </c>
      <c r="E7" s="243"/>
      <c r="F7" s="244">
        <v>10360</v>
      </c>
      <c r="G7" s="53">
        <f>'DOE25'!J204+'DOE25'!J222+'DOE25'!J240</f>
        <v>417773</v>
      </c>
      <c r="H7" s="53">
        <f>'DOE25'!K204+'DOE25'!K222+'DOE25'!K240</f>
        <v>0</v>
      </c>
      <c r="I7" s="256"/>
    </row>
    <row r="8" spans="1:9" x14ac:dyDescent="0.2">
      <c r="A8" s="32">
        <v>2300</v>
      </c>
      <c r="B8" t="s">
        <v>797</v>
      </c>
      <c r="C8" s="276">
        <f t="shared" si="0"/>
        <v>350593</v>
      </c>
      <c r="D8" s="243"/>
      <c r="E8" s="20">
        <f>'DOE25'!L205+'DOE25'!L223+'DOE25'!L241-F8-G8-H8-D9-D11</f>
        <v>268723</v>
      </c>
      <c r="F8" s="244">
        <v>36936</v>
      </c>
      <c r="G8" s="53">
        <f>'DOE25'!J205+'DOE25'!J223+'DOE25'!J241</f>
        <v>11678</v>
      </c>
      <c r="H8" s="53">
        <f>'DOE25'!K205+'DOE25'!K223+'DOE25'!K241</f>
        <v>33256</v>
      </c>
      <c r="I8" s="256"/>
    </row>
    <row r="9" spans="1:9" ht="14.25" x14ac:dyDescent="0.2">
      <c r="A9" s="32">
        <v>2310</v>
      </c>
      <c r="B9" s="185" t="s">
        <v>890</v>
      </c>
      <c r="C9" s="276">
        <f t="shared" si="0"/>
        <v>132449</v>
      </c>
      <c r="D9" s="244">
        <v>132449</v>
      </c>
      <c r="E9" s="243"/>
      <c r="F9" s="253"/>
      <c r="G9" s="253"/>
      <c r="H9" s="253"/>
      <c r="I9" s="256"/>
    </row>
    <row r="10" spans="1:9" ht="14.25" x14ac:dyDescent="0.2">
      <c r="A10" s="32">
        <v>2317</v>
      </c>
      <c r="B10" s="185" t="s">
        <v>891</v>
      </c>
      <c r="C10" s="276">
        <f t="shared" si="0"/>
        <v>9775</v>
      </c>
      <c r="D10" s="243"/>
      <c r="E10" s="244">
        <v>9775</v>
      </c>
      <c r="F10" s="253"/>
      <c r="G10" s="253"/>
      <c r="H10" s="253"/>
      <c r="I10" s="256"/>
    </row>
    <row r="11" spans="1:9" ht="14.25" x14ac:dyDescent="0.2">
      <c r="A11" s="32">
        <v>2321</v>
      </c>
      <c r="B11" s="185" t="s">
        <v>892</v>
      </c>
      <c r="C11" s="276">
        <f t="shared" si="0"/>
        <v>370031</v>
      </c>
      <c r="D11" s="244">
        <v>370031</v>
      </c>
      <c r="E11" s="243"/>
      <c r="F11" s="253"/>
      <c r="G11" s="253"/>
      <c r="H11" s="253"/>
      <c r="I11" s="256"/>
    </row>
    <row r="12" spans="1:9" x14ac:dyDescent="0.2">
      <c r="A12" s="32">
        <v>2400</v>
      </c>
      <c r="B12" t="s">
        <v>711</v>
      </c>
      <c r="C12" s="276">
        <f t="shared" si="0"/>
        <v>2076907</v>
      </c>
      <c r="D12" s="20">
        <f>'DOE25'!L206+'DOE25'!L224+'DOE25'!L242-F12-G12-H12</f>
        <v>2067441</v>
      </c>
      <c r="E12" s="243"/>
      <c r="F12" s="244"/>
      <c r="G12" s="53">
        <f>'DOE25'!J206+'DOE25'!J224+'DOE25'!J242</f>
        <v>0</v>
      </c>
      <c r="H12" s="53">
        <f>'DOE25'!K206+'DOE25'!K224+'DOE25'!K242</f>
        <v>9466</v>
      </c>
      <c r="I12" s="256"/>
    </row>
    <row r="13" spans="1:9" x14ac:dyDescent="0.2">
      <c r="A13" s="32">
        <v>2500</v>
      </c>
      <c r="B13" t="s">
        <v>798</v>
      </c>
      <c r="C13" s="276">
        <f t="shared" si="0"/>
        <v>438653</v>
      </c>
      <c r="D13" s="243"/>
      <c r="E13" s="20">
        <f>'DOE25'!L207+'DOE25'!L225+'DOE25'!L243-F13-G13-H13</f>
        <v>437156</v>
      </c>
      <c r="F13" s="244"/>
      <c r="G13" s="53">
        <f>'DOE25'!J207+'DOE25'!J225+'DOE25'!J243</f>
        <v>1497</v>
      </c>
      <c r="H13" s="53">
        <f>'DOE25'!K207+'DOE25'!K225+'DOE25'!K243</f>
        <v>0</v>
      </c>
      <c r="I13" s="256"/>
    </row>
    <row r="14" spans="1:9" x14ac:dyDescent="0.2">
      <c r="A14" s="32">
        <v>2600</v>
      </c>
      <c r="B14" t="s">
        <v>819</v>
      </c>
      <c r="C14" s="276">
        <f t="shared" si="0"/>
        <v>3863909</v>
      </c>
      <c r="D14" s="20">
        <f>'DOE25'!L208+'DOE25'!L226+'DOE25'!L244-F14-G14-H14</f>
        <v>2940244</v>
      </c>
      <c r="E14" s="243"/>
      <c r="F14" s="244">
        <v>919925</v>
      </c>
      <c r="G14" s="53">
        <f>'DOE25'!J208+'DOE25'!J226+'DOE25'!J244</f>
        <v>3740</v>
      </c>
      <c r="H14" s="53">
        <f>'DOE25'!K208+'DOE25'!K226+'DOE25'!K244</f>
        <v>0</v>
      </c>
      <c r="I14" s="256"/>
    </row>
    <row r="15" spans="1:9" x14ac:dyDescent="0.2">
      <c r="A15" s="32">
        <v>2700</v>
      </c>
      <c r="B15" t="s">
        <v>799</v>
      </c>
      <c r="C15" s="276">
        <f t="shared" si="0"/>
        <v>653356</v>
      </c>
      <c r="D15" s="20">
        <f>'DOE25'!L209+'DOE25'!L227+'DOE25'!L245-F15-G15-H15</f>
        <v>53811</v>
      </c>
      <c r="E15" s="243"/>
      <c r="F15" s="244">
        <v>599545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223460</v>
      </c>
      <c r="D17" s="20">
        <f>'DOE25'!L252-F17-G17-H17</f>
        <v>218632</v>
      </c>
      <c r="E17" s="243"/>
      <c r="F17" s="244"/>
      <c r="G17" s="53">
        <f>'DOE25'!J252</f>
        <v>1549</v>
      </c>
      <c r="H17" s="53">
        <f>'DOE25'!K252</f>
        <v>3279</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143835</v>
      </c>
      <c r="D22" s="243"/>
      <c r="E22" s="243"/>
      <c r="F22" s="243"/>
      <c r="G22" s="53">
        <f>'DOE25'!L256+'DOE25'!L337</f>
        <v>143835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2462102</v>
      </c>
      <c r="D25" s="243"/>
      <c r="E25" s="243"/>
      <c r="F25" s="255"/>
      <c r="G25" s="253"/>
      <c r="H25" s="253"/>
      <c r="I25" s="254">
        <f>'DOE25'!L261+'DOE25'!L262+'DOE25'!L342+'DOE25'!L343</f>
        <v>2462102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561600</v>
      </c>
      <c r="D29" s="284">
        <f>'DOE25'!L359+'DOE25'!L360+'DOE25'!L361-'DOE25'!I368-F29-G29-H29</f>
        <v>557673</v>
      </c>
      <c r="E29" s="243"/>
      <c r="F29" s="244"/>
      <c r="G29" s="53">
        <f>'DOE25'!J359+'DOE25'!J360+'DOE25'!J361</f>
        <v>3927</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3641915</v>
      </c>
      <c r="D31" s="20">
        <f>'DOE25'!L291+'DOE25'!L310+'DOE25'!L329+'DOE25'!L334+'DOE25'!L335+'DOE25'!L336-F31-G31-H31</f>
        <v>3404739</v>
      </c>
      <c r="E31" s="243"/>
      <c r="F31" s="244">
        <v>115132</v>
      </c>
      <c r="G31" s="53">
        <f>'DOE25'!J291+'DOE25'!J310+'DOE25'!J329+'DOE25'!J334+'DOE25'!J335+'DOE25'!J336</f>
        <v>115033</v>
      </c>
      <c r="H31" s="53">
        <f>'DOE25'!K291+'DOE25'!K310+'DOE25'!K329+'DOE25'!K334+'DOE25'!K335+'DOE25'!K336</f>
        <v>7011</v>
      </c>
      <c r="I31" s="256"/>
    </row>
    <row r="32" spans="1:9" ht="12" thickBot="1" x14ac:dyDescent="0.25">
      <c r="C32" s="277"/>
      <c r="G32" s="251"/>
      <c r="H32" s="251"/>
      <c r="I32" s="258"/>
    </row>
    <row r="33" spans="1:9" ht="12" thickTop="1" x14ac:dyDescent="0.2">
      <c r="B33" t="s">
        <v>809</v>
      </c>
      <c r="D33" s="245">
        <f t="shared" ref="D33:I33" si="1">SUM(D5:D31)</f>
        <v>33090239</v>
      </c>
      <c r="E33" s="245">
        <f t="shared" si="1"/>
        <v>715654</v>
      </c>
      <c r="F33" s="245">
        <f t="shared" si="1"/>
        <v>1735057</v>
      </c>
      <c r="G33" s="245">
        <f t="shared" si="1"/>
        <v>845915</v>
      </c>
      <c r="H33" s="245">
        <f t="shared" si="1"/>
        <v>55345</v>
      </c>
      <c r="I33" s="245">
        <f t="shared" si="1"/>
        <v>2462102</v>
      </c>
    </row>
    <row r="35" spans="1:9" ht="12" thickBot="1" x14ac:dyDescent="0.25">
      <c r="B35" s="251" t="s">
        <v>831</v>
      </c>
      <c r="D35" s="252">
        <f>E33</f>
        <v>715654</v>
      </c>
      <c r="E35" s="248"/>
    </row>
    <row r="36" spans="1:9" ht="12" thickTop="1" x14ac:dyDescent="0.2">
      <c r="B36" t="s">
        <v>810</v>
      </c>
      <c r="D36" s="20">
        <f>D33</f>
        <v>33090239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Laconia</v>
      </c>
      <c r="B2" s="126">
        <f>'DOE25'!B2</f>
        <v>285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15591560</v>
      </c>
      <c r="G4" s="303">
        <f>'DOE25'!L212+'DOE25'!L291</f>
        <v>15591560</v>
      </c>
      <c r="H4" s="337">
        <f>F4-G4</f>
        <v>0</v>
      </c>
      <c r="I4" s="309" t="str">
        <f>IF(H4=0,"","Does not match DOE25 page 7 and 11 Totals!!")</f>
        <v/>
      </c>
      <c r="N4"/>
    </row>
    <row r="5" spans="1:18" x14ac:dyDescent="0.2">
      <c r="A5" s="21" t="s">
        <v>1175</v>
      </c>
      <c r="B5" s="304">
        <f>IFERROR(VLOOKUP(A5,'School Tables'!$C$3:$D$365,2,FALSE),"")</f>
        <v>21285</v>
      </c>
      <c r="C5" s="297" t="str">
        <f>IFERROR(INDEX('School Tables'!$B$3:$B$365,MATCH('School Level Expenditures'!B5,'School Tables'!$D$3:$D$365,0)),"")</f>
        <v>Laconia</v>
      </c>
      <c r="D5" s="294">
        <v>5204986</v>
      </c>
      <c r="E5" s="294">
        <v>800416</v>
      </c>
      <c r="F5" s="312">
        <f>D5+E5</f>
        <v>6005402</v>
      </c>
      <c r="G5" s="297"/>
      <c r="H5" s="297"/>
      <c r="I5" s="126"/>
      <c r="N5"/>
    </row>
    <row r="6" spans="1:18" x14ac:dyDescent="0.2">
      <c r="A6" s="21" t="s">
        <v>1173</v>
      </c>
      <c r="B6" s="304">
        <f>IFERROR(VLOOKUP(A6,'School Tables'!$C$3:$D$365,2,FALSE),"")</f>
        <v>21260</v>
      </c>
      <c r="C6" s="297" t="str">
        <f>IFERROR(INDEX('School Tables'!$B$3:$B$365,MATCH('School Level Expenditures'!B6,'School Tables'!$D$3:$D$365,0)),"")</f>
        <v>Laconia</v>
      </c>
      <c r="D6" s="294">
        <v>4161890</v>
      </c>
      <c r="E6" s="294">
        <v>629531</v>
      </c>
      <c r="F6" s="307">
        <f t="shared" ref="F6:F20" si="0">D6+E6</f>
        <v>4791421</v>
      </c>
      <c r="G6" s="297"/>
      <c r="H6" s="297"/>
      <c r="I6" s="126"/>
      <c r="N6"/>
    </row>
    <row r="7" spans="1:18" x14ac:dyDescent="0.2">
      <c r="A7" s="21" t="s">
        <v>1176</v>
      </c>
      <c r="B7" s="304">
        <f>IFERROR(VLOOKUP(A7,'School Tables'!$C$3:$D$365,2,FALSE),"")</f>
        <v>21290</v>
      </c>
      <c r="C7" s="297" t="str">
        <f>IFERROR(INDEX('School Tables'!$B$3:$B$365,MATCH('School Level Expenditures'!B7,'School Tables'!$D$3:$D$365,0)),"")</f>
        <v>Laconia</v>
      </c>
      <c r="D7" s="294">
        <v>4157080</v>
      </c>
      <c r="E7" s="294">
        <v>637657</v>
      </c>
      <c r="F7" s="307">
        <f t="shared" si="0"/>
        <v>4794737</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7707066</v>
      </c>
      <c r="G24" s="303">
        <f>'DOE25'!L230+'DOE25'!L310</f>
        <v>7707066</v>
      </c>
      <c r="H24" s="337">
        <f>F24-G24</f>
        <v>0</v>
      </c>
      <c r="I24" s="309" t="str">
        <f>IF(H24=0,"","Does not match DOE25 page 8 and 12 Totals!!")</f>
        <v/>
      </c>
      <c r="N24"/>
    </row>
    <row r="25" spans="1:14" x14ac:dyDescent="0.2">
      <c r="A25" s="21" t="s">
        <v>1174</v>
      </c>
      <c r="B25" s="304">
        <f>IFERROR(VLOOKUP(A25,'School Tables'!$I$3:$J$80,2,FALSE),"")</f>
        <v>21275</v>
      </c>
      <c r="C25" s="297" t="str">
        <f t="array" ref="C25">IFERROR(INDEX('School Tables'!$H$3:$H$80,MATCH('School Level Expenditures'!B25,'School Tables'!$J$3:$J$80,0)),"")</f>
        <v>Laconia</v>
      </c>
      <c r="D25" s="294">
        <v>7154160</v>
      </c>
      <c r="E25" s="294">
        <v>552906</v>
      </c>
      <c r="F25" s="307">
        <f>D25+E25</f>
        <v>7707066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11948840</v>
      </c>
      <c r="G36" s="303">
        <f>'DOE25'!L248+'DOE25'!L329</f>
        <v>11948840</v>
      </c>
      <c r="H36" s="337">
        <f>F36-G36</f>
        <v>0</v>
      </c>
      <c r="I36" s="309" t="str">
        <f>IF(H36=0,"","Does not match DOE25 page 9 and 13 Totals!!")</f>
        <v/>
      </c>
      <c r="N36"/>
    </row>
    <row r="37" spans="1:14" x14ac:dyDescent="0.2">
      <c r="A37" s="21" t="s">
        <v>1172</v>
      </c>
      <c r="B37" s="304">
        <f>IFERROR(VLOOKUP(A37,'School Tables'!$O$3:$P$118,2,FALSE),"")</f>
        <v>21255</v>
      </c>
      <c r="C37" s="297" t="str">
        <f t="array" ref="C37">IFERROR(INDEX('School Tables'!$N$3:$N$118,MATCH('School Level Expenditures'!B37,'School Tables'!$P$3:$P$118,0)),"")</f>
        <v>Laconia</v>
      </c>
      <c r="D37" s="294">
        <v>11183509</v>
      </c>
      <c r="E37" s="294">
        <v>765331</v>
      </c>
      <c r="F37" s="307">
        <f t="shared" ref="F37:F42" si="2">D37+E37</f>
        <v>11948840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si="2"/>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si="2"/>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Laconia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12379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1936021</v>
      </c>
      <c r="D10" s="24" t="s">
        <v>288</v>
      </c>
      <c r="E10" s="24" t="s">
        <v>288</v>
      </c>
      <c r="F10" s="24" t="s">
        <v>288</v>
      </c>
      <c r="G10" s="24" t="s">
        <v>288</v>
      </c>
      <c r="H10" s="124"/>
      <c r="I10" s="124"/>
    </row>
    <row r="11" spans="1:9" x14ac:dyDescent="0.2">
      <c r="A11" s="1" t="s">
        <v>142</v>
      </c>
      <c r="B11" s="6">
        <v>130</v>
      </c>
      <c r="C11" s="95">
        <f>'DOE25'!F12</f>
        <v>1535412</v>
      </c>
      <c r="D11" s="95">
        <f>'DOE25'!G12</f>
        <v>0</v>
      </c>
      <c r="E11" s="95">
        <f>'DOE25'!H12</f>
        <v>0</v>
      </c>
      <c r="F11" s="95">
        <f>'DOE25'!I12</f>
        <v>0</v>
      </c>
      <c r="G11" s="95">
        <f>'DOE25'!J12</f>
        <v>0</v>
      </c>
      <c r="H11" s="124"/>
      <c r="I11" s="124"/>
    </row>
    <row r="12" spans="1:9" x14ac:dyDescent="0.2">
      <c r="A12" s="1" t="s">
        <v>143</v>
      </c>
      <c r="B12" s="6">
        <v>140</v>
      </c>
      <c r="C12" s="95">
        <f>'DOE25'!F13</f>
        <v>201796</v>
      </c>
      <c r="D12" s="95">
        <f>'DOE25'!G13</f>
        <v>19230</v>
      </c>
      <c r="E12" s="95">
        <f>'DOE25'!H13</f>
        <v>1402490</v>
      </c>
      <c r="F12" s="95">
        <f>'DOE25'!I13</f>
        <v>0</v>
      </c>
      <c r="G12" s="95">
        <f>'DOE25'!J13</f>
        <v>0</v>
      </c>
      <c r="H12" s="124"/>
      <c r="I12" s="124"/>
    </row>
    <row r="13" spans="1:9" x14ac:dyDescent="0.2">
      <c r="A13" s="1" t="s">
        <v>144</v>
      </c>
      <c r="B13" s="6">
        <v>150</v>
      </c>
      <c r="C13" s="95">
        <f>'DOE25'!F14</f>
        <v>1801</v>
      </c>
      <c r="D13" s="95">
        <f>'DOE25'!G14</f>
        <v>0</v>
      </c>
      <c r="E13" s="95">
        <f>'DOE25'!H14</f>
        <v>216976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34755</v>
      </c>
      <c r="E15" s="95">
        <f>'DOE25'!H16</f>
        <v>0</v>
      </c>
      <c r="F15" s="95">
        <f>'DOE25'!I16</f>
        <v>0</v>
      </c>
      <c r="G15" s="24" t="s">
        <v>288</v>
      </c>
      <c r="H15" s="124"/>
      <c r="I15" s="124"/>
    </row>
    <row r="16" spans="1:9" x14ac:dyDescent="0.2">
      <c r="A16" s="1" t="s">
        <v>147</v>
      </c>
      <c r="B16" s="6">
        <v>180</v>
      </c>
      <c r="C16" s="95">
        <f>'DOE25'!F17</f>
        <v>114</v>
      </c>
      <c r="D16" s="95">
        <f>'DOE25'!G17</f>
        <v>0</v>
      </c>
      <c r="E16" s="95">
        <f>'DOE25'!H17</f>
        <v>0</v>
      </c>
      <c r="F16" s="95">
        <f>'DOE25'!I17</f>
        <v>0</v>
      </c>
      <c r="G16" s="95">
        <f>'DOE25'!J17</f>
        <v>0</v>
      </c>
      <c r="H16" s="124"/>
      <c r="I16" s="124"/>
    </row>
    <row r="17" spans="1:9" ht="12" thickBot="1" x14ac:dyDescent="0.25">
      <c r="A17" s="1" t="s">
        <v>148</v>
      </c>
      <c r="B17" s="6">
        <v>190</v>
      </c>
      <c r="C17" s="95">
        <f>'DOE25'!F18</f>
        <v>10000</v>
      </c>
      <c r="D17" s="95">
        <f>'DOE25'!G18</f>
        <v>0</v>
      </c>
      <c r="E17" s="95">
        <f>'DOE25'!H18</f>
        <v>0</v>
      </c>
      <c r="F17" s="95">
        <f>'DOE25'!I18</f>
        <v>0</v>
      </c>
      <c r="G17" s="95">
        <f>'DOE25'!J18</f>
        <v>0</v>
      </c>
      <c r="H17" s="124"/>
      <c r="I17" s="124"/>
    </row>
    <row r="18" spans="1:9" ht="12" thickTop="1" x14ac:dyDescent="0.2">
      <c r="A18" s="38" t="s">
        <v>149</v>
      </c>
      <c r="B18" s="39"/>
      <c r="C18" s="41">
        <f>SUM(C8:C17)</f>
        <v>3697523</v>
      </c>
      <c r="D18" s="41">
        <f>SUM(D8:D17)</f>
        <v>53985</v>
      </c>
      <c r="E18" s="41">
        <f>SUM(E8:E17)</f>
        <v>1619466</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52728</v>
      </c>
      <c r="E21" s="95">
        <f>'DOE25'!H22</f>
        <v>1482684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2202044</v>
      </c>
      <c r="D23" s="95">
        <f>'DOE25'!G24</f>
        <v>1257</v>
      </c>
      <c r="E23" s="95">
        <f>'DOE25'!H24</f>
        <v>5937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564987</v>
      </c>
      <c r="D27" s="95">
        <f>'DOE25'!G28</f>
        <v>0</v>
      </c>
      <c r="E27" s="95">
        <f>'DOE25'!H28</f>
        <v>3180</v>
      </c>
      <c r="F27" s="95">
        <f>'DOE25'!I28</f>
        <v>0</v>
      </c>
      <c r="G27" s="24" t="s">
        <v>288</v>
      </c>
      <c r="H27" s="124"/>
      <c r="I27" s="124"/>
    </row>
    <row r="28" spans="1:9" x14ac:dyDescent="0.2">
      <c r="A28" s="1" t="s">
        <v>157</v>
      </c>
      <c r="B28" s="6">
        <v>470</v>
      </c>
      <c r="C28" s="95">
        <f>'DOE25'!F29</f>
        <v>205415</v>
      </c>
      <c r="D28" s="95">
        <f>'DOE25'!G29</f>
        <v>0</v>
      </c>
      <c r="E28" s="95">
        <f>'DOE25'!H29</f>
        <v>0</v>
      </c>
      <c r="F28" s="95">
        <f>'DOE25'!I29</f>
        <v>0</v>
      </c>
      <c r="G28" s="24" t="s">
        <v>288</v>
      </c>
      <c r="H28" s="124"/>
      <c r="I28" s="124"/>
    </row>
    <row r="29" spans="1:9" x14ac:dyDescent="0.2">
      <c r="A29" s="1" t="s">
        <v>158</v>
      </c>
      <c r="B29" s="6">
        <v>480</v>
      </c>
      <c r="C29" s="95">
        <f>'DOE25'!F30</f>
        <v>308520</v>
      </c>
      <c r="D29" s="95">
        <f>'DOE25'!G30</f>
        <v>0</v>
      </c>
      <c r="E29" s="95">
        <f>'DOE25'!H30</f>
        <v>127665</v>
      </c>
      <c r="F29" s="95">
        <f>'DOE25'!I30</f>
        <v>0</v>
      </c>
      <c r="G29" s="24" t="s">
        <v>288</v>
      </c>
      <c r="H29" s="124"/>
      <c r="I29" s="124"/>
    </row>
    <row r="30" spans="1:9" ht="12" thickBot="1" x14ac:dyDescent="0.25">
      <c r="A30" s="1" t="s">
        <v>159</v>
      </c>
      <c r="B30" s="71">
        <v>490</v>
      </c>
      <c r="C30" s="95">
        <f>'DOE25'!F31</f>
        <v>401557</v>
      </c>
      <c r="D30" s="95">
        <f>'DOE25'!G31</f>
        <v>0</v>
      </c>
      <c r="E30" s="95">
        <f>'DOE25'!H31</f>
        <v>0</v>
      </c>
      <c r="F30" s="95">
        <f>'DOE25'!I31</f>
        <v>0</v>
      </c>
      <c r="G30" s="95">
        <f>'DOE25'!J31</f>
        <v>0</v>
      </c>
      <c r="H30" s="124"/>
      <c r="I30" s="124"/>
    </row>
    <row r="31" spans="1:9" ht="12" thickTop="1" x14ac:dyDescent="0.2">
      <c r="A31" s="38" t="s">
        <v>160</v>
      </c>
      <c r="B31" s="2"/>
      <c r="C31" s="41">
        <f>SUM(C21:C30)</f>
        <v>3682523</v>
      </c>
      <c r="D31" s="41">
        <f>SUM(D21:D30)</f>
        <v>53985</v>
      </c>
      <c r="E31" s="41">
        <f>SUM(E21:E30)</f>
        <v>1619466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15000</v>
      </c>
      <c r="D49" s="24" t="s">
        <v>288</v>
      </c>
      <c r="E49" s="24" t="s">
        <v>288</v>
      </c>
      <c r="F49" s="24" t="s">
        <v>288</v>
      </c>
      <c r="G49" s="24" t="s">
        <v>288</v>
      </c>
      <c r="H49" s="124"/>
      <c r="I49" s="124"/>
    </row>
    <row r="50" spans="1:9" ht="12.75" thickTop="1" thickBot="1" x14ac:dyDescent="0.25">
      <c r="A50" s="38" t="s">
        <v>884</v>
      </c>
      <c r="B50" s="48"/>
      <c r="C50" s="41">
        <f>SUM(C34:C49)</f>
        <v>15000</v>
      </c>
      <c r="D50" s="41">
        <f>SUM(D34:D49)</f>
        <v>0</v>
      </c>
      <c r="E50" s="41">
        <f>SUM(E34:E49)</f>
        <v>0</v>
      </c>
      <c r="F50" s="41">
        <f>SUM(F34:F49)</f>
        <v>0</v>
      </c>
      <c r="G50" s="41">
        <f>SUM(G34:G49)</f>
        <v>0</v>
      </c>
      <c r="H50" s="124"/>
      <c r="I50" s="124"/>
    </row>
    <row r="51" spans="1:9" ht="12" thickTop="1" x14ac:dyDescent="0.2">
      <c r="A51" s="38" t="s">
        <v>885</v>
      </c>
      <c r="B51" s="2"/>
      <c r="C51" s="41">
        <f>C50+C31</f>
        <v>3697523</v>
      </c>
      <c r="D51" s="41">
        <f>D50+D31</f>
        <v>53985</v>
      </c>
      <c r="E51" s="41">
        <f>E50+E31</f>
        <v>1619466</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20658984</v>
      </c>
      <c r="D56" s="95">
        <f>'DOE25'!G60</f>
        <v>0</v>
      </c>
      <c r="E56" s="95">
        <f>'DOE25'!H60</f>
        <v>0</v>
      </c>
      <c r="F56" s="95">
        <f>'DOE25'!I60</f>
        <v>0</v>
      </c>
      <c r="G56" s="95">
        <f>'DOE25'!J60</f>
        <v>0</v>
      </c>
      <c r="H56"/>
      <c r="I56"/>
    </row>
    <row r="57" spans="1:9" x14ac:dyDescent="0.2">
      <c r="A57" s="1" t="s">
        <v>164</v>
      </c>
      <c r="B57" s="6" t="s">
        <v>165</v>
      </c>
      <c r="C57" s="95">
        <f>'DOE25'!F79</f>
        <v>750194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236059</v>
      </c>
      <c r="E60" s="24" t="s">
        <v>288</v>
      </c>
      <c r="F60" s="24" t="s">
        <v>288</v>
      </c>
      <c r="G60" s="24" t="s">
        <v>288</v>
      </c>
      <c r="H60"/>
      <c r="I60"/>
    </row>
    <row r="61" spans="1:9" ht="12" thickBot="1" x14ac:dyDescent="0.25">
      <c r="A61" s="1" t="s">
        <v>172</v>
      </c>
      <c r="B61" s="118" t="s">
        <v>173</v>
      </c>
      <c r="C61" s="95">
        <f>SUM('DOE25'!F98:F110)</f>
        <v>111350</v>
      </c>
      <c r="D61" s="95">
        <f>SUM('DOE25'!G98:G110)</f>
        <v>0</v>
      </c>
      <c r="E61" s="95">
        <f>SUM('DOE25'!H98:H110)</f>
        <v>64941</v>
      </c>
      <c r="F61" s="95">
        <f>SUM('DOE25'!I98:I110)</f>
        <v>0</v>
      </c>
      <c r="G61" s="95">
        <f>SUM('DOE25'!J98:J110)</f>
        <v>0</v>
      </c>
      <c r="H61"/>
      <c r="I61"/>
    </row>
    <row r="62" spans="1:9" ht="12.75" thickTop="1" thickBot="1" x14ac:dyDescent="0.25">
      <c r="A62" s="29" t="s">
        <v>174</v>
      </c>
      <c r="B62" s="6"/>
      <c r="C62" s="130">
        <f>SUM(C57:C61)</f>
        <v>861544</v>
      </c>
      <c r="D62" s="130">
        <f>SUM(D57:D61)</f>
        <v>236059</v>
      </c>
      <c r="E62" s="130">
        <f>SUM(E57:E61)</f>
        <v>64941</v>
      </c>
      <c r="F62" s="130">
        <f>SUM(F57:F61)</f>
        <v>0</v>
      </c>
      <c r="G62" s="130">
        <f>SUM(G57:G61)</f>
        <v>0</v>
      </c>
      <c r="H62"/>
      <c r="I62"/>
    </row>
    <row r="63" spans="1:9" ht="12" thickTop="1" x14ac:dyDescent="0.2">
      <c r="A63" s="29" t="s">
        <v>175</v>
      </c>
      <c r="B63" s="6"/>
      <c r="C63" s="22">
        <f>C56+C62</f>
        <v>21520528</v>
      </c>
      <c r="D63" s="22">
        <f>D56+D62</f>
        <v>236059</v>
      </c>
      <c r="E63" s="22">
        <f>E56+E62</f>
        <v>64941</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6732670</v>
      </c>
      <c r="D66" s="24" t="s">
        <v>288</v>
      </c>
      <c r="E66" s="24" t="s">
        <v>288</v>
      </c>
      <c r="F66" s="24" t="s">
        <v>288</v>
      </c>
      <c r="G66" s="24" t="s">
        <v>288</v>
      </c>
      <c r="H66"/>
      <c r="I66"/>
    </row>
    <row r="67" spans="1:9" x14ac:dyDescent="0.2">
      <c r="A67" s="1" t="s">
        <v>770</v>
      </c>
      <c r="B67" s="6">
        <v>3112</v>
      </c>
      <c r="C67" s="95">
        <f>'DOE25'!F118</f>
        <v>4475666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11208336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693263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71996</v>
      </c>
      <c r="D75" s="24" t="s">
        <v>288</v>
      </c>
      <c r="E75" s="24" t="s">
        <v>288</v>
      </c>
      <c r="F75" s="24" t="s">
        <v>288</v>
      </c>
      <c r="G75" s="24" t="s">
        <v>288</v>
      </c>
      <c r="H75"/>
      <c r="I75"/>
    </row>
    <row r="76" spans="1:9" x14ac:dyDescent="0.2">
      <c r="A76" s="1" t="s">
        <v>257</v>
      </c>
      <c r="B76" s="6" t="s">
        <v>179</v>
      </c>
      <c r="C76" s="95">
        <f>SUM('DOE25'!F127:F130)</f>
        <v>786612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10703</v>
      </c>
      <c r="E77" s="95">
        <f>SUM('DOE25'!H131:H135)</f>
        <v>0</v>
      </c>
      <c r="F77" s="95">
        <f>SUM('DOE25'!I131:I135)</f>
        <v>0</v>
      </c>
      <c r="G77" s="95">
        <f>SUM('DOE25'!J131:J135)</f>
        <v>0</v>
      </c>
      <c r="H77"/>
      <c r="I77"/>
    </row>
    <row r="78" spans="1:9" ht="12.75" thickTop="1" thickBot="1" x14ac:dyDescent="0.25">
      <c r="A78" s="29" t="s">
        <v>259</v>
      </c>
      <c r="B78" s="6"/>
      <c r="C78" s="130">
        <f>SUM(C72:C77)</f>
        <v>1551871</v>
      </c>
      <c r="D78" s="130">
        <f>SUM(D72:D77)</f>
        <v>10703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12760207</v>
      </c>
      <c r="D81" s="130">
        <f>SUM(D79:D80)+D78+D70</f>
        <v>10703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25572</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442707</v>
      </c>
      <c r="F87" s="95">
        <f>SUM('DOE25'!I149:I152)</f>
        <v>0</v>
      </c>
      <c r="G87" s="24" t="s">
        <v>288</v>
      </c>
    </row>
    <row r="88" spans="1:9" x14ac:dyDescent="0.2">
      <c r="A88" s="291" t="s">
        <v>747</v>
      </c>
      <c r="B88" s="340" t="s">
        <v>184</v>
      </c>
      <c r="C88" s="341">
        <f>SUM('DOE25'!F153:F162)</f>
        <v>606158</v>
      </c>
      <c r="D88" s="341">
        <f>SUM('DOE25'!G153:G162)</f>
        <v>686816</v>
      </c>
      <c r="E88" s="341">
        <f>SUM('DOE25'!H153:H162)</f>
        <v>3162582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631730</v>
      </c>
      <c r="D91" s="131">
        <f>SUM(D85:D90)</f>
        <v>686816</v>
      </c>
      <c r="E91" s="131">
        <f>SUM(E85:E90)</f>
        <v>3605289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56443</v>
      </c>
      <c r="E96" s="95">
        <f>'DOE25'!H180</f>
        <v>150000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56443</v>
      </c>
      <c r="E103" s="86">
        <f>SUM(E93:E102)</f>
        <v>150000</v>
      </c>
      <c r="F103" s="86">
        <f>SUM(F93:F102)</f>
        <v>0</v>
      </c>
      <c r="G103" s="86">
        <f>SUM(G93:G102)</f>
        <v>0</v>
      </c>
    </row>
    <row r="104" spans="1:7" ht="12.75" thickTop="1" thickBot="1" x14ac:dyDescent="0.25">
      <c r="A104" s="33" t="s">
        <v>761</v>
      </c>
      <c r="C104" s="86">
        <f>C63+C81+C91+C103</f>
        <v>34912465</v>
      </c>
      <c r="D104" s="86">
        <f>D63+D81+D91+D103</f>
        <v>990021</v>
      </c>
      <c r="E104" s="86">
        <f>E63+E81+E91+E103</f>
        <v>3820230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11733528</v>
      </c>
      <c r="D109" s="24" t="s">
        <v>288</v>
      </c>
      <c r="E109" s="95">
        <f>('DOE25'!L277)+('DOE25'!L296)+('DOE25'!L315)</f>
        <v>1719025</v>
      </c>
      <c r="F109" s="24" t="s">
        <v>288</v>
      </c>
      <c r="G109" s="24" t="s">
        <v>288</v>
      </c>
    </row>
    <row r="110" spans="1:7" x14ac:dyDescent="0.2">
      <c r="A110" t="s">
        <v>198</v>
      </c>
      <c r="B110" s="32" t="s">
        <v>199</v>
      </c>
      <c r="C110" s="95">
        <f>('DOE25'!L199)+('DOE25'!L217)+('DOE25'!L235)</f>
        <v>7054611</v>
      </c>
      <c r="D110" s="24" t="s">
        <v>288</v>
      </c>
      <c r="E110" s="95">
        <f>('DOE25'!L278)+('DOE25'!L297)+('DOE25'!L316)</f>
        <v>666743</v>
      </c>
      <c r="F110" s="24" t="s">
        <v>288</v>
      </c>
      <c r="G110" s="24" t="s">
        <v>288</v>
      </c>
    </row>
    <row r="111" spans="1:7" x14ac:dyDescent="0.2">
      <c r="A111" t="s">
        <v>200</v>
      </c>
      <c r="B111" s="32" t="s">
        <v>165</v>
      </c>
      <c r="C111" s="95">
        <f>('DOE25'!L200)+('DOE25'!L218)+('DOE25'!L236)</f>
        <v>1191662</v>
      </c>
      <c r="D111" s="24" t="s">
        <v>288</v>
      </c>
      <c r="E111" s="95">
        <f>('DOE25'!L279)+('DOE25'!L298)+('DOE25'!L317)</f>
        <v>132985</v>
      </c>
      <c r="F111" s="24" t="s">
        <v>288</v>
      </c>
      <c r="G111" s="24" t="s">
        <v>288</v>
      </c>
    </row>
    <row r="112" spans="1:7" x14ac:dyDescent="0.2">
      <c r="A112" t="s">
        <v>201</v>
      </c>
      <c r="B112" s="32" t="s">
        <v>167</v>
      </c>
      <c r="C112" s="95">
        <f>('DOE25'!L201)+('DOE25'!L219)+('DOE25'!L237)</f>
        <v>324764</v>
      </c>
      <c r="D112" s="24" t="s">
        <v>288</v>
      </c>
      <c r="E112" s="95">
        <f>+('DOE25'!L280)+('DOE25'!L299)+('DOE25'!L318)</f>
        <v>7338</v>
      </c>
      <c r="F112" s="24" t="s">
        <v>288</v>
      </c>
      <c r="G112" s="24" t="s">
        <v>288</v>
      </c>
    </row>
    <row r="113" spans="1:7" x14ac:dyDescent="0.2">
      <c r="A113" t="s">
        <v>202</v>
      </c>
      <c r="B113" s="32" t="s">
        <v>169</v>
      </c>
      <c r="C113" s="95">
        <f>'DOE25'!L251</f>
        <v>0</v>
      </c>
      <c r="D113" s="24" t="s">
        <v>288</v>
      </c>
      <c r="E113" s="95">
        <f>+'DOE25'!L333</f>
        <v>28315</v>
      </c>
      <c r="F113" s="24" t="s">
        <v>288</v>
      </c>
      <c r="G113" s="24" t="s">
        <v>288</v>
      </c>
    </row>
    <row r="114" spans="1:7" ht="12" thickBot="1" x14ac:dyDescent="0.25">
      <c r="A114" t="s">
        <v>203</v>
      </c>
      <c r="B114" s="32" t="s">
        <v>204</v>
      </c>
      <c r="C114" s="95">
        <f>SUM('DOE25'!L252:L254)</f>
        <v>223460</v>
      </c>
      <c r="D114" s="24" t="s">
        <v>288</v>
      </c>
      <c r="E114" s="95">
        <f>+ SUM('DOE25'!L334:L336)</f>
        <v>256074</v>
      </c>
      <c r="F114" s="24" t="s">
        <v>288</v>
      </c>
      <c r="G114" s="24" t="s">
        <v>288</v>
      </c>
    </row>
    <row r="115" spans="1:7" ht="12.75" thickTop="1" thickBot="1" x14ac:dyDescent="0.25">
      <c r="A115" s="33" t="s">
        <v>205</v>
      </c>
      <c r="C115" s="86">
        <f>SUM(C109:C114)</f>
        <v>20528025</v>
      </c>
      <c r="D115" s="86">
        <f>SUM(D109:D114)</f>
        <v>0</v>
      </c>
      <c r="E115" s="86">
        <f>SUM(E109:E114)</f>
        <v>2810480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2127754</v>
      </c>
      <c r="D118" s="24" t="s">
        <v>288</v>
      </c>
      <c r="E118" s="95">
        <f>+('DOE25'!L282)+('DOE25'!L301)+('DOE25'!L320)</f>
        <v>413862</v>
      </c>
      <c r="F118" s="24" t="s">
        <v>288</v>
      </c>
      <c r="G118" s="24" t="s">
        <v>288</v>
      </c>
    </row>
    <row r="119" spans="1:7" x14ac:dyDescent="0.2">
      <c r="A119" t="s">
        <v>208</v>
      </c>
      <c r="B119" s="32" t="s">
        <v>209</v>
      </c>
      <c r="C119" s="95">
        <f>('DOE25'!L204)+('DOE25'!L222)+('DOE25'!L240)</f>
        <v>1543408</v>
      </c>
      <c r="D119" s="24" t="s">
        <v>288</v>
      </c>
      <c r="E119" s="95">
        <f>+('DOE25'!L283)+('DOE25'!L302)+('DOE25'!L321)</f>
        <v>409443</v>
      </c>
      <c r="F119" s="24" t="s">
        <v>288</v>
      </c>
      <c r="G119" s="24" t="s">
        <v>288</v>
      </c>
    </row>
    <row r="120" spans="1:7" x14ac:dyDescent="0.2">
      <c r="A120" t="s">
        <v>210</v>
      </c>
      <c r="B120" s="32" t="s">
        <v>211</v>
      </c>
      <c r="C120" s="95">
        <f>('DOE25'!L205)+('DOE25'!L223)+('DOE25'!L241)</f>
        <v>853073</v>
      </c>
      <c r="D120" s="24" t="s">
        <v>288</v>
      </c>
      <c r="E120" s="95">
        <f>+('DOE25'!L284)+('DOE25'!L303)+('DOE25'!L322)</f>
        <v>0</v>
      </c>
      <c r="F120" s="24" t="s">
        <v>288</v>
      </c>
      <c r="G120" s="24" t="s">
        <v>288</v>
      </c>
    </row>
    <row r="121" spans="1:7" x14ac:dyDescent="0.2">
      <c r="A121" t="s">
        <v>212</v>
      </c>
      <c r="B121" s="32" t="s">
        <v>213</v>
      </c>
      <c r="C121" s="95">
        <f>('DOE25'!L206)+('DOE25'!L224)+('DOE25'!L242)</f>
        <v>2076907</v>
      </c>
      <c r="D121" s="24" t="s">
        <v>288</v>
      </c>
      <c r="E121" s="95">
        <f>+('DOE25'!L285)+('DOE25'!L304)+('DOE25'!L323)</f>
        <v>0</v>
      </c>
      <c r="F121" s="24" t="s">
        <v>288</v>
      </c>
      <c r="G121" s="24" t="s">
        <v>288</v>
      </c>
    </row>
    <row r="122" spans="1:7" x14ac:dyDescent="0.2">
      <c r="A122" t="s">
        <v>214</v>
      </c>
      <c r="B122" s="32" t="s">
        <v>215</v>
      </c>
      <c r="C122" s="95">
        <f>('DOE25'!L207)+('DOE25'!L225)+('DOE25'!L243)</f>
        <v>438653</v>
      </c>
      <c r="D122" s="24" t="s">
        <v>288</v>
      </c>
      <c r="E122" s="95">
        <f>+('DOE25'!L286)+('DOE25'!L305)+('DOE25'!L324)</f>
        <v>0</v>
      </c>
      <c r="F122" s="24" t="s">
        <v>288</v>
      </c>
      <c r="G122" s="24" t="s">
        <v>288</v>
      </c>
    </row>
    <row r="123" spans="1:7" x14ac:dyDescent="0.2">
      <c r="A123" t="s">
        <v>216</v>
      </c>
      <c r="B123" s="32" t="s">
        <v>217</v>
      </c>
      <c r="C123" s="95">
        <f>('DOE25'!L208)+('DOE25'!L226)+('DOE25'!L244)</f>
        <v>3863909</v>
      </c>
      <c r="D123" s="24" t="s">
        <v>288</v>
      </c>
      <c r="E123" s="95">
        <f>+('DOE25'!L287)+('DOE25'!L306)+('DOE25'!L325)</f>
        <v>0</v>
      </c>
      <c r="F123" s="24" t="s">
        <v>288</v>
      </c>
      <c r="G123" s="24" t="s">
        <v>288</v>
      </c>
    </row>
    <row r="124" spans="1:7" x14ac:dyDescent="0.2">
      <c r="A124" t="s">
        <v>218</v>
      </c>
      <c r="B124" s="32" t="s">
        <v>219</v>
      </c>
      <c r="C124" s="95">
        <f>('DOE25'!L209)+('DOE25'!L227)+('DOE25'!L245+'DOE25'!L255)</f>
        <v>653356</v>
      </c>
      <c r="D124" s="24" t="s">
        <v>288</v>
      </c>
      <c r="E124" s="95">
        <f>+('DOE25'!L288)+('DOE25'!L307)+('DOE25'!L326)</f>
        <v>34195</v>
      </c>
      <c r="F124" s="24" t="s">
        <v>288</v>
      </c>
      <c r="G124" s="24" t="s">
        <v>288</v>
      </c>
    </row>
    <row r="125" spans="1:7" x14ac:dyDescent="0.2">
      <c r="A125" t="s">
        <v>220</v>
      </c>
      <c r="B125" s="32" t="s">
        <v>221</v>
      </c>
      <c r="C125" s="95">
        <f>('DOE25'!L210)+('DOE25'!L228)+('DOE25'!L246)</f>
        <v>0</v>
      </c>
      <c r="D125" s="24" t="s">
        <v>288</v>
      </c>
      <c r="E125" s="95">
        <f>+('DOE25'!L289)+('DOE25'!L308)+('DOE25'!L327)</f>
        <v>2250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990021</v>
      </c>
      <c r="E127" s="24" t="s">
        <v>288</v>
      </c>
      <c r="F127" s="24" t="s">
        <v>288</v>
      </c>
      <c r="G127" s="24" t="s">
        <v>288</v>
      </c>
    </row>
    <row r="128" spans="1:7" ht="12.75" thickTop="1" thickBot="1" x14ac:dyDescent="0.25">
      <c r="A128" s="33" t="s">
        <v>226</v>
      </c>
      <c r="C128" s="86">
        <f>SUM(C118:C127)</f>
        <v>11557060</v>
      </c>
      <c r="D128" s="86">
        <f>SUM(D118:D127)</f>
        <v>990021</v>
      </c>
      <c r="E128" s="86">
        <f>SUM(E118:E127)</f>
        <v>859750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143835</v>
      </c>
      <c r="D130" s="24" t="s">
        <v>288</v>
      </c>
      <c r="E130" s="129">
        <f>'DOE25'!L337</f>
        <v>0</v>
      </c>
      <c r="F130" s="129">
        <f>SUM('DOE25'!L375:'DOE25'!L381)</f>
        <v>0</v>
      </c>
      <c r="G130" s="24" t="s">
        <v>288</v>
      </c>
    </row>
    <row r="131" spans="1:7" x14ac:dyDescent="0.2">
      <c r="A131" t="s">
        <v>229</v>
      </c>
      <c r="B131" s="32">
        <v>5110</v>
      </c>
      <c r="C131" s="95">
        <f>'DOE25'!L261</f>
        <v>1763336</v>
      </c>
      <c r="D131" s="24" t="s">
        <v>288</v>
      </c>
      <c r="E131" s="129">
        <f>'DOE25'!L342</f>
        <v>0</v>
      </c>
      <c r="F131" s="24" t="s">
        <v>288</v>
      </c>
      <c r="G131" s="24" t="s">
        <v>288</v>
      </c>
    </row>
    <row r="132" spans="1:7" x14ac:dyDescent="0.2">
      <c r="A132" t="s">
        <v>230</v>
      </c>
      <c r="B132" s="32">
        <v>5120</v>
      </c>
      <c r="C132" s="95">
        <f>'DOE25'!L262</f>
        <v>698766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150000</v>
      </c>
      <c r="F134" s="95">
        <f>'DOE25'!K382</f>
        <v>0</v>
      </c>
      <c r="G134" s="95">
        <f>'DOE25'!K435</f>
        <v>0</v>
      </c>
    </row>
    <row r="135" spans="1:7" x14ac:dyDescent="0.2">
      <c r="A135" t="s">
        <v>233</v>
      </c>
      <c r="B135" s="32" t="s">
        <v>234</v>
      </c>
      <c r="C135" s="95">
        <f>'DOE25'!L264</f>
        <v>56443</v>
      </c>
      <c r="D135" s="24" t="s">
        <v>288</v>
      </c>
      <c r="E135" s="129">
        <f>'DOE25'!L346</f>
        <v>0</v>
      </c>
      <c r="F135" s="24" t="s">
        <v>288</v>
      </c>
      <c r="G135" s="24" t="s">
        <v>288</v>
      </c>
    </row>
    <row r="136" spans="1:7" x14ac:dyDescent="0.2">
      <c r="A136" t="s">
        <v>235</v>
      </c>
      <c r="B136" s="32" t="s">
        <v>236</v>
      </c>
      <c r="C136" s="95">
        <f>'DOE25'!L265</f>
        <v>150000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2812380</v>
      </c>
      <c r="D144" s="141">
        <f>SUM(D130:D143)</f>
        <v>0</v>
      </c>
      <c r="E144" s="141">
        <f>SUM(E130:E143)</f>
        <v>150000</v>
      </c>
      <c r="F144" s="141">
        <f>SUM(F130:F143)</f>
        <v>0</v>
      </c>
      <c r="G144" s="141">
        <f>SUM(G130:G143)</f>
        <v>0</v>
      </c>
    </row>
    <row r="145" spans="1:9" ht="12.75" thickTop="1" thickBot="1" x14ac:dyDescent="0.25">
      <c r="A145" s="33" t="s">
        <v>244</v>
      </c>
      <c r="C145" s="86">
        <f>(C115+C128+C144)</f>
        <v>34897465</v>
      </c>
      <c r="D145" s="86">
        <f>(D115+D128+D144)</f>
        <v>990021</v>
      </c>
      <c r="E145" s="86">
        <f>(E115+E128+E144)</f>
        <v>3820230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Laconia</v>
      </c>
    </row>
    <row r="3" spans="1:4" x14ac:dyDescent="0.2">
      <c r="B3" s="188" t="s">
        <v>1587</v>
      </c>
    </row>
    <row r="4" spans="1:4" x14ac:dyDescent="0.2">
      <c r="B4" t="s">
        <v>61</v>
      </c>
      <c r="C4" s="179">
        <f>IF('DOE25'!F666+'DOE25'!F671=0,0,ROUND('DOE25'!F673,0))</f>
        <v>17142</v>
      </c>
    </row>
    <row r="5" spans="1:4" x14ac:dyDescent="0.2">
      <c r="B5" t="s">
        <v>700</v>
      </c>
      <c r="C5" s="179">
        <f>IF('DOE25'!G666+'DOE25'!G671=0,0,ROUND('DOE25'!G673,0))</f>
        <v>15319</v>
      </c>
    </row>
    <row r="6" spans="1:4" x14ac:dyDescent="0.2">
      <c r="B6" t="s">
        <v>62</v>
      </c>
      <c r="C6" s="179">
        <f>IF('DOE25'!H666+'DOE25'!H671=0,0,ROUND('DOE25'!H673,0))</f>
        <v>18862</v>
      </c>
    </row>
    <row r="7" spans="1:4" x14ac:dyDescent="0.2">
      <c r="B7" t="s">
        <v>701</v>
      </c>
      <c r="C7" s="179">
        <f>IF('DOE25'!I666+'DOE25'!I671=0,0,ROUND('DOE25'!I673,0))</f>
        <v>17223</v>
      </c>
    </row>
    <row r="9" spans="1:4" x14ac:dyDescent="0.2">
      <c r="A9" s="187" t="s">
        <v>94</v>
      </c>
      <c r="B9" s="188" t="s">
        <v>1588</v>
      </c>
      <c r="C9" s="181" t="s">
        <v>720</v>
      </c>
      <c r="D9" s="181" t="s">
        <v>721</v>
      </c>
    </row>
    <row r="10" spans="1:4" x14ac:dyDescent="0.2">
      <c r="A10">
        <v>1100</v>
      </c>
      <c r="B10" t="s">
        <v>702</v>
      </c>
      <c r="C10" s="179">
        <f>ROUND('DOE25'!L198+'DOE25'!L216+'DOE25'!L234+'DOE25'!L277+'DOE25'!L296+'DOE25'!L315,0)</f>
        <v>13452553</v>
      </c>
      <c r="D10" s="182">
        <f>ROUND((C10/$C$28)*100,1)</f>
        <v>36.200000000000003</v>
      </c>
    </row>
    <row r="11" spans="1:4" x14ac:dyDescent="0.2">
      <c r="A11">
        <v>1200</v>
      </c>
      <c r="B11" t="s">
        <v>703</v>
      </c>
      <c r="C11" s="179">
        <f>ROUND('DOE25'!L199+'DOE25'!L217+'DOE25'!L235+'DOE25'!L278+'DOE25'!L297+'DOE25'!L316,0)</f>
        <v>7721354</v>
      </c>
      <c r="D11" s="182">
        <f>ROUND((C11/$C$28)*100,1)</f>
        <v>20.8</v>
      </c>
    </row>
    <row r="12" spans="1:4" x14ac:dyDescent="0.2">
      <c r="A12">
        <v>1300</v>
      </c>
      <c r="B12" t="s">
        <v>704</v>
      </c>
      <c r="C12" s="179">
        <f>ROUND('DOE25'!L200+'DOE25'!L218+'DOE25'!L236+'DOE25'!L279+'DOE25'!L298+'DOE25'!L317,0)</f>
        <v>1324647</v>
      </c>
      <c r="D12" s="182">
        <f>ROUND((C12/$C$28)*100,1)</f>
        <v>3.6</v>
      </c>
    </row>
    <row r="13" spans="1:4" x14ac:dyDescent="0.2">
      <c r="A13">
        <v>1400</v>
      </c>
      <c r="B13" t="s">
        <v>705</v>
      </c>
      <c r="C13" s="179">
        <f>ROUND('DOE25'!L201+'DOE25'!L219+'DOE25'!L237+'DOE25'!L280+'DOE25'!L299+'DOE25'!L318,0)</f>
        <v>332102</v>
      </c>
      <c r="D13" s="182">
        <f>ROUND((C13/$C$28)*100,1)</f>
        <v>0.9</v>
      </c>
    </row>
    <row r="14" spans="1:4" x14ac:dyDescent="0.2">
      <c r="D14" s="182"/>
    </row>
    <row r="15" spans="1:4" x14ac:dyDescent="0.2">
      <c r="A15">
        <v>2100</v>
      </c>
      <c r="B15" t="s">
        <v>706</v>
      </c>
      <c r="C15" s="179">
        <f>ROUND('DOE25'!L203+'DOE25'!L221+'DOE25'!L239+'DOE25'!L282+'DOE25'!L301+'DOE25'!L320,0)</f>
        <v>2541616</v>
      </c>
      <c r="D15" s="182">
        <f t="shared" ref="D15:D27" si="0">ROUND((C15/$C$28)*100,1)</f>
        <v>6.8</v>
      </c>
    </row>
    <row r="16" spans="1:4" x14ac:dyDescent="0.2">
      <c r="A16">
        <v>2200</v>
      </c>
      <c r="B16" t="s">
        <v>707</v>
      </c>
      <c r="C16" s="179">
        <f>ROUND('DOE25'!L204+'DOE25'!L222+'DOE25'!L240+'DOE25'!L283+'DOE25'!L302+'DOE25'!L321,0)</f>
        <v>1952851</v>
      </c>
      <c r="D16" s="182">
        <f t="shared" si="0"/>
        <v>5.2</v>
      </c>
    </row>
    <row r="17" spans="1:4" x14ac:dyDescent="0.2">
      <c r="A17" s="183" t="s">
        <v>723</v>
      </c>
      <c r="B17" t="s">
        <v>738</v>
      </c>
      <c r="C17" s="179">
        <f>ROUND('DOE25'!L205+'DOE25'!L210+'DOE25'!L223+'DOE25'!L228+'DOE25'!L241+'DOE25'!L246+'DOE25'!L284+'DOE25'!L289+'DOE25'!L303+'DOE25'!L308+'DOE25'!L322+'DOE25'!L327,0)</f>
        <v>855323</v>
      </c>
      <c r="D17" s="182">
        <f t="shared" si="0"/>
        <v>2.2999999999999998</v>
      </c>
    </row>
    <row r="18" spans="1:4" x14ac:dyDescent="0.2">
      <c r="A18">
        <v>2400</v>
      </c>
      <c r="B18" t="s">
        <v>711</v>
      </c>
      <c r="C18" s="179">
        <f>ROUND('DOE25'!L206+'DOE25'!L224+'DOE25'!L242+'DOE25'!L285+'DOE25'!L304+'DOE25'!L323,0)</f>
        <v>2076907</v>
      </c>
      <c r="D18" s="182">
        <f t="shared" si="0"/>
        <v>5.6</v>
      </c>
    </row>
    <row r="19" spans="1:4" x14ac:dyDescent="0.2">
      <c r="A19">
        <v>2500</v>
      </c>
      <c r="B19" t="s">
        <v>708</v>
      </c>
      <c r="C19" s="179">
        <f>ROUND('DOE25'!L207+'DOE25'!L225+'DOE25'!L243+'DOE25'!L286+'DOE25'!L305+'DOE25'!L324,0)</f>
        <v>438653</v>
      </c>
      <c r="D19" s="182">
        <f t="shared" si="0"/>
        <v>1.2</v>
      </c>
    </row>
    <row r="20" spans="1:4" x14ac:dyDescent="0.2">
      <c r="A20">
        <v>2600</v>
      </c>
      <c r="B20" t="s">
        <v>709</v>
      </c>
      <c r="C20" s="179">
        <f>ROUND('DOE25'!L208+'DOE25'!L226+'DOE25'!L244+'DOE25'!L287+'DOE25'!L306+'DOE25'!L325,0)</f>
        <v>3863909</v>
      </c>
      <c r="D20" s="182">
        <f t="shared" si="0"/>
        <v>10.4</v>
      </c>
    </row>
    <row r="21" spans="1:4" x14ac:dyDescent="0.2">
      <c r="A21">
        <v>2700</v>
      </c>
      <c r="B21" t="s">
        <v>710</v>
      </c>
      <c r="C21" s="179">
        <f>ROUND('DOE25'!L209+'DOE25'!L227+'DOE25'!L245+'DOE25'!L288+'DOE25'!L307+'DOE25'!L326,0)</f>
        <v>687551</v>
      </c>
      <c r="D21" s="182">
        <f t="shared" si="0"/>
        <v>1.8</v>
      </c>
    </row>
    <row r="22" spans="1:4" x14ac:dyDescent="0.2">
      <c r="A22">
        <v>2900</v>
      </c>
      <c r="B22" t="s">
        <v>712</v>
      </c>
      <c r="C22" s="179">
        <v>0</v>
      </c>
      <c r="D22" s="182">
        <f t="shared" si="0"/>
        <v>0</v>
      </c>
    </row>
    <row r="23" spans="1:4" x14ac:dyDescent="0.2">
      <c r="A23">
        <v>1500</v>
      </c>
      <c r="B23" t="s">
        <v>714</v>
      </c>
      <c r="C23" s="179">
        <f>ROUND('DOE25'!L251+'DOE25'!L333,0)</f>
        <v>28315</v>
      </c>
      <c r="D23" s="182">
        <f t="shared" si="0"/>
        <v>0.1</v>
      </c>
    </row>
    <row r="24" spans="1:4" x14ac:dyDescent="0.2">
      <c r="A24" s="183" t="s">
        <v>722</v>
      </c>
      <c r="B24" t="s">
        <v>715</v>
      </c>
      <c r="C24" s="179">
        <f>ROUND('DOE25'!L252+'DOE25'!L253+'DOE25'!L254+'DOE25'!L255+'DOE25'!L334+'DOE25'!L335+'DOE25'!L336,0)</f>
        <v>479534</v>
      </c>
      <c r="D24" s="182">
        <f t="shared" si="0"/>
        <v>1.3</v>
      </c>
    </row>
    <row r="25" spans="1:4" x14ac:dyDescent="0.2">
      <c r="A25">
        <v>5120</v>
      </c>
      <c r="B25" t="s">
        <v>716</v>
      </c>
      <c r="C25" s="179">
        <f>ROUND('DOE25'!L262+'DOE25'!L343,0)</f>
        <v>698766</v>
      </c>
      <c r="D25" s="182">
        <f t="shared" si="0"/>
        <v>1.9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753962</v>
      </c>
      <c r="D27" s="182">
        <f t="shared" si="0"/>
        <v>2</v>
      </c>
    </row>
    <row r="28" spans="1:4" x14ac:dyDescent="0.2">
      <c r="B28" s="187" t="s">
        <v>719</v>
      </c>
      <c r="C28" s="180">
        <f>SUM(C10:C27)</f>
        <v>37208043</v>
      </c>
      <c r="D28" s="184">
        <f>ROUND(SUM(D10:D27),0)</f>
        <v>100</v>
      </c>
    </row>
    <row r="29" spans="1:4" x14ac:dyDescent="0.2">
      <c r="A29">
        <v>4000</v>
      </c>
      <c r="B29" t="s">
        <v>724</v>
      </c>
      <c r="C29" s="179">
        <f>ROUND('DOE25'!L256+'DOE25'!L337+'DOE25'!L375+'DOE25'!L376+'DOE25'!L377+'DOE25'!L378+'DOE25'!L379+'DOE25'!L380+'DOE25'!L381,0)</f>
        <v>143835</v>
      </c>
    </row>
    <row r="30" spans="1:4" x14ac:dyDescent="0.2">
      <c r="B30" s="187" t="s">
        <v>725</v>
      </c>
      <c r="C30" s="180">
        <f>SUM(C28:C29)</f>
        <v>37351878</v>
      </c>
    </row>
    <row r="31" spans="1:4" x14ac:dyDescent="0.2">
      <c r="B31" s="33"/>
      <c r="C31" s="180"/>
    </row>
    <row r="32" spans="1:4" x14ac:dyDescent="0.2">
      <c r="A32">
        <v>5100</v>
      </c>
      <c r="B32" s="33" t="s">
        <v>726</v>
      </c>
      <c r="C32" s="180">
        <f>ROUND('DOE25'!L261+'DOE25'!L342,0)</f>
        <v>1763336</v>
      </c>
    </row>
    <row r="34" spans="1:4" x14ac:dyDescent="0.2">
      <c r="A34" s="187" t="s">
        <v>94</v>
      </c>
      <c r="B34" s="188" t="s">
        <v>1589</v>
      </c>
      <c r="C34" s="181" t="s">
        <v>720</v>
      </c>
      <c r="D34" s="181" t="s">
        <v>721</v>
      </c>
    </row>
    <row r="35" spans="1:4" x14ac:dyDescent="0.2">
      <c r="A35">
        <v>1100</v>
      </c>
      <c r="B35" s="185" t="s">
        <v>727</v>
      </c>
      <c r="C35" s="179">
        <f>ROUND('DOE25'!F60+'DOE25'!G60+'DOE25'!H60+'DOE25'!I60+'DOE25'!J60,0)</f>
        <v>20658984</v>
      </c>
      <c r="D35" s="182">
        <f t="shared" ref="D35:D40" si="1">ROUND((C35/$C$41)*100,1)</f>
        <v>52.6</v>
      </c>
    </row>
    <row r="36" spans="1:4" x14ac:dyDescent="0.2">
      <c r="B36" s="185" t="s">
        <v>739</v>
      </c>
      <c r="C36" s="179">
        <f>SUM('DOE25'!F112:J112)-SUM('DOE25'!G97:G110)+('DOE25'!F175+'DOE25'!F176+'DOE25'!I175+'DOE25'!I176)-C35</f>
        <v>926485</v>
      </c>
      <c r="D36" s="182">
        <f t="shared" si="1"/>
        <v>2.4</v>
      </c>
    </row>
    <row r="37" spans="1:4" x14ac:dyDescent="0.2">
      <c r="A37" s="183" t="s">
        <v>835</v>
      </c>
      <c r="B37" s="185" t="s">
        <v>728</v>
      </c>
      <c r="C37" s="179">
        <f>ROUND('DOE25'!F117+'DOE25'!F118,0)</f>
        <v>11208336</v>
      </c>
      <c r="D37" s="182">
        <f t="shared" si="1"/>
        <v>28.5</v>
      </c>
    </row>
    <row r="38" spans="1:4" x14ac:dyDescent="0.2">
      <c r="A38" s="183" t="s">
        <v>734</v>
      </c>
      <c r="B38" s="185" t="s">
        <v>729</v>
      </c>
      <c r="C38" s="179">
        <f>ROUND(SUM('DOE25'!F140:J140)-SUM('DOE25'!F117:F119),0)</f>
        <v>1562574</v>
      </c>
      <c r="D38" s="182">
        <f t="shared" si="1"/>
        <v>4</v>
      </c>
    </row>
    <row r="39" spans="1:4" x14ac:dyDescent="0.2">
      <c r="A39">
        <v>4000</v>
      </c>
      <c r="B39" s="185" t="s">
        <v>730</v>
      </c>
      <c r="C39" s="179">
        <f>ROUND('DOE25'!F170+'DOE25'!G170+'DOE25'!H170+'DOE25'!I170,0)</f>
        <v>4923835</v>
      </c>
      <c r="D39" s="182">
        <f t="shared" si="1"/>
        <v>12.5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39280214</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7" activePane="bottomLeft" state="frozen"/>
      <selection activeCell="F46" sqref="F46"/>
      <selection pane="bottomLeft" activeCell="C52" sqref="C52:M53"/>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Laconia</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2020-12-01T15:46:39Z</cp:lastPrinted>
  <dcterms:created xsi:type="dcterms:W3CDTF">1997-12-04T19:04:30Z</dcterms:created>
  <dcterms:modified xsi:type="dcterms:W3CDTF">2020-12-11T15:46:42Z</dcterms:modified>
</cp:coreProperties>
</file>