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D37" i="14" l="1"/>
  <c r="D25" i="14"/>
  <c r="D6" i="14"/>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E110" i="2" s="1"/>
  <c r="L279" i="1"/>
  <c r="L280" i="1"/>
  <c r="L282" i="1"/>
  <c r="L283" i="1"/>
  <c r="L284" i="1"/>
  <c r="E120" i="2" s="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F85" i="2" s="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19" i="2"/>
  <c r="E123"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G653" i="1"/>
  <c r="H653" i="1"/>
  <c r="G654" i="1"/>
  <c r="H654" i="1"/>
  <c r="G655" i="1"/>
  <c r="H655" i="1"/>
  <c r="H656" i="1"/>
  <c r="J656" i="1" s="1"/>
  <c r="A40" i="12"/>
  <c r="G62" i="2"/>
  <c r="J572" i="1"/>
  <c r="J140" i="1"/>
  <c r="H140" i="1"/>
  <c r="C13" i="10" l="1"/>
  <c r="J652" i="1"/>
  <c r="G553" i="1"/>
  <c r="H477" i="1"/>
  <c r="H625" i="1" s="1"/>
  <c r="J625" i="1" s="1"/>
  <c r="H409" i="1"/>
  <c r="H645" i="1" s="1"/>
  <c r="G339" i="1"/>
  <c r="G353" i="1" s="1"/>
  <c r="C110" i="2"/>
  <c r="C20" i="10"/>
  <c r="F258" i="1"/>
  <c r="F272" i="1" s="1"/>
  <c r="I170" i="1"/>
  <c r="G409" i="1"/>
  <c r="H646" i="1" s="1"/>
  <c r="J646" i="1" s="1"/>
  <c r="L257" i="1"/>
  <c r="C11" i="10"/>
  <c r="A31" i="12"/>
  <c r="G662" i="1"/>
  <c r="D18" i="13"/>
  <c r="C18" i="13" s="1"/>
  <c r="D15" i="13"/>
  <c r="C15" i="13" s="1"/>
  <c r="C121" i="2"/>
  <c r="C120" i="2"/>
  <c r="E112" i="2"/>
  <c r="K339" i="1"/>
  <c r="K353" i="1" s="1"/>
  <c r="C91" i="2"/>
  <c r="H193" i="1"/>
  <c r="H112" i="1"/>
  <c r="H194" i="1" s="1"/>
  <c r="G630" i="1" s="1"/>
  <c r="J630" i="1" s="1"/>
  <c r="L402" i="1"/>
  <c r="C139" i="2" s="1"/>
  <c r="G646" i="1"/>
  <c r="H462" i="1"/>
  <c r="H642" i="1" s="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D103" i="2"/>
  <c r="I140" i="1"/>
  <c r="A22" i="12"/>
  <c r="G50" i="2"/>
  <c r="J653" i="1"/>
  <c r="G572" i="1"/>
  <c r="I435" i="1"/>
  <c r="G435" i="1"/>
  <c r="I664" i="1"/>
  <c r="F194" i="1" l="1"/>
  <c r="H649" i="1"/>
  <c r="J649" i="1" s="1"/>
  <c r="F661" i="1"/>
  <c r="F665" i="1" s="1"/>
  <c r="F668" i="1" s="1"/>
  <c r="H661" i="1"/>
  <c r="H665" i="1" s="1"/>
  <c r="H668" i="1" s="1"/>
  <c r="L572" i="1"/>
  <c r="E145" i="2"/>
  <c r="G24" i="14"/>
  <c r="G36" i="14"/>
  <c r="H36" i="14" s="1"/>
  <c r="I36" i="14" s="1"/>
  <c r="C81" i="2"/>
  <c r="E104" i="2"/>
  <c r="C36" i="10"/>
  <c r="L435" i="1"/>
  <c r="G639" i="1" s="1"/>
  <c r="J639"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<sst xmlns="http://schemas.openxmlformats.org/spreadsheetml/2006/main" count="5546" uniqueCount="1643">
  <si>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</si>
  <si>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</si>
  <si>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</si>
  <si>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</si>
  <si>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</si>
  <si>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</si>
  <si>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</si>
  <si>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</si>
  <si>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</si>
  <si>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</si>
  <si>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</si>
  <si>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</si>
  <si>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</si>
  <si>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</si>
  <si>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</si>
  <si>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</si>
  <si>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</si>
  <si>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</si>
  <si>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</si>
  <si>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</si>
  <si>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</si>
  <si>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</si>
  <si>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</si>
  <si>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</si>
  <si>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</si>
  <si>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</si>
  <si>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</si>
  <si>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</si>
  <si>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</si>
  <si>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</si>
  <si>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</si>
  <si>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</si>
  <si>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</si>
  <si>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</si>
  <si>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</si>
  <si>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</si>
  <si>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</si>
  <si>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</si>
  <si>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</si>
  <si>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</si>
  <si>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</si>
  <si>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</si>
  <si>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</si>
  <si>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</si>
  <si>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</si>
  <si>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</si>
  <si>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</si>
  <si>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</si>
  <si>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</si>
  <si>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</si>
  <si>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</si>
  <si>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</si>
  <si>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</si>
  <si>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</si>
  <si>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</si>
  <si>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</si>
  <si>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</si>
  <si>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</si>
  <si>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</si>
  <si>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</si>
  <si>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</si>
  <si>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</si>
  <si>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</si>
  <si>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</si>
  <si>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</si>
  <si>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</si>
  <si>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</si>
  <si>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</si>
  <si>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</si>
  <si>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</si>
  <si>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</si>
  <si>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</si>
  <si>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</si>
  <si>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</si>
  <si>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</si>
  <si>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</si>
  <si>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</si>
  <si>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</si>
  <si>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</si>
  <si>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</si>
  <si>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</si>
  <si>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</si>
  <si>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</si>
  <si>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</si>
  <si>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</si>
  <si>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</si>
  <si>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</si>
  <si>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</si>
  <si>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</si>
  <si>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</si>
  <si>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</si>
  <si>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</si>
  <si>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</si>
  <si>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</si>
  <si>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</si>
  <si>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</si>
  <si>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</si>
  <si>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</si>
  <si>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</si>
  <si>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</si>
  <si>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</si>
  <si>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</si>
  <si>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</si>
  <si>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</si>
  <si>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</si>
  <si>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</si>
  <si>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</si>
  <si>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</si>
  <si>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</si>
  <si>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</si>
  <si>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</si>
  <si>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</si>
  <si>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</si>
  <si>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</si>
  <si>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</si>
  <si>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</si>
  <si>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</si>
  <si>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</si>
  <si>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</si>
  <si>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</si>
  <si>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</si>
  <si>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</si>
  <si>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</si>
  <si>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</si>
  <si>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</si>
  <si>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</si>
  <si>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</si>
  <si>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</si>
  <si>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</si>
  <si>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</si>
  <si>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</si>
  <si>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</si>
  <si>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</si>
  <si>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</si>
  <si>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</si>
  <si>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</si>
  <si>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</si>
  <si>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</si>
  <si>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</si>
  <si>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</si>
  <si>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</si>
  <si>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</si>
  <si>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</si>
  <si>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</si>
  <si>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</si>
  <si>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</si>
  <si>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</si>
  <si>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</si>
  <si>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</si>
  <si>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</si>
  <si>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</si>
  <si>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</si>
  <si>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</si>
  <si>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</si>
  <si>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</si>
  <si>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</si>
  <si>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</si>
  <si>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</si>
  <si>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</si>
  <si>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</si>
  <si>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</si>
  <si>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</si>
  <si>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</si>
  <si>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</si>
  <si>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</si>
  <si>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</si>
  <si>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</si>
  <si>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</si>
  <si>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</si>
  <si>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</si>
  <si>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</si>
  <si>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</si>
  <si>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</si>
  <si>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</si>
  <si>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</si>
  <si>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</si>
  <si>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</si>
  <si>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</si>
  <si>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</si>
  <si>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</si>
  <si>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</si>
  <si>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</si>
  <si>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</si>
  <si>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</si>
  <si>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</si>
  <si>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</si>
  <si>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</si>
  <si>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</si>
  <si>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</si>
  <si>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</si>
  <si>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</si>
  <si>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</si>
  <si>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</si>
  <si>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</si>
  <si>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</si>
  <si>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</si>
  <si>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</si>
  <si>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</si>
  <si>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</si>
  <si>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</si>
  <si>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</si>
  <si>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</si>
  <si>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</si>
  <si>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</si>
  <si>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</si>
  <si>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</si>
  <si>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</si>
  <si>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</si>
  <si>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</si>
  <si>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</si>
  <si>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</si>
  <si>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</si>
  <si>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</si>
  <si>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</si>
  <si>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</si>
  <si>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</si>
  <si>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</si>
  <si>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</si>
  <si>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</si>
  <si>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</si>
  <si>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</si>
  <si>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</si>
  <si>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</si>
  <si>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</si>
  <si>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</si>
  <si>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</si>
  <si>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</si>
  <si>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</si>
  <si>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</si>
  <si>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</si>
  <si>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</si>
  <si>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</si>
  <si>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</si>
  <si>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</si>
  <si>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</si>
  <si>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</si>
  <si>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</si>
  <si>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</si>
  <si>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</si>
  <si>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</si>
  <si>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</si>
  <si>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</si>
  <si>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</si>
  <si>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</si>
  <si>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</si>
  <si>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</si>
  <si>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</si>
  <si>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</si>
  <si>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</si>
  <si>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</si>
  <si>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</si>
  <si>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</si>
  <si>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</si>
  <si>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</si>
  <si>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</si>
  <si>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</si>
  <si>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</si>
  <si>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</si>
  <si>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</si>
  <si>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</si>
  <si>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</si>
  <si>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</si>
  <si>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</si>
  <si>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</si>
  <si>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</si>
  <si>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</si>
  <si>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</si>
  <si>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</si>
  <si>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</si>
  <si>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</si>
  <si>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</si>
  <si>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</si>
  <si>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</si>
  <si>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</si>
  <si>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</si>
  <si>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</si>
  <si>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</si>
  <si>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</si>
  <si>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</si>
  <si>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</si>
  <si>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</si>
  <si>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</si>
  <si>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</si>
  <si>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</si>
  <si>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</si>
  <si>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</si>
  <si>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</si>
  <si>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</si>
  <si>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</si>
  <si>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</si>
  <si>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</si>
  <si>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</si>
  <si>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</si>
  <si>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</si>
  <si>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</si>
  <si>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</si>
  <si>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</si>
  <si>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</si>
  <si>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</si>
  <si>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</si>
  <si>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</si>
  <si>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</si>
  <si>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</si>
  <si>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</si>
  <si>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</si>
  <si>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</si>
  <si>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</si>
  <si>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</si>
  <si>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</si>
  <si>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</si>
  <si>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</si>
  <si>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</si>
  <si>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</si>
  <si>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</si>
  <si>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</si>
  <si>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</si>
  <si>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</si>
  <si>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</si>
  <si>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</si>
  <si>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</si>
  <si>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</si>
  <si>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</si>
  <si>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</si>
  <si>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</si>
  <si>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</si>
  <si>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</si>
  <si>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</si>
  <si>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</si>
  <si>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</si>
  <si>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</si>
  <si>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</si>
  <si>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</si>
  <si>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</si>
  <si>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</si>
  <si>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</si>
  <si>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</si>
  <si>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</si>
  <si>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</si>
  <si>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</si>
  <si>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</si>
  <si>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</si>
  <si>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</si>
  <si>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</si>
  <si>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</si>
  <si>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</si>
  <si>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</si>
  <si>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</si>
  <si>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</si>
  <si>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</si>
  <si>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</si>
  <si>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</si>
  <si>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</si>
  <si>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</si>
  <si>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</si>
  <si>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</si>
  <si>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</si>
  <si>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</si>
  <si>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</si>
  <si>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</si>
  <si>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</si>
  <si>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</si>
  <si>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</si>
  <si>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</si>
  <si>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</si>
  <si>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</si>
  <si>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</si>
  <si>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</si>
  <si>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</si>
  <si>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</si>
  <si>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</si>
  <si>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</si>
  <si>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</si>
  <si>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</si>
  <si>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</si>
  <si>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</si>
  <si>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</si>
  <si>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</si>
  <si>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</si>
  <si>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</si>
  <si>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</si>
  <si>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</si>
  <si>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</si>
  <si>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</si>
  <si>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</si>
  <si>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</si>
  <si>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</si>
  <si>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</si>
  <si>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</si>
  <si>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</si>
  <si>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</si>
  <si>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</si>
  <si>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</si>
  <si>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</si>
  <si>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</si>
  <si>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</si>
  <si>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</si>
  <si>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</si>
  <si>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</si>
  <si>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</si>
  <si>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</si>
  <si>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</si>
  <si>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</si>
  <si>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</si>
  <si>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</si>
  <si>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</si>
  <si>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</si>
  <si>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</si>
  <si>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</si>
  <si>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</si>
  <si>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</si>
  <si>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</si>
  <si>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</si>
  <si>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</si>
  <si>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</si>
  <si>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</si>
  <si>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</si>
  <si>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</si>
  <si>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</si>
  <si>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</si>
  <si>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</si>
  <si>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</si>
  <si>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</si>
  <si>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</si>
  <si>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</si>
  <si>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</si>
  <si>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</si>
  <si>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</si>
  <si>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</si>
  <si>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</si>
  <si>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</si>
  <si>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</si>
  <si>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</si>
  <si>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</si>
  <si>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</si>
  <si>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</si>
  <si>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</si>
  <si>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</si>
  <si>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</si>
  <si>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</si>
  <si>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</si>
  <si>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</si>
  <si>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</si>
  <si>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</si>
  <si>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</si>
  <si>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</si>
  <si>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</si>
  <si>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</si>
  <si>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</si>
  <si>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</si>
  <si>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</si>
  <si>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</si>
  <si>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</si>
  <si>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</si>
  <si>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</si>
  <si>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</si>
  <si>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</si>
  <si>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</si>
  <si>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</si>
  <si>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</si>
  <si>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</si>
  <si>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</si>
  <si>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</si>
  <si>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</si>
  <si>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</si>
  <si>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</si>
  <si>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</si>
  <si>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</si>
  <si>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</si>
  <si>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</si>
  <si>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</si>
  <si>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</si>
  <si>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</si>
  <si>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</si>
  <si>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</si>
  <si>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</si>
  <si>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</si>
  <si>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</si>
  <si>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</si>
  <si>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</si>
  <si>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</si>
  <si>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</si>
  <si>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</si>
  <si>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</si>
  <si>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</si>
  <si>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</si>
  <si>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</si>
  <si>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</si>
  <si>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</si>
  <si>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</si>
  <si>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</si>
  <si>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</si>
  <si>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</si>
  <si>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</si>
  <si>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</si>
  <si>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</si>
  <si>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</si>
  <si>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</si>
  <si>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</si>
  <si>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</si>
  <si>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</si>
  <si>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</si>
  <si>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</si>
  <si>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</si>
  <si>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</si>
  <si>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</si>
  <si>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</si>
  <si>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</si>
  <si>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</si>
  <si>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</si>
  <si>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</si>
  <si>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</si>
  <si>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</si>
  <si>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</si>
  <si>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</si>
  <si>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</si>
  <si>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</si>
  <si>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</si>
  <si>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</si>
  <si>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</si>
  <si>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</si>
  <si>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</si>
  <si>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</si>
  <si>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</si>
  <si>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</si>
  <si>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</si>
  <si>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</si>
  <si>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</si>
  <si>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</si>
  <si>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</si>
  <si>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</si>
  <si>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</si>
  <si>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</si>
  <si>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</si>
  <si>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</si>
  <si>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</si>
  <si>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</si>
  <si>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</si>
  <si>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</si>
  <si>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</si>
  <si>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</si>
  <si>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</si>
  <si>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</si>
  <si>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</si>
  <si>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</si>
  <si>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</si>
  <si>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</si>
  <si>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</si>
  <si>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</si>
  <si>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</si>
  <si>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</si>
  <si>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</si>
  <si>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</si>
  <si>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</si>
  <si>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</si>
  <si>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</si>
  <si>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</si>
  <si>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</si>
  <si>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</si>
  <si>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</si>
  <si>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</si>
  <si>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</si>
  <si>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</si>
  <si>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</si>
  <si>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</si>
  <si>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</si>
  <si>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</si>
  <si>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</si>
  <si>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</si>
  <si>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</si>
  <si>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</si>
  <si>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</si>
  <si>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</si>
  <si>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</si>
  <si>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</si>
  <si>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</si>
  <si>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</si>
  <si>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</si>
  <si>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</si>
  <si>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</si>
  <si>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</si>
  <si>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</si>
  <si>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</si>
  <si>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</si>
  <si>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</si>
  <si>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</si>
  <si>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</si>
  <si>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</si>
  <si>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</si>
  <si>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</si>
  <si>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</si>
  <si>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</si>
  <si>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</si>
  <si>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</si>
  <si>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</si>
  <si>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</si>
  <si>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</si>
  <si>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</si>
  <si>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</si>
  <si>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</si>
  <si>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</si>
  <si>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</si>
  <si>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</si>
  <si>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</si>
  <si>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</si>
  <si>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</si>
  <si>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</si>
  <si>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</si>
  <si>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</si>
  <si>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</si>
  <si>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</si>
  <si>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</si>
  <si>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</si>
  <si>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</si>
  <si>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</si>
  <si>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</si>
  <si>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</si>
  <si>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</si>
  <si>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</si>
  <si>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</si>
  <si>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</si>
  <si>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</si>
  <si>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</si>
  <si>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</si>
  <si>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</si>
  <si>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</si>
  <si>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</si>
  <si>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</si>
  <si>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</si>
  <si>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</si>
  <si>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</si>
  <si>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</si>
  <si>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</si>
  <si>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</si>
  <si>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</si>
  <si>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</si>
  <si>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</si>
  <si>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</si>
  <si>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</si>
  <si>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</si>
  <si>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</si>
  <si>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</si>
  <si>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</si>
  <si>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</si>
  <si>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</si>
  <si>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</si>
  <si>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</si>
  <si>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</si>
  <si>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</si>
  <si>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</si>
  <si>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</si>
  <si>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</si>
  <si>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</si>
  <si>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</si>
  <si>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</si>
  <si>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</si>
  <si>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</si>
  <si>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</si>
  <si>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</si>
  <si>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</si>
  <si>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</si>
  <si>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</si>
  <si>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</si>
  <si>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</si>
  <si>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</si>
  <si>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</si>
  <si>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</si>
  <si>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</si>
  <si>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</si>
  <si>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</si>
  <si>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</si>
  <si>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</si>
  <si>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</si>
  <si>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</si>
  <si>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</si>
  <si>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</si>
  <si>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</si>
  <si>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</si>
  <si>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</si>
  <si>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</si>
  <si>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</si>
  <si>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</si>
  <si>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</si>
  <si>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</si>
  <si>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</si>
  <si>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</si>
  <si>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</si>
  <si>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</si>
  <si>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</si>
  <si>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</si>
  <si>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</si>
  <si>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</si>
  <si>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</si>
  <si>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</si>
  <si>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</si>
  <si>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</si>
  <si>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</si>
  <si>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</si>
  <si>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</si>
  <si>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</si>
  <si>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</si>
  <si>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</si>
  <si>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</si>
  <si>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</si>
  <si>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</si>
  <si>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</si>
  <si>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</si>
  <si>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</si>
  <si>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</si>
  <si>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</si>
  <si>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</si>
  <si>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</si>
  <si>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</si>
  <si>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</si>
  <si>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</si>
  <si>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</si>
  <si>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</si>
  <si>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</si>
  <si>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</si>
  <si>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</si>
  <si>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</si>
  <si>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</si>
  <si>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</si>
  <si>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</si>
  <si>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</si>
  <si>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</si>
  <si>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</si>
  <si>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</si>
  <si>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</si>
  <si>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</si>
  <si>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</si>
  <si>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</si>
  <si>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</si>
  <si>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</si>
  <si>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</si>
  <si>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</si>
  <si>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</si>
  <si>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</si>
  <si>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</si>
  <si>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</si>
  <si>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</si>
  <si>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</si>
  <si>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</si>
  <si>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</si>
  <si>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</si>
  <si>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</si>
  <si>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</si>
  <si>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</si>
  <si>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</si>
  <si>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</si>
  <si>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</si>
  <si>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</si>
  <si>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</si>
  <si>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</si>
  <si>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</si>
  <si>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</si>
  <si>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</si>
  <si>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</si>
  <si>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</si>
  <si>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</si>
  <si>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</si>
  <si>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</si>
  <si>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</si>
  <si>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</si>
  <si>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</si>
  <si>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</si>
  <si>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</si>
  <si>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</si>
  <si>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</si>
  <si>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</si>
  <si>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</si>
  <si>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</si>
  <si>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</si>
  <si>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</si>
  <si>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</si>
  <si>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</si>
  <si>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</si>
  <si>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</si>
  <si>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</si>
  <si>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</si>
  <si>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</si>
  <si>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</si>
  <si>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</si>
  <si>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</si>
  <si>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</si>
  <si>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</si>
  <si>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</si>
  <si>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</si>
  <si>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</si>
  <si>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</si>
  <si>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</si>
  <si>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</si>
  <si>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</si>
  <si>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</si>
  <si>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</si>
  <si>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</si>
  <si>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</si>
  <si>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</si>
  <si>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</si>
  <si>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</si>
  <si>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</si>
  <si>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</si>
  <si>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</si>
  <si>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</si>
  <si>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</si>
  <si>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</si>
  <si>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</si>
  <si>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</si>
  <si>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</si>
  <si>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</si>
  <si>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</si>
  <si>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</si>
  <si>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</si>
  <si>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</si>
  <si>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</si>
  <si>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</si>
  <si>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</si>
  <si>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</si>
  <si>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</si>
  <si>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</si>
  <si>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</si>
  <si>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</si>
  <si>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</si>
  <si>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</si>
  <si>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</si>
  <si>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</si>
  <si>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</si>
  <si>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</si>
  <si>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</si>
  <si>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</si>
  <si>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</si>
  <si>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</si>
  <si>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</si>
  <si>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</si>
  <si>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</si>
  <si>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</si>
  <si>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</si>
  <si>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</si>
  <si>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</si>
  <si>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</si>
  <si>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</si>
  <si>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</si>
  <si>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</si>
  <si>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</si>
  <si>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</si>
  <si>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</si>
  <si>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</si>
  <si>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</si>
  <si>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</si>
  <si>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</si>
  <si>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</si>
  <si>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</si>
  <si>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</si>
  <si>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</si>
  <si>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</si>
  <si>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</si>
  <si>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</si>
  <si>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</si>
  <si>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</si>
  <si>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</si>
  <si>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</si>
  <si>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</si>
  <si>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</si>
  <si>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</si>
  <si>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</si>
  <si>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</si>
  <si>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</si>
  <si>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</si>
  <si>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</si>
  <si>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</si>
  <si>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</si>
  <si>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</si>
  <si>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</si>
  <si>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</si>
  <si>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</si>
  <si>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</si>
  <si>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</si>
  <si>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</si>
  <si>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</si>
  <si>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</si>
  <si>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</si>
  <si>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</si>
  <si>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</si>
  <si>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</si>
  <si>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</si>
  <si>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</si>
  <si>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</si>
  <si>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</si>
  <si>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</si>
  <si>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</si>
  <si>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</si>
  <si>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</si>
  <si>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</si>
  <si>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</si>
  <si>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</si>
  <si>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</si>
  <si>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</si>
  <si>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</si>
  <si>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</si>
  <si>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</si>
  <si>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</si>
  <si>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</si>
  <si>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</si>
  <si>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</si>
  <si>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</si>
  <si>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</si>
  <si>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</si>
  <si>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</si>
  <si>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</si>
  <si>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</si>
  <si>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</si>
  <si>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</si>
  <si>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</si>
  <si>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</si>
  <si>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</si>
  <si>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</si>
  <si>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</si>
  <si>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</si>
  <si>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</si>
  <si>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</si>
  <si>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</si>
  <si>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</si>
  <si>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</si>
  <si>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</si>
  <si>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</si>
  <si>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</si>
  <si>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</si>
  <si>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</si>
  <si>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</si>
  <si>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</si>
  <si>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</si>
  <si>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</si>
  <si>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</si>
  <si>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</si>
  <si>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</si>
  <si>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</si>
  <si>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</si>
  <si>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</si>
  <si>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</si>
  <si>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</si>
  <si>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</si>
  <si>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</si>
  <si>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</si>
  <si>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</si>
  <si>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</si>
  <si>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</si>
  <si>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</si>
  <si>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</si>
  <si>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</si>
  <si>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</si>
  <si>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</si>
  <si>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</si>
  <si>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</si>
  <si>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</si>
  <si>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</si>
  <si>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</si>
  <si>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</si>
  <si>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</si>
  <si>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</si>
  <si>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</si>
  <si>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</si>
  <si>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</si>
  <si>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</si>
  <si>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</si>
  <si>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</si>
  <si>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</si>
  <si>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</si>
  <si>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</si>
  <si>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</si>
  <si>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</si>
  <si>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</si>
  <si>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</si>
  <si>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</si>
  <si>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</si>
  <si>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</si>
  <si>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</si>
  <si>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</si>
  <si>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</si>
  <si>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</si>
  <si>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</si>
  <si>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</si>
  <si>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</si>
  <si>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</si>
  <si>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</si>
  <si>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</si>
  <si>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</si>
  <si>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</si>
  <si>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</si>
  <si>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</si>
  <si>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</si>
  <si>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</si>
  <si>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</si>
  <si>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</si>
  <si>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</si>
  <si>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</si>
  <si>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</si>
  <si>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</si>
  <si>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</si>
  <si>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</si>
  <si>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</si>
  <si>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</si>
  <si>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</si>
  <si>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</si>
  <si>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</si>
  <si>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</si>
  <si>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</si>
  <si>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</si>
  <si>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</si>
  <si>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</si>
  <si>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</si>
  <si>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</si>
  <si>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</si>
  <si>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</si>
  <si>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</si>
  <si>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</si>
  <si>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</si>
  <si>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</si>
  <si>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</si>
  <si>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</si>
  <si>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</si>
  <si>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</si>
  <si>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</si>
  <si>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</si>
  <si>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</si>
  <si>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</si>
  <si>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</si>
  <si>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</si>
  <si>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</si>
  <si>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</si>
  <si>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</si>
  <si>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</si>
  <si>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</si>
  <si>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</si>
  <si>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</si>
  <si>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</si>
  <si>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</si>
  <si>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</si>
  <si>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</si>
  <si>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</si>
  <si>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</si>
  <si>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</si>
  <si>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</si>
  <si>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</si>
  <si>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</si>
  <si>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</si>
  <si>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</si>
  <si>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</si>
  <si>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</si>
  <si>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</si>
  <si>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</si>
  <si>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</si>
  <si>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</si>
  <si>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</si>
  <si>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</si>
  <si>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</si>
  <si>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</si>
  <si>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</si>
  <si>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</si>
  <si>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</si>
  <si>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</si>
  <si>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</si>
  <si>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</si>
  <si>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</si>
  <si>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</si>
  <si>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</si>
  <si>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</si>
  <si>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</si>
  <si>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</si>
  <si>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</si>
  <si>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</si>
  <si>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</si>
  <si>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</si>
  <si>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</si>
  <si>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</si>
  <si>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</si>
  <si>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</si>
  <si>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</si>
  <si>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</si>
  <si>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</si>
  <si>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</si>
  <si>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</si>
  <si>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</si>
  <si>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</si>
  <si>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</si>
  <si>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</si>
  <si>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</si>
  <si>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</si>
  <si>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</si>
  <si>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</si>
  <si>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</si>
  <si>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</si>
  <si>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</si>
  <si>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</si>
  <si>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</si>
  <si>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</si>
  <si>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</si>
  <si>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</si>
  <si>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</si>
  <si>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</si>
  <si>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</si>
  <si>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</si>
  <si>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</si>
  <si>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</si>
  <si>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</si>
  <si>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</si>
  <si>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</si>
  <si>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</si>
  <si>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</si>
  <si>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</si>
  <si>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</si>
  <si>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</si>
  <si>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</si>
  <si>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</si>
  <si>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</si>
  <si>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</si>
  <si>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</si>
  <si>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</si>
  <si>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</si>
  <si>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</si>
  <si>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</si>
  <si>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</si>
  <si>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</si>
  <si>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</si>
  <si>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</si>
  <si>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</si>
  <si>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</si>
  <si>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</si>
  <si>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</si>
  <si>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</si>
  <si>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</si>
  <si>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</si>
  <si>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</si>
  <si>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</si>
  <si>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</si>
  <si>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</si>
  <si>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</si>
  <si>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</si>
  <si>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</si>
  <si>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</si>
  <si>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</si>
  <si>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</si>
  <si>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</si>
  <si>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</si>
  <si>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</si>
  <si>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</si>
  <si>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</si>
  <si>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</si>
  <si>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</si>
  <si>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</si>
  <si>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</si>
  <si>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</si>
  <si>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</si>
  <si>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</si>
  <si>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</si>
  <si>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</si>
  <si>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</si>
  <si>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</si>
  <si>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</si>
  <si>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</si>
  <si>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</si>
  <si>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</si>
  <si>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</si>
  <si>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</si>
  <si>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</si>
  <si>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</si>
  <si>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</si>
  <si>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</si>
  <si>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</si>
  <si>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</si>
  <si>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</si>
  <si>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</si>
  <si>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</si>
  <si>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</si>
  <si>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</si>
  <si>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</si>
  <si>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</si>
  <si>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</si>
  <si>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</si>
  <si>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</si>
  <si>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</si>
  <si>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</si>
  <si>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</si>
  <si>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</si>
  <si>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</si>
  <si>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</si>
  <si>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</si>
  <si>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</si>
  <si>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</si>
  <si>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</si>
  <si>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</si>
  <si>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</si>
  <si>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</si>
  <si>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</si>
  <si>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</si>
  <si>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</si>
  <si>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</si>
  <si>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</si>
  <si>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</si>
  <si>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</si>
  <si>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</si>
  <si>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</si>
  <si>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</si>
  <si>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</si>
  <si>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</si>
  <si>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</si>
  <si>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</si>
  <si>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</si>
  <si>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</si>
  <si>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</si>
  <si>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</si>
  <si>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</si>
  <si>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</si>
  <si>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</si>
  <si>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</si>
  <si>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</si>
  <si>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</si>
  <si>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</si>
  <si>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</si>
  <si>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</si>
  <si>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</si>
  <si>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</si>
  <si>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</si>
  <si>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</si>
  <si>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</si>
  <si>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</si>
  <si>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</si>
  <si>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</si>
  <si>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</si>
  <si>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</si>
  <si>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</si>
  <si>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</si>
  <si>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</si>
  <si>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</si>
  <si>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</si>
  <si>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</si>
  <si>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</si>
  <si>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</si>
  <si>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</si>
  <si>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</si>
  <si>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</si>
  <si>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</si>
  <si>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</si>
  <si>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</si>
  <si>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</si>
  <si>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</si>
  <si>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</si>
  <si>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</si>
  <si>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</si>
  <si>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</si>
  <si>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</si>
  <si>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</si>
  <si>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</si>
  <si>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</si>
  <si>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</si>
  <si>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</si>
  <si>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</si>
  <si>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</si>
  <si>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</si>
  <si>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</si>
  <si>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</si>
  <si>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</si>
  <si>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</si>
  <si>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</si>
  <si>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</si>
  <si>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</si>
  <si>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</si>
  <si>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</si>
  <si>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</si>
  <si>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</si>
  <si>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</si>
  <si>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</si>
  <si>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</si>
  <si>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</si>
  <si>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</si>
  <si>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</si>
  <si>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</si>
  <si>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</si>
  <si>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</si>
  <si>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</si>
  <si>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</si>
  <si>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</si>
  <si>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</si>
  <si>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</si>
  <si>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</si>
  <si>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</si>
  <si>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</si>
  <si>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</si>
  <si>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</si>
  <si>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</si>
  <si>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</si>
  <si>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</si>
  <si>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</si>
  <si>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</si>
  <si>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</si>
  <si>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</si>
  <si>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</si>
  <si>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</si>
  <si>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</si>
  <si>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</si>
  <si>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</si>
  <si>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</si>
  <si>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</si>
  <si>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</si>
  <si>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</si>
  <si>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</si>
  <si>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</si>
  <si>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</si>
  <si>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</si>
  <si>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</si>
  <si>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</si>
  <si>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</si>
  <si>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</si>
  <si>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</si>
  <si>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</si>
  <si>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</si>
  <si>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</si>
  <si>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</si>
  <si>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</si>
  <si>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</si>
  <si>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</si>
  <si>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</si>
  <si>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</si>
  <si>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</si>
  <si>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</si>
  <si>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</si>
  <si>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</si>
  <si>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</si>
  <si>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</si>
  <si>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</si>
  <si>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</si>
  <si>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</si>
  <si>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</si>
  <si>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</si>
  <si>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</si>
  <si>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</si>
  <si>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</si>
  <si>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</si>
  <si>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</si>
  <si>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</si>
  <si>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</si>
  <si>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</si>
  <si>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</si>
  <si>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</si>
  <si>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</si>
  <si>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</si>
  <si>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</si>
  <si>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</si>
  <si>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</si>
  <si>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</si>
  <si>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</si>
  <si>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</si>
  <si>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</si>
  <si>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</si>
  <si>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</si>
  <si>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</si>
  <si>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</si>
  <si>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</si>
  <si>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</si>
  <si>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</si>
  <si>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</si>
  <si>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</si>
  <si>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</si>
  <si>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</si>
  <si>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</si>
  <si>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</si>
  <si>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</si>
  <si>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</si>
  <si>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</si>
  <si>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</si>
  <si>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</si>
  <si>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</si>
  <si>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</si>
  <si>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</si>
  <si>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</si>
  <si>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</si>
  <si>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</si>
  <si>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</si>
  <si>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</si>
  <si>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</si>
  <si>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</si>
  <si>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</si>
  <si>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</si>
  <si>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</si>
  <si>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</si>
  <si>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</si>
  <si>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</si>
  <si>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</si>
  <si>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</si>
  <si>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</si>
  <si>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</si>
  <si>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</si>
  <si>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</si>
  <si>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</si>
  <si>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</si>
  <si>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</si>
  <si>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</si>
  <si>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</si>
  <si>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</si>
  <si>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</si>
  <si>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</si>
  <si>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</si>
  <si>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</si>
  <si>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</si>
  <si>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</si>
  <si>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</si>
  <si>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</si>
  <si>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</si>
  <si>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</si>
  <si>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</si>
  <si>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</si>
  <si>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</si>
  <si>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</si>
  <si>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</si>
  <si>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</si>
  <si>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</si>
  <si>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</si>
  <si>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</si>
  <si>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</si>
  <si>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</si>
  <si>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</si>
  <si>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</si>
  <si>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</si>
  <si>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</si>
  <si>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</si>
  <si>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</si>
  <si>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</si>
  <si>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</si>
  <si>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</si>
  <si>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</si>
  <si>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</si>
  <si>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</si>
  <si>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</si>
  <si>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</si>
  <si>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</si>
  <si>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</si>
  <si>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</si>
  <si>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</si>
  <si>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</si>
  <si>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</si>
  <si>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</si>
  <si>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</si>
  <si>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</si>
  <si>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</si>
  <si>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</si>
  <si>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</si>
  <si>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</si>
  <si>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</si>
  <si>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</si>
  <si>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</si>
  <si>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</si>
  <si>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</si>
  <si>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</si>
  <si>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</si>
  <si>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</si>
  <si>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</si>
  <si>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</si>
  <si>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</si>
  <si>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</si>
  <si>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</si>
  <si>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</si>
  <si>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</si>
  <si>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</si>
  <si>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</si>
  <si>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</si>
  <si>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</si>
  <si>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</si>
  <si>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</si>
  <si>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</si>
  <si>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</si>
  <si>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</si>
  <si>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</si>
  <si>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</si>
  <si>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</si>
  <si>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</si>
  <si>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</si>
  <si>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</si>
  <si>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</si>
  <si>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</si>
  <si>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</si>
  <si>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</si>
  <si>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</si>
  <si>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</si>
  <si>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</si>
  <si>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</si>
  <si>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</si>
  <si>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</si>
  <si>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</si>
  <si>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</si>
  <si>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</si>
  <si>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</si>
  <si>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</si>
  <si>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</si>
  <si>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</si>
  <si>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</si>
  <si>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</si>
  <si>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</si>
  <si>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</si>
  <si>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</si>
  <si>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</si>
  <si>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</si>
  <si>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</si>
  <si>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</si>
  <si>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</si>
  <si>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</si>
  <si>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</si>
  <si>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</si>
  <si>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</si>
  <si>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</si>
  <si>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</si>
  <si>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</si>
  <si>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</si>
  <si>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</si>
  <si>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</si>
  <si>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</si>
  <si>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</si>
  <si>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</si>
  <si>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</si>
  <si>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</si>
  <si>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</si>
  <si>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</si>
  <si>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</si>
  <si>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</si>
  <si>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</si>
  <si>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</si>
  <si>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</si>
  <si>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</si>
  <si>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</si>
  <si>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</si>
  <si>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</si>
  <si>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</si>
  <si>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</si>
  <si>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</si>
  <si>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</si>
  <si>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</si>
  <si>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</si>
  <si>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</si>
  <si>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</si>
  <si>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</si>
  <si>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</si>
  <si>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</si>
  <si>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</si>
  <si>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</si>
  <si>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</si>
  <si>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</si>
  <si>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</si>
  <si>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</si>
  <si>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</si>
  <si>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</si>
  <si>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</si>
  <si>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</si>
  <si>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</si>
  <si>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</si>
  <si>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</si>
  <si>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</si>
  <si>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</si>
  <si>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</si>
  <si>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</si>
  <si>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</si>
  <si>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</si>
  <si>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</si>
  <si>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</si>
  <si>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</si>
  <si>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</si>
  <si>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</si>
  <si>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</si>
  <si>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</si>
  <si>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</si>
  <si>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</si>
  <si>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</si>
  <si>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</si>
  <si>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</si>
  <si>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</si>
  <si>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</si>
  <si>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</si>
  <si>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</si>
  <si>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</si>
  <si>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</si>
  <si>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</si>
  <si>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</si>
  <si>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</si>
  <si>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</si>
  <si>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</si>
  <si>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</si>
  <si>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</si>
  <si>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</si>
  <si>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</si>
  <si>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</si>
  <si>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</si>
  <si>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</si>
  <si>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</si>
  <si>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</si>
  <si>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</si>
  <si>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</si>
  <si>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</si>
  <si>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</si>
  <si>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</si>
  <si>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</si>
  <si>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</si>
  <si>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</si>
  <si>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</si>
  <si>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</si>
  <si>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</si>
  <si>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</si>
  <si>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</si>
  <si>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</si>
  <si>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</si>
  <si>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</si>
  <si>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</si>
  <si>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</si>
  <si>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</si>
  <si>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</si>
  <si>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</si>
  <si>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</si>
  <si>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</si>
  <si>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</si>
  <si>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</si>
  <si>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</si>
  <si>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</si>
  <si>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</si>
  <si>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</si>
  <si>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</si>
  <si>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</si>
  <si>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</si>
  <si>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</si>
  <si>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</si>
  <si>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</si>
  <si>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</si>
  <si>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</si>
  <si>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</si>
  <si>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</si>
  <si>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</si>
  <si>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</si>
  <si>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</si>
  <si>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</si>
  <si>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</si>
  <si>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</si>
  <si>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</si>
  <si>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</si>
  <si>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</si>
  <si>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</si>
  <si>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</si>
  <si>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</si>
  <si>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</si>
  <si>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LANDAFF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</si>
</sst>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6"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291</v>
      </c>
      <c r="C2" s="21">
        <v>291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375332.58</v>
      </c>
      <c r="G9" s="18"/>
      <c r="H9" s="18"/>
      <c r="I9" s="18"/>
      <c r="J9" s="67">
        <f>SUM(I440)</f>
        <v>178573.95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13073.45</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v>13073.48</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34072.480000000003</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422478.51</v>
      </c>
      <c r="G19" s="41">
        <f>SUM(G9:G18)</f>
        <v>0</v>
      </c>
      <c r="H19" s="41">
        <f>SUM(H9:H18)</f>
        <v>13073.48</v>
      </c>
      <c r="I19" s="41">
        <f>SUM(I9:I18)</f>
        <v>0</v>
      </c>
      <c r="J19" s="41">
        <f>SUM(J9:J18)</f>
        <v>178573.95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13073.48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75252.06</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67169</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142421.06</v>
      </c>
      <c r="G32" s="41">
        <f>SUM(G22:G31)</f>
        <v>0</v>
      </c>
      <c r="H32" s="41">
        <f>SUM(H22:H31)</f>
        <v>13073.48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178573.95</v>
      </c>
      <c r="K43" s="24" t="s">
        <v>288</v>
      </c>
      <c r="L43" s="24" t="s">
        <v>288</v>
      </c>
      <c r="M43" s="8"/>
      <c r="N43" s="266"/>
    </row>
    <row r="44" spans="1:14" s="3" customFormat="1" ht="12.2" customHeight="1" x14ac:dyDescent="0.15">
      <c r="A44" s="1" t="s">
        <v>837</v>
      </c>
      <c r="B44" s="6">
        <v>1</v>
      </c>
      <c r="C44" s="6">
        <v>30</v>
      </c>
      <c r="D44" s="2" t="s">
        <v>653</v>
      </c>
      <c r="E44" s="6">
        <v>755</v>
      </c>
      <c r="F44" s="18">
        <v>132500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280057.45-132500</f>
        <v>147557.45000000001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280057.45</v>
      </c>
      <c r="G51" s="41">
        <f>SUM(G35:G50)</f>
        <v>0</v>
      </c>
      <c r="H51" s="41">
        <f>SUM(H35:H50)</f>
        <v>0</v>
      </c>
      <c r="I51" s="41">
        <f>SUM(I35:I50)</f>
        <v>0</v>
      </c>
      <c r="J51" s="41">
        <f>SUM(J35:J50)</f>
        <v>178573.95</v>
      </c>
      <c r="K51" s="45" t="s">
        <v>288</v>
      </c>
      <c r="L51" s="45" t="s">
        <v>288</v>
      </c>
      <c r="N51" s="264"/>
    </row>
    <row r="52" spans="1:14" s="3" customFormat="1" ht="12.2" customHeight="1" thickTop="1" x14ac:dyDescent="0.15">
      <c r="A52" s="38" t="s">
        <v>455</v>
      </c>
      <c r="B52" s="39" t="s">
        <v>289</v>
      </c>
      <c r="C52" s="6">
        <v>37</v>
      </c>
      <c r="D52" s="39" t="s">
        <v>653</v>
      </c>
      <c r="E52" s="39"/>
      <c r="F52" s="41">
        <f>F51+F32</f>
        <v>422478.51</v>
      </c>
      <c r="G52" s="41">
        <f>G51+G32</f>
        <v>0</v>
      </c>
      <c r="H52" s="41">
        <f>H51+H32</f>
        <v>13073.48</v>
      </c>
      <c r="I52" s="41">
        <f>I51+I32</f>
        <v>0</v>
      </c>
      <c r="J52" s="41">
        <f>J51+J32</f>
        <v>178573.95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713940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713940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17505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25450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42955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127.67</v>
      </c>
      <c r="G96" s="18"/>
      <c r="H96" s="18"/>
      <c r="I96" s="18"/>
      <c r="J96" s="18">
        <v>3695.52</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22029.5</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145.33000000000001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1673.74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23976.240000000002</v>
      </c>
      <c r="G111" s="41">
        <f>SUM(G96:G110)</f>
        <v>0</v>
      </c>
      <c r="H111" s="41">
        <f>SUM(H96:H110)</f>
        <v>0</v>
      </c>
      <c r="I111" s="41">
        <f>SUM(I96:I110)</f>
        <v>0</v>
      </c>
      <c r="J111" s="41">
        <f>SUM(J96:J110)</f>
        <v>3695.52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780871.24</v>
      </c>
      <c r="G112" s="41">
        <f>G60+G111</f>
        <v>0</v>
      </c>
      <c r="H112" s="41">
        <f>H60+H79+H94+H111</f>
        <v>0</v>
      </c>
      <c r="I112" s="41">
        <f>I60+I111</f>
        <v>0</v>
      </c>
      <c r="J112" s="41">
        <f>J60+J111</f>
        <v>3695.52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207324.87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92079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299403.87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47102.46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47102.46</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346506.33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69.03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20683.3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5827.15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7799.73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7799.73</v>
      </c>
      <c r="G163" s="41">
        <f>SUM(G150:G162)</f>
        <v>0</v>
      </c>
      <c r="H163" s="41">
        <f>SUM(H150:H162)</f>
        <v>26579.479999999996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2370.2399999999998</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10169.969999999999</v>
      </c>
      <c r="G170" s="41">
        <f>G147+G163+SUM(G164:G169)</f>
        <v>0</v>
      </c>
      <c r="H170" s="41">
        <f>H147+H163+SUM(H164:H169)</f>
        <v>26579.479999999996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1137547.54</v>
      </c>
      <c r="G194" s="47">
        <f>G112+G140+G170+G193</f>
        <v>0</v>
      </c>
      <c r="H194" s="47">
        <f>H112+H140+H170+H193</f>
        <v>26579.479999999996</v>
      </c>
      <c r="I194" s="47">
        <f>I112+I140+I170+I193</f>
        <v>0</v>
      </c>
      <c r="J194" s="47">
        <f>J112+J140+J193</f>
        <v>13695.52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109447.47</v>
      </c>
      <c r="G198" s="18">
        <v>23174.799999999999</v>
      </c>
      <c r="H198" s="18">
        <v>129477.83</v>
      </c>
      <c r="I198" s="18">
        <v>7899.76</v>
      </c>
      <c r="J198" s="18">
        <v>19973.400000000001</v>
      </c>
      <c r="K198" s="18"/>
      <c r="L198" s="19">
        <f>SUM(F198:K198)</f>
        <v>289973.26</v>
      </c>
      <c r="M198" s="8"/>
      <c r="N198" s="266"/>
    </row>
    <row r="199" spans="1:14" s="3" customFormat="1" ht="12.2" customHeight="1" x14ac:dyDescent="0.15">
      <c r="A199" s="1" t="s">
        <v>439</v>
      </c>
      <c r="B199" s="2" t="s">
        <v>341</v>
      </c>
      <c r="C199" s="2" t="s">
        <v>291</v>
      </c>
      <c r="D199" s="2" t="s">
        <v>431</v>
      </c>
      <c r="E199" s="6">
        <v>1200</v>
      </c>
      <c r="F199" s="18">
        <v>1000</v>
      </c>
      <c r="G199" s="18">
        <v>363.76</v>
      </c>
      <c r="H199" s="18">
        <v>80958.22</v>
      </c>
      <c r="I199" s="18">
        <v>238.55</v>
      </c>
      <c r="J199" s="18"/>
      <c r="K199" s="18"/>
      <c r="L199" s="19">
        <f>SUM(F199:K199)</f>
        <v>82560.53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4074</v>
      </c>
      <c r="G201" s="18">
        <v>336.6</v>
      </c>
      <c r="H201" s="18"/>
      <c r="I201" s="18">
        <v>181</v>
      </c>
      <c r="J201" s="18"/>
      <c r="K201" s="18"/>
      <c r="L201" s="19">
        <f>SUM(F201:K201)</f>
        <v>4591.6000000000004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2695.89</v>
      </c>
      <c r="G203" s="18">
        <v>509.74</v>
      </c>
      <c r="H203" s="18">
        <v>42525.16</v>
      </c>
      <c r="I203" s="18"/>
      <c r="J203" s="18"/>
      <c r="K203" s="18"/>
      <c r="L203" s="19">
        <f t="shared" ref="L203:L209" si="0">SUM(F203:K203)</f>
        <v>45730.79</v>
      </c>
      <c r="M203" s="8"/>
      <c r="N203" s="266"/>
    </row>
    <row r="204" spans="1:14" s="3" customFormat="1" ht="12.2" customHeight="1" x14ac:dyDescent="0.15">
      <c r="A204" s="1" t="s">
        <v>443</v>
      </c>
      <c r="B204" s="2" t="s">
        <v>341</v>
      </c>
      <c r="C204" s="2" t="s">
        <v>295</v>
      </c>
      <c r="D204" s="2" t="s">
        <v>431</v>
      </c>
      <c r="E204" s="6">
        <v>2200</v>
      </c>
      <c r="F204" s="18">
        <v>418.56</v>
      </c>
      <c r="G204" s="18"/>
      <c r="H204" s="18"/>
      <c r="I204" s="18"/>
      <c r="J204" s="18"/>
      <c r="K204" s="18"/>
      <c r="L204" s="19">
        <f t="shared" si="0"/>
        <v>418.56</v>
      </c>
      <c r="M204" s="8"/>
      <c r="N204" s="266"/>
    </row>
    <row r="205" spans="1:14" s="3" customFormat="1" ht="12.2" customHeight="1" x14ac:dyDescent="0.15">
      <c r="A205" s="1" t="s">
        <v>444</v>
      </c>
      <c r="B205" s="2" t="s">
        <v>341</v>
      </c>
      <c r="C205" s="2" t="s">
        <v>296</v>
      </c>
      <c r="D205" s="2" t="s">
        <v>431</v>
      </c>
      <c r="E205" s="6">
        <v>2300</v>
      </c>
      <c r="F205" s="18">
        <v>1038</v>
      </c>
      <c r="G205" s="18">
        <v>79.930000000000007</v>
      </c>
      <c r="H205" s="18">
        <v>30615.22</v>
      </c>
      <c r="I205" s="18"/>
      <c r="J205" s="18"/>
      <c r="K205" s="18"/>
      <c r="L205" s="19">
        <f t="shared" si="0"/>
        <v>31733.15</v>
      </c>
      <c r="M205" s="8"/>
      <c r="N205" s="266"/>
    </row>
    <row r="206" spans="1:14" s="3" customFormat="1" ht="12.2" customHeight="1" x14ac:dyDescent="0.15">
      <c r="A206" s="1" t="s">
        <v>445</v>
      </c>
      <c r="B206" s="2" t="s">
        <v>341</v>
      </c>
      <c r="C206" s="2" t="s">
        <v>297</v>
      </c>
      <c r="D206" s="2" t="s">
        <v>431</v>
      </c>
      <c r="E206" s="6">
        <v>2400</v>
      </c>
      <c r="F206" s="18"/>
      <c r="G206" s="18"/>
      <c r="H206" s="18">
        <v>2226</v>
      </c>
      <c r="I206" s="18"/>
      <c r="J206" s="18"/>
      <c r="K206" s="18"/>
      <c r="L206" s="19">
        <f t="shared" si="0"/>
        <v>2226</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75</v>
      </c>
      <c r="G208" s="18">
        <v>49.4</v>
      </c>
      <c r="H208" s="18">
        <v>21529.759999999998</v>
      </c>
      <c r="I208" s="18">
        <v>9019.56</v>
      </c>
      <c r="J208" s="18">
        <v>91.79</v>
      </c>
      <c r="K208" s="18"/>
      <c r="L208" s="19">
        <f t="shared" si="0"/>
        <v>30765.510000000002</v>
      </c>
      <c r="M208" s="8"/>
      <c r="N208" s="266"/>
    </row>
    <row r="209" spans="1:14" s="3" customFormat="1" ht="12.2" customHeight="1" x14ac:dyDescent="0.15">
      <c r="A209" s="1" t="s">
        <v>448</v>
      </c>
      <c r="B209" s="2" t="s">
        <v>341</v>
      </c>
      <c r="C209" s="2" t="s">
        <v>300</v>
      </c>
      <c r="D209" s="2" t="s">
        <v>431</v>
      </c>
      <c r="E209" s="6">
        <v>2700</v>
      </c>
      <c r="F209" s="18"/>
      <c r="G209" s="18"/>
      <c r="H209" s="18">
        <v>32135.87</v>
      </c>
      <c r="I209" s="18"/>
      <c r="J209" s="18"/>
      <c r="K209" s="18"/>
      <c r="L209" s="19">
        <f t="shared" si="0"/>
        <v>32135.87</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118748.92</v>
      </c>
      <c r="G212" s="41">
        <f t="shared" si="1"/>
        <v>24514.23</v>
      </c>
      <c r="H212" s="41">
        <f t="shared" si="1"/>
        <v>339468.06</v>
      </c>
      <c r="I212" s="41">
        <f t="shared" si="1"/>
        <v>17338.870000000003</v>
      </c>
      <c r="J212" s="41">
        <f t="shared" si="1"/>
        <v>20065.190000000002</v>
      </c>
      <c r="K212" s="41">
        <f t="shared" si="1"/>
        <v>0</v>
      </c>
      <c r="L212" s="41">
        <f t="shared" si="1"/>
        <v>520135.27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156706</v>
      </c>
      <c r="I216" s="18"/>
      <c r="J216" s="18"/>
      <c r="K216" s="18"/>
      <c r="L216" s="19">
        <f>SUM(F216:K216)</f>
        <v>156706</v>
      </c>
      <c r="M216" s="8"/>
      <c r="N216" s="266"/>
    </row>
    <row r="217" spans="1:14" s="3" customFormat="1" ht="12.2" customHeight="1" x14ac:dyDescent="0.15">
      <c r="A217" s="1" t="s">
        <v>439</v>
      </c>
      <c r="B217" s="2" t="s">
        <v>346</v>
      </c>
      <c r="C217" s="2" t="s">
        <v>291</v>
      </c>
      <c r="D217" s="2" t="s">
        <v>431</v>
      </c>
      <c r="E217" s="6">
        <v>1200</v>
      </c>
      <c r="F217" s="18"/>
      <c r="G217" s="18"/>
      <c r="H217" s="18">
        <v>1249</v>
      </c>
      <c r="I217" s="18"/>
      <c r="J217" s="18"/>
      <c r="K217" s="18"/>
      <c r="L217" s="19">
        <f>SUM(F217:K217)</f>
        <v>1249</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291</v>
      </c>
      <c r="G223" s="18">
        <v>22</v>
      </c>
      <c r="H223" s="18">
        <v>8610</v>
      </c>
      <c r="I223" s="18"/>
      <c r="J223" s="18"/>
      <c r="K223" s="18"/>
      <c r="L223" s="19">
        <f t="shared" si="2"/>
        <v>8923</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7611</v>
      </c>
      <c r="I227" s="18"/>
      <c r="J227" s="18"/>
      <c r="K227" s="18"/>
      <c r="L227" s="19">
        <f t="shared" si="2"/>
        <v>7611</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291</v>
      </c>
      <c r="G230" s="41">
        <f>SUM(G216:G229)</f>
        <v>22</v>
      </c>
      <c r="H230" s="41">
        <f>SUM(H216:H229)</f>
        <v>174176</v>
      </c>
      <c r="I230" s="41">
        <f>SUM(I216:I229)</f>
        <v>0</v>
      </c>
      <c r="J230" s="41">
        <f>SUM(J216:J229)</f>
        <v>0</v>
      </c>
      <c r="K230" s="41">
        <f t="shared" si="3"/>
        <v>0</v>
      </c>
      <c r="L230" s="41">
        <f t="shared" si="3"/>
        <v>174489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190761.53</v>
      </c>
      <c r="I234" s="18"/>
      <c r="J234" s="18"/>
      <c r="K234" s="18"/>
      <c r="L234" s="19">
        <f>SUM(F234:K234)</f>
        <v>190761.53</v>
      </c>
      <c r="M234" s="8"/>
      <c r="N234" s="266"/>
    </row>
    <row r="235" spans="1:14" s="3" customFormat="1" ht="12.2" customHeight="1" x14ac:dyDescent="0.15">
      <c r="A235" s="1" t="s">
        <v>439</v>
      </c>
      <c r="B235" s="2" t="s">
        <v>350</v>
      </c>
      <c r="C235" s="2" t="s">
        <v>291</v>
      </c>
      <c r="D235" s="2" t="s">
        <v>431</v>
      </c>
      <c r="E235" s="6">
        <v>1200</v>
      </c>
      <c r="F235" s="18"/>
      <c r="G235" s="18"/>
      <c r="H235" s="18">
        <v>1279.5899999999999</v>
      </c>
      <c r="I235" s="18"/>
      <c r="J235" s="18"/>
      <c r="K235" s="18"/>
      <c r="L235" s="19">
        <f>SUM(F235:K235)</f>
        <v>1279.5899999999999</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291</v>
      </c>
      <c r="G241" s="18">
        <v>22</v>
      </c>
      <c r="H241" s="18">
        <v>8610</v>
      </c>
      <c r="I241" s="18"/>
      <c r="J241" s="18"/>
      <c r="K241" s="18"/>
      <c r="L241" s="19">
        <f t="shared" si="4"/>
        <v>8923</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7611</v>
      </c>
      <c r="I245" s="18"/>
      <c r="J245" s="18"/>
      <c r="K245" s="18"/>
      <c r="L245" s="19">
        <f t="shared" si="4"/>
        <v>7611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291</v>
      </c>
      <c r="G248" s="41">
        <f t="shared" si="5"/>
        <v>22</v>
      </c>
      <c r="H248" s="41">
        <f t="shared" si="5"/>
        <v>208262.12</v>
      </c>
      <c r="I248" s="41">
        <f t="shared" si="5"/>
        <v>0</v>
      </c>
      <c r="J248" s="41">
        <f t="shared" si="5"/>
        <v>0</v>
      </c>
      <c r="K248" s="41">
        <f t="shared" si="5"/>
        <v>0</v>
      </c>
      <c r="L248" s="41">
        <f t="shared" si="5"/>
        <v>208575.12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119330.92</v>
      </c>
      <c r="G258" s="41">
        <f t="shared" si="8"/>
        <v>24558.23</v>
      </c>
      <c r="H258" s="41">
        <f t="shared" si="8"/>
        <v>721906.17999999993</v>
      </c>
      <c r="I258" s="41">
        <f t="shared" si="8"/>
        <v>17338.870000000003</v>
      </c>
      <c r="J258" s="41">
        <f t="shared" si="8"/>
        <v>20065.190000000002</v>
      </c>
      <c r="K258" s="41">
        <f t="shared" si="8"/>
        <v>0</v>
      </c>
      <c r="L258" s="41">
        <f t="shared" si="8"/>
        <v>903199.39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v>
      </c>
      <c r="L267" s="19">
        <f t="shared" si="9"/>
        <v>10000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10000</v>
      </c>
      <c r="L271" s="41">
        <f t="shared" si="9"/>
        <v>10000</v>
      </c>
      <c r="M271" s="8"/>
      <c r="N271" s="266"/>
    </row>
    <row r="272" spans="1:14" s="34" customFormat="1" ht="12.2" customHeight="1" thickTop="1" x14ac:dyDescent="0.2">
      <c r="A272" s="43" t="s">
        <v>464</v>
      </c>
      <c r="B272" s="40">
        <v>10</v>
      </c>
      <c r="C272" s="40">
        <v>18</v>
      </c>
      <c r="D272" s="39" t="s">
        <v>431</v>
      </c>
      <c r="E272" s="40"/>
      <c r="F272" s="42">
        <f t="shared" ref="F272:L272" si="11">F258+F271</f>
        <v>119330.92</v>
      </c>
      <c r="G272" s="42">
        <f t="shared" si="11"/>
        <v>24558.23</v>
      </c>
      <c r="H272" s="42">
        <f t="shared" si="11"/>
        <v>721906.17999999993</v>
      </c>
      <c r="I272" s="42">
        <f t="shared" si="11"/>
        <v>17338.870000000003</v>
      </c>
      <c r="J272" s="42">
        <f t="shared" si="11"/>
        <v>20065.190000000002</v>
      </c>
      <c r="K272" s="42">
        <f t="shared" si="11"/>
        <v>10000</v>
      </c>
      <c r="L272" s="42">
        <f t="shared" si="11"/>
        <v>913199.39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1079.5</v>
      </c>
      <c r="G277" s="18">
        <v>138.16999999999999</v>
      </c>
      <c r="H277" s="18">
        <v>2379</v>
      </c>
      <c r="I277" s="18">
        <v>2446.46</v>
      </c>
      <c r="J277" s="18">
        <v>732.29</v>
      </c>
      <c r="K277" s="18"/>
      <c r="L277" s="19">
        <f>SUM(F277:K277)</f>
        <v>6775.42</v>
      </c>
      <c r="M277" s="8"/>
      <c r="N277" s="266"/>
    </row>
    <row r="278" spans="1:14" s="3" customFormat="1" ht="12.2" customHeight="1" x14ac:dyDescent="0.15">
      <c r="A278" s="1" t="s">
        <v>439</v>
      </c>
      <c r="B278" s="2" t="s">
        <v>357</v>
      </c>
      <c r="C278" s="2" t="s">
        <v>291</v>
      </c>
      <c r="D278" s="2" t="s">
        <v>431</v>
      </c>
      <c r="E278" s="6">
        <v>1200</v>
      </c>
      <c r="F278" s="18">
        <v>3002</v>
      </c>
      <c r="G278" s="18">
        <v>739.02</v>
      </c>
      <c r="H278" s="18"/>
      <c r="I278" s="18">
        <v>1286</v>
      </c>
      <c r="J278" s="18">
        <v>389.97</v>
      </c>
      <c r="K278" s="18"/>
      <c r="L278" s="19">
        <f>SUM(F278:K278)</f>
        <v>5416.9900000000007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750</v>
      </c>
      <c r="I282" s="18"/>
      <c r="J282" s="18"/>
      <c r="K282" s="18"/>
      <c r="L282" s="19">
        <f t="shared" ref="L282:L288" si="12">SUM(F282:K282)</f>
        <v>750</v>
      </c>
      <c r="M282" s="8"/>
      <c r="N282" s="266"/>
    </row>
    <row r="283" spans="1:14" s="3" customFormat="1" ht="12.2" customHeight="1" x14ac:dyDescent="0.15">
      <c r="A283" s="1" t="s">
        <v>443</v>
      </c>
      <c r="B283" s="2" t="s">
        <v>357</v>
      </c>
      <c r="C283" s="2" t="s">
        <v>295</v>
      </c>
      <c r="D283" s="2" t="s">
        <v>431</v>
      </c>
      <c r="E283" s="6">
        <v>2200</v>
      </c>
      <c r="F283" s="18">
        <v>312</v>
      </c>
      <c r="G283" s="18">
        <v>79.400000000000006</v>
      </c>
      <c r="H283" s="18">
        <v>4000</v>
      </c>
      <c r="I283" s="18"/>
      <c r="J283" s="18"/>
      <c r="K283" s="18"/>
      <c r="L283" s="19">
        <f t="shared" si="12"/>
        <v>4391.3999999999996</v>
      </c>
      <c r="M283" s="8"/>
      <c r="N283" s="266"/>
    </row>
    <row r="284" spans="1:14" s="3" customFormat="1" ht="12.2" customHeight="1" x14ac:dyDescent="0.15">
      <c r="A284" s="1" t="s">
        <v>444</v>
      </c>
      <c r="B284" s="2" t="s">
        <v>357</v>
      </c>
      <c r="C284" s="2" t="s">
        <v>296</v>
      </c>
      <c r="D284" s="2" t="s">
        <v>431</v>
      </c>
      <c r="E284" s="6">
        <v>2300</v>
      </c>
      <c r="F284" s="18">
        <v>1973.38</v>
      </c>
      <c r="G284" s="18">
        <v>498.85</v>
      </c>
      <c r="H284" s="18">
        <v>6670</v>
      </c>
      <c r="I284" s="18"/>
      <c r="J284" s="18"/>
      <c r="K284" s="18">
        <v>103.44</v>
      </c>
      <c r="L284" s="19">
        <f t="shared" si="12"/>
        <v>9245.67</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6366.88</v>
      </c>
      <c r="G291" s="42">
        <f t="shared" si="13"/>
        <v>1455.44</v>
      </c>
      <c r="H291" s="42">
        <f t="shared" si="13"/>
        <v>13799</v>
      </c>
      <c r="I291" s="42">
        <f t="shared" si="13"/>
        <v>3732.46</v>
      </c>
      <c r="J291" s="42">
        <f t="shared" si="13"/>
        <v>1122.26</v>
      </c>
      <c r="K291" s="42">
        <f t="shared" si="13"/>
        <v>103.44</v>
      </c>
      <c r="L291" s="41">
        <f t="shared" si="13"/>
        <v>26579.479999999996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6366.88</v>
      </c>
      <c r="G339" s="41">
        <f t="shared" si="20"/>
        <v>1455.44</v>
      </c>
      <c r="H339" s="41">
        <f t="shared" si="20"/>
        <v>13799</v>
      </c>
      <c r="I339" s="41">
        <f t="shared" si="20"/>
        <v>3732.46</v>
      </c>
      <c r="J339" s="41">
        <f t="shared" si="20"/>
        <v>1122.26</v>
      </c>
      <c r="K339" s="41">
        <f t="shared" si="20"/>
        <v>103.44</v>
      </c>
      <c r="L339" s="41">
        <f t="shared" si="20"/>
        <v>26579.479999999996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6366.88</v>
      </c>
      <c r="G353" s="41">
        <f>G339</f>
        <v>1455.44</v>
      </c>
      <c r="H353" s="41">
        <f>H339</f>
        <v>13799</v>
      </c>
      <c r="I353" s="41">
        <f>I339</f>
        <v>3732.46</v>
      </c>
      <c r="J353" s="41">
        <f>J339</f>
        <v>1122.26</v>
      </c>
      <c r="K353" s="47">
        <f>K339+K352</f>
        <v>103.44</v>
      </c>
      <c r="L353" s="41">
        <f>L339+L352</f>
        <v>26579.479999999996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3647.76</v>
      </c>
      <c r="I397" s="18"/>
      <c r="J397" s="24" t="s">
        <v>288</v>
      </c>
      <c r="K397" s="24" t="s">
        <v>288</v>
      </c>
      <c r="L397" s="56">
        <f t="shared" si="26"/>
        <v>3647.76</v>
      </c>
      <c r="M397" s="8"/>
      <c r="N397" s="266"/>
    </row>
    <row r="398" spans="1:14" s="3" customFormat="1" ht="12.2" customHeight="1" x14ac:dyDescent="0.15">
      <c r="A398" s="79" t="s">
        <v>515</v>
      </c>
      <c r="B398" s="2" t="s">
        <v>381</v>
      </c>
      <c r="C398" s="6">
        <v>10</v>
      </c>
      <c r="D398" s="2" t="s">
        <v>432</v>
      </c>
      <c r="E398" s="6"/>
      <c r="F398" s="18"/>
      <c r="G398" s="18">
        <v>10000</v>
      </c>
      <c r="H398" s="18">
        <v>47.76</v>
      </c>
      <c r="I398" s="18"/>
      <c r="J398" s="24" t="s">
        <v>288</v>
      </c>
      <c r="K398" s="24" t="s">
        <v>288</v>
      </c>
      <c r="L398" s="56">
        <f t="shared" si="26"/>
        <v>10047.76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0</v>
      </c>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v>
      </c>
      <c r="H402" s="47">
        <f>SUM(H396:H401)</f>
        <v>3695.5200000000004</v>
      </c>
      <c r="I402" s="47">
        <f>SUM(I396:I401)</f>
        <v>0</v>
      </c>
      <c r="J402" s="45" t="s">
        <v>288</v>
      </c>
      <c r="K402" s="45" t="s">
        <v>288</v>
      </c>
      <c r="L402" s="47">
        <f>SUM(L396:L401)</f>
        <v>13695.52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v>
      </c>
      <c r="H409" s="47">
        <f>H394+H402+H408</f>
        <v>3695.5200000000004</v>
      </c>
      <c r="I409" s="47">
        <f>I394+I402+I408</f>
        <v>0</v>
      </c>
      <c r="J409" s="24" t="s">
        <v>288</v>
      </c>
      <c r="K409" s="24" t="s">
        <v>288</v>
      </c>
      <c r="L409" s="47">
        <f>L394+L402+L408</f>
        <v>13695.52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178573.95</v>
      </c>
      <c r="H440" s="18"/>
      <c r="I440" s="56">
        <f t="shared" ref="I440:I446" si="33">SUM(F440:H440)</f>
        <v>178573.95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178573.95</v>
      </c>
      <c r="H447" s="13">
        <f>SUM(H440:H446)</f>
        <v>0</v>
      </c>
      <c r="I447" s="13">
        <f>SUM(I440:I446)</f>
        <v>178573.95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178573.95</v>
      </c>
      <c r="H457" s="18"/>
      <c r="I457" s="56">
        <f t="shared" si="34"/>
        <v>178573.95</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178573.95</v>
      </c>
      <c r="H461" s="83">
        <f>SUM(H455:H460)</f>
        <v>0</v>
      </c>
      <c r="I461" s="83">
        <f>SUM(I455:I460)</f>
        <v>178573.95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178573.95</v>
      </c>
      <c r="H462" s="42">
        <f>H453+H461</f>
        <v>0</v>
      </c>
      <c r="I462" s="42">
        <f>I453+I461</f>
        <v>178573.95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55709.3</v>
      </c>
      <c r="G466" s="18"/>
      <c r="H466" s="18"/>
      <c r="I466" s="18"/>
      <c r="J466" s="18">
        <v>164878.43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1137547.54</v>
      </c>
      <c r="G469" s="18"/>
      <c r="H469" s="18">
        <v>26579.48</v>
      </c>
      <c r="I469" s="18"/>
      <c r="J469" s="18">
        <v>13695.52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1137547.54</v>
      </c>
      <c r="G471" s="53">
        <f>SUM(G469:G470)</f>
        <v>0</v>
      </c>
      <c r="H471" s="53">
        <f>SUM(H469:H470)</f>
        <v>26579.48</v>
      </c>
      <c r="I471" s="53">
        <f>SUM(I469:I470)</f>
        <v>0</v>
      </c>
      <c r="J471" s="53">
        <f>SUM(J469:J470)</f>
        <v>13695.52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913199.39</v>
      </c>
      <c r="G473" s="18"/>
      <c r="H473" s="18">
        <v>26579.48</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913199.39</v>
      </c>
      <c r="G475" s="53">
        <f>SUM(G473:G474)</f>
        <v>0</v>
      </c>
      <c r="H475" s="53">
        <f>SUM(H473:H474)</f>
        <v>26579.48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280057.45000000007</v>
      </c>
      <c r="G477" s="53">
        <f>(G466+G471)- G475</f>
        <v>0</v>
      </c>
      <c r="H477" s="53">
        <f>(H466+H471)- H475</f>
        <v>0</v>
      </c>
      <c r="I477" s="53">
        <f>(I466+I471)- I475</f>
        <v>0</v>
      </c>
      <c r="J477" s="53">
        <f>(J466+J471)- J475</f>
        <v>178573.94999999998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1000</v>
      </c>
      <c r="G522" s="18">
        <v>364.06</v>
      </c>
      <c r="H522" s="18">
        <v>80958.22</v>
      </c>
      <c r="I522" s="18">
        <v>238.55</v>
      </c>
      <c r="J522" s="18"/>
      <c r="K522" s="18"/>
      <c r="L522" s="88">
        <f>SUM(F522:K522)</f>
        <v>82560.83</v>
      </c>
      <c r="N522" s="265"/>
    </row>
    <row r="523" spans="1:14" s="52" customFormat="1" ht="12.2" customHeight="1" x14ac:dyDescent="0.2">
      <c r="A523" s="22" t="s">
        <v>634</v>
      </c>
      <c r="B523" s="105">
        <v>21</v>
      </c>
      <c r="C523" s="115">
        <v>2</v>
      </c>
      <c r="D523" s="2" t="s">
        <v>432</v>
      </c>
      <c r="E523" s="115"/>
      <c r="F523" s="18"/>
      <c r="G523" s="18"/>
      <c r="H523" s="18">
        <v>1249</v>
      </c>
      <c r="I523" s="18"/>
      <c r="J523" s="18"/>
      <c r="K523" s="18"/>
      <c r="L523" s="88">
        <f>SUM(F523:K523)</f>
        <v>1249</v>
      </c>
      <c r="N523" s="265"/>
    </row>
    <row r="524" spans="1:14" s="52" customFormat="1" ht="12.2" customHeight="1" thickBot="1" x14ac:dyDescent="0.25">
      <c r="A524" s="22" t="s">
        <v>635</v>
      </c>
      <c r="B524" s="105">
        <v>21</v>
      </c>
      <c r="C524" s="115">
        <v>3</v>
      </c>
      <c r="D524" s="2" t="s">
        <v>432</v>
      </c>
      <c r="E524" s="115"/>
      <c r="F524" s="18"/>
      <c r="G524" s="18"/>
      <c r="H524" s="18">
        <v>1279.5899999999999</v>
      </c>
      <c r="I524" s="18"/>
      <c r="J524" s="18"/>
      <c r="K524" s="18"/>
      <c r="L524" s="88">
        <f>SUM(F524:K524)</f>
        <v>1279.5899999999999</v>
      </c>
      <c r="N524" s="265"/>
    </row>
    <row r="525" spans="1:14" s="52" customFormat="1" ht="12.2" customHeight="1" thickTop="1" x14ac:dyDescent="0.2">
      <c r="A525" s="139" t="s">
        <v>63</v>
      </c>
      <c r="B525" s="107">
        <v>21</v>
      </c>
      <c r="C525" s="195">
        <v>4</v>
      </c>
      <c r="D525" s="196" t="s">
        <v>432</v>
      </c>
      <c r="E525" s="195"/>
      <c r="F525" s="108">
        <f>SUM(F522:F524)</f>
        <v>1000</v>
      </c>
      <c r="G525" s="108">
        <f t="shared" ref="G525:L525" si="36">SUM(G522:G524)</f>
        <v>364.06</v>
      </c>
      <c r="H525" s="108">
        <f t="shared" si="36"/>
        <v>83486.81</v>
      </c>
      <c r="I525" s="108">
        <f t="shared" si="36"/>
        <v>238.55</v>
      </c>
      <c r="J525" s="108">
        <f t="shared" si="36"/>
        <v>0</v>
      </c>
      <c r="K525" s="108">
        <f t="shared" si="36"/>
        <v>0</v>
      </c>
      <c r="L525" s="89">
        <f t="shared" si="36"/>
        <v>85089.42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42372.29</v>
      </c>
      <c r="I527" s="18"/>
      <c r="J527" s="18"/>
      <c r="K527" s="18"/>
      <c r="L527" s="88">
        <f>SUM(F527:K527)</f>
        <v>42372.29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42372.29</v>
      </c>
      <c r="I530" s="89">
        <f t="shared" si="37"/>
        <v>0</v>
      </c>
      <c r="J530" s="89">
        <f t="shared" si="37"/>
        <v>0</v>
      </c>
      <c r="K530" s="89">
        <f t="shared" si="37"/>
        <v>0</v>
      </c>
      <c r="L530" s="89">
        <f t="shared" si="37"/>
        <v>42372.29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2520</v>
      </c>
      <c r="I542" s="18"/>
      <c r="J542" s="18"/>
      <c r="K542" s="18"/>
      <c r="L542" s="88">
        <f>SUM(F542:K542)</f>
        <v>2520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2520</v>
      </c>
      <c r="I545" s="193">
        <f t="shared" si="40"/>
        <v>0</v>
      </c>
      <c r="J545" s="193">
        <f t="shared" si="40"/>
        <v>0</v>
      </c>
      <c r="K545" s="193">
        <f t="shared" si="40"/>
        <v>0</v>
      </c>
      <c r="L545" s="193">
        <f t="shared" si="40"/>
        <v>2520</v>
      </c>
      <c r="M545" s="8"/>
      <c r="N545" s="266"/>
    </row>
    <row r="546" spans="1:14" s="3" customFormat="1" ht="12.2" customHeight="1" thickTop="1" x14ac:dyDescent="0.15">
      <c r="A546" s="98" t="s">
        <v>72</v>
      </c>
      <c r="B546" s="107">
        <v>21</v>
      </c>
      <c r="C546" s="107">
        <v>21</v>
      </c>
      <c r="D546" s="158" t="s">
        <v>432</v>
      </c>
      <c r="E546" s="107"/>
      <c r="F546" s="89">
        <f>F525+F530+F535+F540+F545</f>
        <v>1000</v>
      </c>
      <c r="G546" s="89">
        <f t="shared" ref="G546:L546" si="41">G525+G530+G535+G540+G545</f>
        <v>364.06</v>
      </c>
      <c r="H546" s="89">
        <f t="shared" si="41"/>
        <v>128379.1</v>
      </c>
      <c r="I546" s="89">
        <f t="shared" si="41"/>
        <v>238.55</v>
      </c>
      <c r="J546" s="89">
        <f t="shared" si="41"/>
        <v>0</v>
      </c>
      <c r="K546" s="89">
        <f t="shared" si="41"/>
        <v>0</v>
      </c>
      <c r="L546" s="89">
        <f t="shared" si="41"/>
        <v>129981.70999999999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82560.83</v>
      </c>
      <c r="G550" s="87">
        <f>L527</f>
        <v>42372.29</v>
      </c>
      <c r="H550" s="87">
        <f>L532</f>
        <v>0</v>
      </c>
      <c r="I550" s="87">
        <f>L537</f>
        <v>0</v>
      </c>
      <c r="J550" s="87">
        <f>L542</f>
        <v>2520</v>
      </c>
      <c r="K550" s="87">
        <f>SUM(F550:J550)</f>
        <v>127453.12</v>
      </c>
      <c r="L550" s="24" t="s">
        <v>288</v>
      </c>
      <c r="M550" s="8"/>
      <c r="N550" s="266"/>
    </row>
    <row r="551" spans="1:14" s="3" customFormat="1" ht="12.2" customHeight="1" x14ac:dyDescent="0.15">
      <c r="A551" s="22" t="s">
        <v>634</v>
      </c>
      <c r="B551" s="75">
        <v>21</v>
      </c>
      <c r="C551" s="75">
        <v>23</v>
      </c>
      <c r="D551" s="2" t="s">
        <v>432</v>
      </c>
      <c r="E551" s="75"/>
      <c r="F551" s="87">
        <f>L523</f>
        <v>1249</v>
      </c>
      <c r="G551" s="87">
        <f>L528</f>
        <v>0</v>
      </c>
      <c r="H551" s="87">
        <f>L533</f>
        <v>0</v>
      </c>
      <c r="I551" s="87">
        <f>L538</f>
        <v>0</v>
      </c>
      <c r="J551" s="87">
        <f>L543</f>
        <v>0</v>
      </c>
      <c r="K551" s="87">
        <f>SUM(F551:J551)</f>
        <v>1249</v>
      </c>
      <c r="L551" s="24" t="s">
        <v>288</v>
      </c>
      <c r="M551" s="8"/>
      <c r="N551" s="266"/>
    </row>
    <row r="552" spans="1:14" s="3" customFormat="1" ht="12.2" customHeight="1" thickBot="1" x14ac:dyDescent="0.2">
      <c r="A552" s="22" t="s">
        <v>635</v>
      </c>
      <c r="B552" s="75">
        <v>21</v>
      </c>
      <c r="C552" s="75">
        <v>24</v>
      </c>
      <c r="D552" s="2" t="s">
        <v>432</v>
      </c>
      <c r="E552" s="75"/>
      <c r="F552" s="87">
        <f>L524</f>
        <v>1279.5899999999999</v>
      </c>
      <c r="G552" s="87">
        <f>L529</f>
        <v>0</v>
      </c>
      <c r="H552" s="87">
        <f>L534</f>
        <v>0</v>
      </c>
      <c r="I552" s="87">
        <f>L539</f>
        <v>0</v>
      </c>
      <c r="J552" s="87">
        <f>L544</f>
        <v>0</v>
      </c>
      <c r="K552" s="87">
        <f>SUM(F552:J552)</f>
        <v>1279.5899999999999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85089.42</v>
      </c>
      <c r="G553" s="89">
        <f t="shared" si="42"/>
        <v>42372.29</v>
      </c>
      <c r="H553" s="89">
        <f t="shared" si="42"/>
        <v>0</v>
      </c>
      <c r="I553" s="89">
        <f t="shared" si="42"/>
        <v>0</v>
      </c>
      <c r="J553" s="89">
        <f t="shared" si="42"/>
        <v>2520</v>
      </c>
      <c r="K553" s="89">
        <f t="shared" si="42"/>
        <v>129981.70999999999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124973.86</v>
      </c>
      <c r="G576" s="18">
        <v>156706</v>
      </c>
      <c r="H576" s="18">
        <v>190761.33</v>
      </c>
      <c r="I576" s="87">
        <f>SUM(F576:H576)</f>
        <v>472441.18999999994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80758.22</v>
      </c>
      <c r="G580" s="18"/>
      <c r="H580" s="18">
        <v>1279.5899999999999</v>
      </c>
      <c r="I580" s="87">
        <f t="shared" si="47"/>
        <v>82037.81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27061.87</v>
      </c>
      <c r="I592" s="18">
        <v>7611</v>
      </c>
      <c r="J592" s="18">
        <v>7611</v>
      </c>
      <c r="K592" s="104">
        <f t="shared" ref="K592:K598" si="48">SUM(H592:J592)</f>
        <v>42283.869999999995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2520</v>
      </c>
      <c r="I593" s="18"/>
      <c r="J593" s="18"/>
      <c r="K593" s="104">
        <f t="shared" si="48"/>
        <v>2520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377</v>
      </c>
      <c r="I596" s="18"/>
      <c r="J596" s="18"/>
      <c r="K596" s="104">
        <f t="shared" si="48"/>
        <v>377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2177</v>
      </c>
      <c r="I598" s="18"/>
      <c r="J598" s="18"/>
      <c r="K598" s="104">
        <f t="shared" si="48"/>
        <v>2177</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32135.87</v>
      </c>
      <c r="I599" s="108">
        <f>SUM(I592:I598)</f>
        <v>7611</v>
      </c>
      <c r="J599" s="108">
        <f>SUM(J592:J598)</f>
        <v>7611</v>
      </c>
      <c r="K599" s="108">
        <f>SUM(K592:K598)</f>
        <v>47357.869999999995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21187.45</v>
      </c>
      <c r="I605" s="18"/>
      <c r="J605" s="18"/>
      <c r="K605" s="104">
        <f>SUM(H605:J605)</f>
        <v>21187.45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21187.45</v>
      </c>
      <c r="I606" s="108">
        <f>SUM(I603:I605)</f>
        <v>0</v>
      </c>
      <c r="J606" s="108">
        <f>SUM(J603:J605)</f>
        <v>0</v>
      </c>
      <c r="K606" s="108">
        <f>SUM(K603:K605)</f>
        <v>21187.45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422478.51</v>
      </c>
      <c r="H618" s="109">
        <f>SUM(F52)</f>
        <v>422478.51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13073.48</v>
      </c>
      <c r="H620" s="109">
        <f>SUM(H52)</f>
        <v>13073.48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178573.95</v>
      </c>
      <c r="H622" s="109">
        <f>SUM(J52)</f>
        <v>178573.95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280057.45</v>
      </c>
      <c r="H623" s="109">
        <f>F477</f>
        <v>280057.45000000007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178573.95</v>
      </c>
      <c r="H627" s="109">
        <f>J477</f>
        <v>178573.94999999998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1137547.54</v>
      </c>
      <c r="H628" s="104">
        <f>SUM(F469)</f>
        <v>1137547.54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26579.479999999996</v>
      </c>
      <c r="H630" s="104">
        <f>SUM(H469)</f>
        <v>26579.48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13695.52</v>
      </c>
      <c r="H632" s="104">
        <f>SUM(J469)</f>
        <v>13695.52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913199.39</v>
      </c>
      <c r="H633" s="104">
        <f>SUM(F473)</f>
        <v>913199.39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26579.479999999996</v>
      </c>
      <c r="H634" s="104">
        <f>SUM(H473)</f>
        <v>26579.48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13695.52</v>
      </c>
      <c r="H638" s="164">
        <f>SUM(J469)</f>
        <v>13695.52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178573.95</v>
      </c>
      <c r="H641" s="104">
        <f>SUM(G462)</f>
        <v>178573.95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178573.95</v>
      </c>
      <c r="H643" s="104">
        <f>SUM(I462)</f>
        <v>178573.95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3695.52</v>
      </c>
      <c r="H645" s="104">
        <f>H409</f>
        <v>3695.5200000000004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v>
      </c>
      <c r="H646" s="104">
        <f>G409</f>
        <v>10000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13695.52</v>
      </c>
      <c r="H647" s="104">
        <f>L409</f>
        <v>13695.52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47357.869999999995</v>
      </c>
      <c r="H648" s="104">
        <f>L209+L227+L245</f>
        <v>47357.869999999995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21187.45</v>
      </c>
      <c r="H649" s="104">
        <f>(J258+J339)-(J256+J337)</f>
        <v>21187.45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32135.87</v>
      </c>
      <c r="H650" s="104">
        <f>H599</f>
        <v>32135.87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7611</v>
      </c>
      <c r="H651" s="104">
        <f>I599</f>
        <v>7611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7611</v>
      </c>
      <c r="H652" s="104">
        <f>J599</f>
        <v>7611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v>
      </c>
      <c r="H656" s="104">
        <f>K267+K348</f>
        <v>10000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546714.75</v>
      </c>
      <c r="G661" s="19">
        <f>(L230+L310+L360)</f>
        <v>174489</v>
      </c>
      <c r="H661" s="19">
        <f>(L248+L329+L361)</f>
        <v>208575.12</v>
      </c>
      <c r="I661" s="19">
        <f>SUM(F661:H661)</f>
        <v>929778.87</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32135.87</v>
      </c>
      <c r="G663" s="19">
        <f>(L227+L307)-(J227+J307)</f>
        <v>7611</v>
      </c>
      <c r="H663" s="19">
        <f>(L245+L326)-(J245+J326)</f>
        <v>7611</v>
      </c>
      <c r="I663" s="19">
        <f>SUM(F663:H663)</f>
        <v>47357.869999999995</v>
      </c>
      <c r="J663"/>
      <c r="K663" s="13"/>
      <c r="L663" s="13"/>
      <c r="M663" s="9"/>
    </row>
    <row r="664" spans="1:13" s="3" customFormat="1" ht="12.2" customHeight="1" x14ac:dyDescent="0.15">
      <c r="A664" s="198" t="s">
        <v>129</v>
      </c>
      <c r="B664" s="169"/>
      <c r="C664" s="169"/>
      <c r="D664" s="169"/>
      <c r="E664" s="169"/>
      <c r="F664" s="199">
        <f>SUM(F576:F588)+SUM(H603:H605)+SUM(L612)</f>
        <v>226919.53000000003</v>
      </c>
      <c r="G664" s="199">
        <f>SUM(G576:G588)+SUM(I603:I605)+L613</f>
        <v>156706</v>
      </c>
      <c r="H664" s="199">
        <f>SUM(H576:H588)+SUM(J603:J605)+L614</f>
        <v>192040.91999999998</v>
      </c>
      <c r="I664" s="19">
        <f>SUM(F664:H664)</f>
        <v>575666.44999999995</v>
      </c>
      <c r="J664" s="13"/>
      <c r="K664" s="13"/>
      <c r="L664" s="13"/>
      <c r="M664" s="9"/>
    </row>
    <row r="665" spans="1:13" s="3" customFormat="1" ht="12.2" customHeight="1" x14ac:dyDescent="0.15">
      <c r="A665" s="1" t="s">
        <v>130</v>
      </c>
      <c r="F665" s="19">
        <f>F661-SUM(F662:F664)</f>
        <v>287659.34999999998</v>
      </c>
      <c r="G665" s="19">
        <f>G661-SUM(G662:G664)</f>
        <v>10172</v>
      </c>
      <c r="H665" s="19">
        <f>H661-SUM(H662:H664)</f>
        <v>8923.2000000000116</v>
      </c>
      <c r="I665" s="19">
        <f>I661-SUM(I662:I664)</f>
        <v>306754.55000000005</v>
      </c>
      <c r="J665" s="13"/>
      <c r="K665" s="13"/>
      <c r="L665" s="13"/>
      <c r="M665" s="8"/>
    </row>
    <row r="666" spans="1:13" s="3" customFormat="1" ht="12.2" customHeight="1" x14ac:dyDescent="0.2">
      <c r="A666" s="1" t="s">
        <v>131</v>
      </c>
      <c r="F666" s="246">
        <v>32.14</v>
      </c>
      <c r="G666" s="247"/>
      <c r="H666" s="247"/>
      <c r="I666" s="19">
        <f>SUM(F666:H666)</f>
        <v>32.14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8950.2000000000007</v>
      </c>
      <c r="G668" s="19" t="e">
        <f>ROUND(G665/G666,2)</f>
        <v>#DIV/0!</v>
      </c>
      <c r="H668" s="19" t="e">
        <f>ROUND(H665/H666,2)</f>
        <v>#DIV/0!</v>
      </c>
      <c r="I668" s="19">
        <f>ROUND(I665/I666,2)</f>
        <v>9544.32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-10172</v>
      </c>
      <c r="H670" s="18">
        <v>-8923.2000000000007</v>
      </c>
      <c r="I670" s="19">
        <f>SUM(F670:H670)</f>
        <v>-19095.2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8950.2000000000007</v>
      </c>
      <c r="G673" s="19" t="e">
        <f>ROUND((G665+G670)/(G666+G671),2)</f>
        <v>#DIV/0!</v>
      </c>
      <c r="H673" s="19" t="e">
        <f>ROUND((H665+H670)/(H666+H671),2)</f>
        <v>#DIV/0!</v>
      </c>
      <c r="I673" s="19">
        <f>ROUND((I665+I670)/(I666+I671),2)</f>
        <v>8950.2000000000007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LANDAFF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v>0</v>
      </c>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0</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LANDAFF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110526.97</v>
      </c>
      <c r="C9" s="229">
        <f>'DOE25'!G198+'DOE25'!G216+'DOE25'!G234+'DOE25'!G277+'DOE25'!G296+'DOE25'!G315</f>
        <v>23312.969999999998</v>
      </c>
    </row>
    <row r="10" spans="1:3" x14ac:dyDescent="0.2">
      <c r="A10" t="s">
        <v>775</v>
      </c>
      <c r="B10" s="240">
        <v>87007.03</v>
      </c>
      <c r="C10" s="240">
        <v>21513.69</v>
      </c>
    </row>
    <row r="11" spans="1:3" x14ac:dyDescent="0.2">
      <c r="A11" t="s">
        <v>776</v>
      </c>
      <c r="B11" s="240">
        <v>23519.94</v>
      </c>
      <c r="C11" s="240">
        <v>1799.28</v>
      </c>
    </row>
    <row r="12" spans="1:3" x14ac:dyDescent="0.2">
      <c r="A12" t="s">
        <v>777</v>
      </c>
      <c r="B12" s="240"/>
      <c r="C12" s="240"/>
    </row>
    <row r="13" spans="1:3" x14ac:dyDescent="0.2">
      <c r="A13" t="str">
        <f>IF(B9=B13,IF(C9=C13,"Check Total OK","Check Total Error"),"Check Total Error")</f>
        <v>Check Total OK</v>
      </c>
      <c r="B13" s="231">
        <f>SUM(B10:B12)</f>
        <v>110526.97</v>
      </c>
      <c r="C13" s="231">
        <f>SUM(C10:C12)</f>
        <v>23312.969999999998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4002</v>
      </c>
      <c r="C18" s="229">
        <f>'DOE25'!G199+'DOE25'!G217+'DOE25'!G235+'DOE25'!G278+'DOE25'!G297+'DOE25'!G316</f>
        <v>1102.78</v>
      </c>
    </row>
    <row r="19" spans="1:3" x14ac:dyDescent="0.2">
      <c r="A19" t="s">
        <v>775</v>
      </c>
      <c r="B19" s="240">
        <v>4002</v>
      </c>
      <c r="C19" s="240">
        <v>1102.78</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4002</v>
      </c>
      <c r="C22" s="231">
        <f>SUM(C19:C21)</f>
        <v>1102.78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4074</v>
      </c>
      <c r="C36" s="235">
        <f>'DOE25'!G201+'DOE25'!G219+'DOE25'!G237+'DOE25'!G280+'DOE25'!G299+'DOE25'!G318</f>
        <v>336.6</v>
      </c>
    </row>
    <row r="37" spans="1:3" x14ac:dyDescent="0.2">
      <c r="A37" t="s">
        <v>775</v>
      </c>
      <c r="B37" s="240">
        <v>4074</v>
      </c>
      <c r="C37" s="240">
        <v>336.6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4074</v>
      </c>
      <c r="C40" s="231">
        <f>SUM(C37:C39)</f>
        <v>336.6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7" sqref="F2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LANDAFF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727121.51</v>
      </c>
      <c r="D5" s="20">
        <f>SUM('DOE25'!L198:L201)+SUM('DOE25'!L216:L219)+SUM('DOE25'!L234:L237)-F5-G5-H5</f>
        <v>707148.11</v>
      </c>
      <c r="E5" s="243"/>
      <c r="F5" s="244"/>
      <c r="G5" s="53">
        <f>SUM('DOE25'!J198:J201)+SUM('DOE25'!J216:J219)+SUM('DOE25'!J234:J237)</f>
        <v>19973.400000000001</v>
      </c>
      <c r="H5" s="53">
        <f>SUM('DOE25'!K198:K201)+SUM('DOE25'!K216:K219)+SUM('DOE25'!K234:K237)</f>
        <v>0</v>
      </c>
      <c r="I5" s="256"/>
    </row>
    <row r="6" spans="1:9" x14ac:dyDescent="0.2">
      <c r="A6" s="32">
        <v>2100</v>
      </c>
      <c r="B6" t="s">
        <v>796</v>
      </c>
      <c r="C6" s="276">
        <f t="shared" si="0"/>
        <v>45730.79</v>
      </c>
      <c r="D6" s="20">
        <f>'DOE25'!L203+'DOE25'!L221+'DOE25'!L239-F6-G6-H6</f>
        <v>45730.79</v>
      </c>
      <c r="E6" s="243"/>
      <c r="F6" s="244"/>
      <c r="G6" s="53">
        <f>'DOE25'!J203+'DOE25'!J221+'DOE25'!J239</f>
        <v>0</v>
      </c>
      <c r="H6" s="53">
        <f>'DOE25'!K203+'DOE25'!K221+'DOE25'!K239</f>
        <v>0</v>
      </c>
      <c r="I6" s="256"/>
    </row>
    <row r="7" spans="1:9" x14ac:dyDescent="0.2">
      <c r="A7" s="32">
        <v>2200</v>
      </c>
      <c r="B7" t="s">
        <v>821</v>
      </c>
      <c r="C7" s="276">
        <f t="shared" si="0"/>
        <v>418.56</v>
      </c>
      <c r="D7" s="20">
        <f>'DOE25'!L204+'DOE25'!L222+'DOE25'!L240-F7-G7-H7</f>
        <v>418.56</v>
      </c>
      <c r="E7" s="243"/>
      <c r="F7" s="244"/>
      <c r="G7" s="53">
        <f>'DOE25'!J204+'DOE25'!J222+'DOE25'!J240</f>
        <v>0</v>
      </c>
      <c r="H7" s="53">
        <f>'DOE25'!K204+'DOE25'!K222+'DOE25'!K240</f>
        <v>0</v>
      </c>
      <c r="I7" s="256"/>
    </row>
    <row r="8" spans="1:9" x14ac:dyDescent="0.2">
      <c r="A8" s="32">
        <v>2300</v>
      </c>
      <c r="B8" t="s">
        <v>797</v>
      </c>
      <c r="C8" s="276">
        <f t="shared" si="0"/>
        <v>27062.93</v>
      </c>
      <c r="D8" s="243"/>
      <c r="E8" s="20">
        <f>'DOE25'!L205+'DOE25'!L223+'DOE25'!L241-F8-G8-H8-D9-D11</f>
        <v>27062.93</v>
      </c>
      <c r="F8" s="244"/>
      <c r="G8" s="53">
        <f>'DOE25'!J205+'DOE25'!J223+'DOE25'!J241</f>
        <v>0</v>
      </c>
      <c r="H8" s="53">
        <f>'DOE25'!K205+'DOE25'!K223+'DOE25'!K241</f>
        <v>0</v>
      </c>
      <c r="I8" s="256"/>
    </row>
    <row r="9" spans="1:9" ht="14.25" x14ac:dyDescent="0.2">
      <c r="A9" s="32">
        <v>2310</v>
      </c>
      <c r="B9" s="185" t="s">
        <v>890</v>
      </c>
      <c r="C9" s="276">
        <f t="shared" si="0"/>
        <v>20944.22</v>
      </c>
      <c r="D9" s="244">
        <v>20944.22</v>
      </c>
      <c r="E9" s="243"/>
      <c r="F9" s="253"/>
      <c r="G9" s="253"/>
      <c r="H9" s="253"/>
      <c r="I9" s="256"/>
    </row>
    <row r="10" spans="1:9" ht="14.25" x14ac:dyDescent="0.2">
      <c r="A10" s="32">
        <v>2317</v>
      </c>
      <c r="B10" s="185" t="s">
        <v>891</v>
      </c>
      <c r="C10" s="276">
        <f t="shared" si="0"/>
        <v>8540.56</v>
      </c>
      <c r="D10" s="243"/>
      <c r="E10" s="244">
        <v>8540.56</v>
      </c>
      <c r="F10" s="253"/>
      <c r="G10" s="253"/>
      <c r="H10" s="253"/>
      <c r="I10" s="256"/>
    </row>
    <row r="11" spans="1:9" ht="14.25" x14ac:dyDescent="0.2">
      <c r="A11" s="32">
        <v>2321</v>
      </c>
      <c r="B11" s="185" t="s">
        <v>892</v>
      </c>
      <c r="C11" s="276">
        <f t="shared" si="0"/>
        <v>1572</v>
      </c>
      <c r="D11" s="244">
        <v>1572</v>
      </c>
      <c r="E11" s="243"/>
      <c r="F11" s="253"/>
      <c r="G11" s="253"/>
      <c r="H11" s="253"/>
      <c r="I11" s="256"/>
    </row>
    <row r="12" spans="1:9" x14ac:dyDescent="0.2">
      <c r="A12" s="32">
        <v>2400</v>
      </c>
      <c r="B12" t="s">
        <v>711</v>
      </c>
      <c r="C12" s="276">
        <f t="shared" si="0"/>
        <v>2226</v>
      </c>
      <c r="D12" s="20">
        <f>'DOE25'!L206+'DOE25'!L224+'DOE25'!L242-F12-G12-H12</f>
        <v>2226</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30765.510000000002</v>
      </c>
      <c r="D14" s="20">
        <f>'DOE25'!L208+'DOE25'!L226+'DOE25'!L244-F14-G14-H14</f>
        <v>30673.72</v>
      </c>
      <c r="E14" s="243"/>
      <c r="F14" s="244"/>
      <c r="G14" s="53">
        <f>'DOE25'!J208+'DOE25'!J226+'DOE25'!J244</f>
        <v>91.79</v>
      </c>
      <c r="H14" s="53">
        <f>'DOE25'!K208+'DOE25'!K226+'DOE25'!K244</f>
        <v>0</v>
      </c>
      <c r="I14" s="256"/>
    </row>
    <row r="15" spans="1:9" x14ac:dyDescent="0.2">
      <c r="A15" s="32">
        <v>2700</v>
      </c>
      <c r="B15" t="s">
        <v>799</v>
      </c>
      <c r="C15" s="276">
        <f t="shared" si="0"/>
        <v>47357.869999999995</v>
      </c>
      <c r="D15" s="20">
        <f>'DOE25'!L209+'DOE25'!L227+'DOE25'!L245-F15-G15-H15</f>
        <v>30073.999999999996</v>
      </c>
      <c r="E15" s="243"/>
      <c r="F15" s="244">
        <v>17283.87</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v>0</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26579.479999999996</v>
      </c>
      <c r="D31" s="20">
        <f>'DOE25'!L291+'DOE25'!L310+'DOE25'!L329+'DOE25'!L334+'DOE25'!L335+'DOE25'!L336-F31-G31-H31</f>
        <v>25353.78</v>
      </c>
      <c r="E31" s="243"/>
      <c r="F31" s="244">
        <v>0</v>
      </c>
      <c r="G31" s="53">
        <f>'DOE25'!J291+'DOE25'!J310+'DOE25'!J329+'DOE25'!J334+'DOE25'!J335+'DOE25'!J336</f>
        <v>1122.26</v>
      </c>
      <c r="H31" s="53">
        <f>'DOE25'!K291+'DOE25'!K310+'DOE25'!K329+'DOE25'!K334+'DOE25'!K335+'DOE25'!K336</f>
        <v>103.44</v>
      </c>
      <c r="I31" s="256"/>
    </row>
    <row r="32" spans="1:9" ht="12" thickBot="1" x14ac:dyDescent="0.25">
      <c r="C32" s="277"/>
      <c r="G32" s="251"/>
      <c r="H32" s="251"/>
      <c r="I32" s="258"/>
    </row>
    <row r="33" spans="1:9" ht="12" thickTop="1" x14ac:dyDescent="0.2">
      <c r="B33" t="s">
        <v>809</v>
      </c>
      <c r="D33" s="245">
        <f t="shared" ref="D33:I33" si="1">SUM(D5:D31)</f>
        <v>864141.18</v>
      </c>
      <c r="E33" s="245">
        <f t="shared" si="1"/>
        <v>35603.49</v>
      </c>
      <c r="F33" s="245">
        <f t="shared" si="1"/>
        <v>17283.87</v>
      </c>
      <c r="G33" s="245">
        <f t="shared" si="1"/>
        <v>21187.45</v>
      </c>
      <c r="H33" s="245">
        <f t="shared" si="1"/>
        <v>103.44</v>
      </c>
      <c r="I33" s="245">
        <f t="shared" si="1"/>
        <v>0</v>
      </c>
    </row>
    <row r="35" spans="1:9" ht="12" thickBot="1" x14ac:dyDescent="0.25">
      <c r="B35" s="251" t="s">
        <v>831</v>
      </c>
      <c r="D35" s="252">
        <f>E33</f>
        <v>35603.49</v>
      </c>
      <c r="E35" s="248"/>
    </row>
    <row r="36" spans="1:9" ht="12" thickTop="1" x14ac:dyDescent="0.2">
      <c r="B36" t="s">
        <v>810</v>
      </c>
      <c r="D36" s="20">
        <f>D33</f>
        <v>864141.18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40" sqref="A4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LANDAFF SCHOOL DISTRICT</v>
      </c>
      <c r="B2" s="126">
        <f>'DOE25'!B2</f>
        <v>291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546714.75</v>
      </c>
      <c r="G4" s="303">
        <f>'DOE25'!L212+'DOE25'!L291</f>
        <v>546714.75</v>
      </c>
      <c r="H4" s="337">
        <f>F4-G4</f>
        <v>0</v>
      </c>
      <c r="I4" s="309" t="str">
        <f>IF(H4=0,"","Does not match DOE25 page 7 and 11 Totals!!")</f>
        <v/>
      </c>
      <c r="N4"/>
    </row>
    <row r="5" spans="1:18" x14ac:dyDescent="0.2">
      <c r="A5" s="21" t="s">
        <v>1180</v>
      </c>
      <c r="B5" s="304">
        <f>IFERROR(VLOOKUP(A5,'School Tables'!$C$3:$D$365,2,FALSE),"")</f>
        <v>21410</v>
      </c>
      <c r="C5" s="297" t="str">
        <f>IFERROR(INDEX('School Tables'!$B$3:$B$365,MATCH('School Level Expenditures'!B5,'School Tables'!$D$3:$D$365,0)),"")</f>
        <v>Landaff</v>
      </c>
      <c r="D5" s="294">
        <v>384173.44</v>
      </c>
      <c r="E5" s="294">
        <v>36749.449999999997</v>
      </c>
      <c r="F5" s="312">
        <f>D5+E5</f>
        <v>420922.89</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f>29318+12408+70430.86+13635</f>
        <v>125791.86</v>
      </c>
      <c r="E6" s="294"/>
      <c r="F6" s="307">
        <f t="shared" ref="F6:F20" si="0">D6+E6</f>
        <v>125791.86</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174489</v>
      </c>
      <c r="G24" s="303">
        <f>'DOE25'!L230+'DOE25'!L310</f>
        <v>174489</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f>17783+156706</f>
        <v>174489</v>
      </c>
      <c r="E25" s="294"/>
      <c r="F25" s="307">
        <f>D25+E25</f>
        <v>174489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208575.12000000002</v>
      </c>
      <c r="G36" s="303">
        <f>'DOE25'!L248+'DOE25'!L329</f>
        <v>208575.12</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f>17760+14691.73+159458.69+16665-0.3</f>
        <v>208575.12000000002</v>
      </c>
      <c r="E37" s="294"/>
      <c r="F37" s="307">
        <f>D37+E37</f>
        <v>208575.12000000002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LANDAFF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375332.58</v>
      </c>
      <c r="D8" s="95">
        <f>'DOE25'!G9</f>
        <v>0</v>
      </c>
      <c r="E8" s="95">
        <f>'DOE25'!H9</f>
        <v>0</v>
      </c>
      <c r="F8" s="95">
        <f>'DOE25'!I9</f>
        <v>0</v>
      </c>
      <c r="G8" s="95">
        <f>'DOE25'!J9</f>
        <v>178573.95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13073.45</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13073.48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34072.480000000003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422478.51</v>
      </c>
      <c r="D18" s="41">
        <f>SUM(D8:D17)</f>
        <v>0</v>
      </c>
      <c r="E18" s="41">
        <f>SUM(E8:E17)</f>
        <v>13073.48</v>
      </c>
      <c r="F18" s="41">
        <f>SUM(F8:F17)</f>
        <v>0</v>
      </c>
      <c r="G18" s="41">
        <f>SUM(G8:G17)</f>
        <v>178573.95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13073.48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75252.06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67169</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142421.06</v>
      </c>
      <c r="D31" s="41">
        <f>SUM(D21:D30)</f>
        <v>0</v>
      </c>
      <c r="E31" s="41">
        <f>SUM(E21:E30)</f>
        <v>13073.48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178573.95</v>
      </c>
      <c r="H42" s="124"/>
      <c r="I42" s="124"/>
    </row>
    <row r="43" spans="1:9" x14ac:dyDescent="0.2">
      <c r="A43" s="1" t="s">
        <v>863</v>
      </c>
      <c r="B43" s="6">
        <v>755</v>
      </c>
      <c r="C43" s="95">
        <f>'DOE25'!F44</f>
        <v>132500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147557.45000000001</v>
      </c>
      <c r="D49" s="24" t="s">
        <v>288</v>
      </c>
      <c r="E49" s="24" t="s">
        <v>288</v>
      </c>
      <c r="F49" s="24" t="s">
        <v>288</v>
      </c>
      <c r="G49" s="24" t="s">
        <v>288</v>
      </c>
      <c r="H49" s="124"/>
      <c r="I49" s="124"/>
    </row>
    <row r="50" spans="1:9" ht="12.75" thickTop="1" thickBot="1" x14ac:dyDescent="0.25">
      <c r="A50" s="38" t="s">
        <v>884</v>
      </c>
      <c r="B50" s="48"/>
      <c r="C50" s="41">
        <f>SUM(C34:C49)</f>
        <v>280057.45</v>
      </c>
      <c r="D50" s="41">
        <f>SUM(D34:D49)</f>
        <v>0</v>
      </c>
      <c r="E50" s="41">
        <f>SUM(E34:E49)</f>
        <v>0</v>
      </c>
      <c r="F50" s="41">
        <f>SUM(F34:F49)</f>
        <v>0</v>
      </c>
      <c r="G50" s="41">
        <f>SUM(G34:G49)</f>
        <v>178573.95</v>
      </c>
      <c r="H50" s="124"/>
      <c r="I50" s="124"/>
    </row>
    <row r="51" spans="1:9" ht="12" thickTop="1" x14ac:dyDescent="0.2">
      <c r="A51" s="38" t="s">
        <v>885</v>
      </c>
      <c r="B51" s="2"/>
      <c r="C51" s="41">
        <f>C50+C31</f>
        <v>422478.51</v>
      </c>
      <c r="D51" s="41">
        <f>D50+D31</f>
        <v>0</v>
      </c>
      <c r="E51" s="41">
        <f>E50+E31</f>
        <v>13073.48</v>
      </c>
      <c r="F51" s="41">
        <f>F50+F31</f>
        <v>0</v>
      </c>
      <c r="G51" s="41">
        <f>G50+G31</f>
        <v>178573.95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713940</v>
      </c>
      <c r="D56" s="95">
        <f>'DOE25'!G60</f>
        <v>0</v>
      </c>
      <c r="E56" s="95">
        <f>'DOE25'!H60</f>
        <v>0</v>
      </c>
      <c r="F56" s="95">
        <f>'DOE25'!I60</f>
        <v>0</v>
      </c>
      <c r="G56" s="95">
        <f>'DOE25'!J60</f>
        <v>0</v>
      </c>
      <c r="H56"/>
      <c r="I56"/>
    </row>
    <row r="57" spans="1:9" x14ac:dyDescent="0.2">
      <c r="A57" s="1" t="s">
        <v>164</v>
      </c>
      <c r="B57" s="6" t="s">
        <v>165</v>
      </c>
      <c r="C57" s="95">
        <f>'DOE25'!F79</f>
        <v>42955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127.67</v>
      </c>
      <c r="D59" s="95">
        <f>'DOE25'!G96</f>
        <v>0</v>
      </c>
      <c r="E59" s="95">
        <f>'DOE25'!H96</f>
        <v>0</v>
      </c>
      <c r="F59" s="95">
        <f>'DOE25'!I96</f>
        <v>0</v>
      </c>
      <c r="G59" s="95">
        <f>'DOE25'!J96</f>
        <v>3695.52</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23848.570000000003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66931.240000000005</v>
      </c>
      <c r="D62" s="130">
        <f>SUM(D57:D61)</f>
        <v>0</v>
      </c>
      <c r="E62" s="130">
        <f>SUM(E57:E61)</f>
        <v>0</v>
      </c>
      <c r="F62" s="130">
        <f>SUM(F57:F61)</f>
        <v>0</v>
      </c>
      <c r="G62" s="130">
        <f>SUM(G57:G61)</f>
        <v>3695.52</v>
      </c>
      <c r="H62"/>
      <c r="I62"/>
    </row>
    <row r="63" spans="1:9" ht="12" thickTop="1" x14ac:dyDescent="0.2">
      <c r="A63" s="29" t="s">
        <v>175</v>
      </c>
      <c r="B63" s="6"/>
      <c r="C63" s="22">
        <f>C56+C62</f>
        <v>780871.24</v>
      </c>
      <c r="D63" s="22">
        <f>D56+D62</f>
        <v>0</v>
      </c>
      <c r="E63" s="22">
        <f>E56+E62</f>
        <v>0</v>
      </c>
      <c r="F63" s="22">
        <f>F56+F62</f>
        <v>0</v>
      </c>
      <c r="G63" s="22">
        <f>G56+G62</f>
        <v>3695.52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207324.87</v>
      </c>
      <c r="D66" s="24" t="s">
        <v>288</v>
      </c>
      <c r="E66" s="24" t="s">
        <v>288</v>
      </c>
      <c r="F66" s="24" t="s">
        <v>288</v>
      </c>
      <c r="G66" s="24" t="s">
        <v>288</v>
      </c>
      <c r="H66"/>
      <c r="I66"/>
    </row>
    <row r="67" spans="1:9" x14ac:dyDescent="0.2">
      <c r="A67" s="1" t="s">
        <v>770</v>
      </c>
      <c r="B67" s="6">
        <v>3112</v>
      </c>
      <c r="C67" s="95">
        <f>'DOE25'!F118</f>
        <v>92079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299403.87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47102.46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47102.46</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346506.33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7799.73</v>
      </c>
      <c r="D88" s="341">
        <f>SUM('DOE25'!G153:G162)</f>
        <v>0</v>
      </c>
      <c r="E88" s="341">
        <f>SUM('DOE25'!H153:H162)</f>
        <v>26579.479999999996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2370.2399999999998</v>
      </c>
      <c r="D90" s="24" t="s">
        <v>288</v>
      </c>
      <c r="E90" s="24" t="s">
        <v>288</v>
      </c>
      <c r="F90" s="24" t="s">
        <v>288</v>
      </c>
      <c r="G90" s="24" t="s">
        <v>288</v>
      </c>
    </row>
    <row r="91" spans="1:9" ht="12.75" thickTop="1" thickBot="1" x14ac:dyDescent="0.25">
      <c r="A91" s="33" t="s">
        <v>750</v>
      </c>
      <c r="C91" s="131">
        <f>SUM(C85:C90)</f>
        <v>10169.969999999999</v>
      </c>
      <c r="D91" s="131">
        <f>SUM(D85:D90)</f>
        <v>0</v>
      </c>
      <c r="E91" s="131">
        <f>SUM(E85:E90)</f>
        <v>26579.479999999996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10000</v>
      </c>
    </row>
    <row r="104" spans="1:7" ht="12.75" thickTop="1" thickBot="1" x14ac:dyDescent="0.25">
      <c r="A104" s="33" t="s">
        <v>761</v>
      </c>
      <c r="C104" s="86">
        <f>C63+C81+C91+C103</f>
        <v>1137547.54</v>
      </c>
      <c r="D104" s="86">
        <f>D63+D81+D91+D103</f>
        <v>0</v>
      </c>
      <c r="E104" s="86">
        <f>E63+E81+E91+E103</f>
        <v>26579.479999999996</v>
      </c>
      <c r="F104" s="86">
        <f>F63+F81+F91+F103</f>
        <v>0</v>
      </c>
      <c r="G104" s="86">
        <f>G63+G81+G103</f>
        <v>13695.52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637440.79</v>
      </c>
      <c r="D109" s="24" t="s">
        <v>288</v>
      </c>
      <c r="E109" s="95">
        <f>('DOE25'!L277)+('DOE25'!L296)+('DOE25'!L315)</f>
        <v>6775.42</v>
      </c>
      <c r="F109" s="24" t="s">
        <v>288</v>
      </c>
      <c r="G109" s="24" t="s">
        <v>288</v>
      </c>
    </row>
    <row r="110" spans="1:7" x14ac:dyDescent="0.2">
      <c r="A110" t="s">
        <v>198</v>
      </c>
      <c r="B110" s="32" t="s">
        <v>199</v>
      </c>
      <c r="C110" s="95">
        <f>('DOE25'!L199)+('DOE25'!L217)+('DOE25'!L235)</f>
        <v>85089.12</v>
      </c>
      <c r="D110" s="24" t="s">
        <v>288</v>
      </c>
      <c r="E110" s="95">
        <f>('DOE25'!L278)+('DOE25'!L297)+('DOE25'!L316)</f>
        <v>5416.9900000000007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4591.6000000000004</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727121.51</v>
      </c>
      <c r="D115" s="86">
        <f>SUM(D109:D114)</f>
        <v>0</v>
      </c>
      <c r="E115" s="86">
        <f>SUM(E109:E114)</f>
        <v>12192.41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45730.79</v>
      </c>
      <c r="D118" s="24" t="s">
        <v>288</v>
      </c>
      <c r="E118" s="95">
        <f>+('DOE25'!L282)+('DOE25'!L301)+('DOE25'!L320)</f>
        <v>750</v>
      </c>
      <c r="F118" s="24" t="s">
        <v>288</v>
      </c>
      <c r="G118" s="24" t="s">
        <v>288</v>
      </c>
    </row>
    <row r="119" spans="1:7" x14ac:dyDescent="0.2">
      <c r="A119" t="s">
        <v>208</v>
      </c>
      <c r="B119" s="32" t="s">
        <v>209</v>
      </c>
      <c r="C119" s="95">
        <f>('DOE25'!L204)+('DOE25'!L222)+('DOE25'!L240)</f>
        <v>418.56</v>
      </c>
      <c r="D119" s="24" t="s">
        <v>288</v>
      </c>
      <c r="E119" s="95">
        <f>+('DOE25'!L283)+('DOE25'!L302)+('DOE25'!L321)</f>
        <v>4391.3999999999996</v>
      </c>
      <c r="F119" s="24" t="s">
        <v>288</v>
      </c>
      <c r="G119" s="24" t="s">
        <v>288</v>
      </c>
    </row>
    <row r="120" spans="1:7" x14ac:dyDescent="0.2">
      <c r="A120" t="s">
        <v>210</v>
      </c>
      <c r="B120" s="32" t="s">
        <v>211</v>
      </c>
      <c r="C120" s="95">
        <f>('DOE25'!L205)+('DOE25'!L223)+('DOE25'!L241)</f>
        <v>49579.15</v>
      </c>
      <c r="D120" s="24" t="s">
        <v>288</v>
      </c>
      <c r="E120" s="95">
        <f>+('DOE25'!L284)+('DOE25'!L303)+('DOE25'!L322)</f>
        <v>9245.67</v>
      </c>
      <c r="F120" s="24" t="s">
        <v>288</v>
      </c>
      <c r="G120" s="24" t="s">
        <v>288</v>
      </c>
    </row>
    <row r="121" spans="1:7" x14ac:dyDescent="0.2">
      <c r="A121" t="s">
        <v>212</v>
      </c>
      <c r="B121" s="32" t="s">
        <v>213</v>
      </c>
      <c r="C121" s="95">
        <f>('DOE25'!L206)+('DOE25'!L224)+('DOE25'!L242)</f>
        <v>2226</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30765.510000000002</v>
      </c>
      <c r="D123" s="24" t="s">
        <v>288</v>
      </c>
      <c r="E123" s="95">
        <f>+('DOE25'!L287)+('DOE25'!L306)+('DOE25'!L325)</f>
        <v>0</v>
      </c>
      <c r="F123" s="24" t="s">
        <v>288</v>
      </c>
      <c r="G123" s="24" t="s">
        <v>288</v>
      </c>
    </row>
    <row r="124" spans="1:7" x14ac:dyDescent="0.2">
      <c r="A124" t="s">
        <v>218</v>
      </c>
      <c r="B124" s="32" t="s">
        <v>219</v>
      </c>
      <c r="C124" s="95">
        <f>('DOE25'!L209)+('DOE25'!L227)+('DOE25'!L245+'DOE25'!L255)</f>
        <v>47357.869999999995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176077.88</v>
      </c>
      <c r="D128" s="86">
        <f>SUM(D118:D127)</f>
        <v>0</v>
      </c>
      <c r="E128" s="86">
        <f>SUM(E118:E127)</f>
        <v>14387.07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13695.52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-3695.5200000000004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10000</v>
      </c>
      <c r="D144" s="141">
        <f>SUM(D130:D143)</f>
        <v>0</v>
      </c>
      <c r="E144" s="141">
        <f>SUM(E130:E143)</f>
        <v>0</v>
      </c>
      <c r="F144" s="141">
        <f>SUM(F130:F143)</f>
        <v>0</v>
      </c>
      <c r="G144" s="141">
        <f>SUM(G130:G143)</f>
        <v>0</v>
      </c>
    </row>
    <row r="145" spans="1:9" ht="12.75" thickTop="1" thickBot="1" x14ac:dyDescent="0.25">
      <c r="A145" s="33" t="s">
        <v>244</v>
      </c>
      <c r="C145" s="86">
        <f>(C115+C128+C144)</f>
        <v>913199.39</v>
      </c>
      <c r="D145" s="86">
        <f>(D115+D128+D144)</f>
        <v>0</v>
      </c>
      <c r="E145" s="86">
        <f>(E115+E128+E144)</f>
        <v>26579.48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LANDAFF SCHOOL DISTRICT</v>
      </c>
    </row>
    <row r="3" spans="1:4" x14ac:dyDescent="0.2">
      <c r="B3" s="188" t="s">
        <v>1587</v>
      </c>
    </row>
    <row r="4" spans="1:4" x14ac:dyDescent="0.2">
      <c r="B4" t="s">
        <v>61</v>
      </c>
      <c r="C4" s="179">
        <f>IF('DOE25'!F666+'DOE25'!F671=0,0,ROUND('DOE25'!F673,0))</f>
        <v>8950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8950</v>
      </c>
    </row>
    <row r="9" spans="1:4" x14ac:dyDescent="0.2">
      <c r="A9" s="187" t="s">
        <v>94</v>
      </c>
      <c r="B9" s="188" t="s">
        <v>1588</v>
      </c>
      <c r="C9" s="181" t="s">
        <v>720</v>
      </c>
      <c r="D9" s="181" t="s">
        <v>721</v>
      </c>
    </row>
    <row r="10" spans="1:4" x14ac:dyDescent="0.2">
      <c r="A10">
        <v>1100</v>
      </c>
      <c r="B10" t="s">
        <v>702</v>
      </c>
      <c r="C10" s="179">
        <f>ROUND('DOE25'!L198+'DOE25'!L216+'DOE25'!L234+'DOE25'!L277+'DOE25'!L296+'DOE25'!L315,0)</f>
        <v>644216</v>
      </c>
      <c r="D10" s="182">
        <f>ROUND((C10/$C$28)*100,1)</f>
        <v>69.3</v>
      </c>
    </row>
    <row r="11" spans="1:4" x14ac:dyDescent="0.2">
      <c r="A11">
        <v>1200</v>
      </c>
      <c r="B11" t="s">
        <v>703</v>
      </c>
      <c r="C11" s="179">
        <f>ROUND('DOE25'!L199+'DOE25'!L217+'DOE25'!L235+'DOE25'!L278+'DOE25'!L297+'DOE25'!L316,0)</f>
        <v>90506</v>
      </c>
      <c r="D11" s="182">
        <f>ROUND((C11/$C$28)*100,1)</f>
        <v>9.6999999999999993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4592</v>
      </c>
      <c r="D13" s="182">
        <f>ROUND((C13/$C$28)*100,1)</f>
        <v>0.5</v>
      </c>
    </row>
    <row r="14" spans="1:4" x14ac:dyDescent="0.2">
      <c r="D14" s="182"/>
    </row>
    <row r="15" spans="1:4" x14ac:dyDescent="0.2">
      <c r="A15">
        <v>2100</v>
      </c>
      <c r="B15" t="s">
        <v>706</v>
      </c>
      <c r="C15" s="179">
        <f>ROUND('DOE25'!L203+'DOE25'!L221+'DOE25'!L239+'DOE25'!L282+'DOE25'!L301+'DOE25'!L320,0)</f>
        <v>46481</v>
      </c>
      <c r="D15" s="182">
        <f t="shared" ref="D15:D27" si="0">ROUND((C15/$C$28)*100,1)</f>
        <v>5</v>
      </c>
    </row>
    <row r="16" spans="1:4" x14ac:dyDescent="0.2">
      <c r="A16">
        <v>2200</v>
      </c>
      <c r="B16" t="s">
        <v>707</v>
      </c>
      <c r="C16" s="179">
        <f>ROUND('DOE25'!L204+'DOE25'!L222+'DOE25'!L240+'DOE25'!L283+'DOE25'!L302+'DOE25'!L321,0)</f>
        <v>4810</v>
      </c>
      <c r="D16" s="182">
        <f t="shared" si="0"/>
        <v>0.5</v>
      </c>
    </row>
    <row r="17" spans="1:4" x14ac:dyDescent="0.2">
      <c r="A17" s="183" t="s">
        <v>723</v>
      </c>
      <c r="B17" t="s">
        <v>738</v>
      </c>
      <c r="C17" s="179">
        <f>ROUND('DOE25'!L205+'DOE25'!L210+'DOE25'!L223+'DOE25'!L228+'DOE25'!L241+'DOE25'!L246+'DOE25'!L284+'DOE25'!L289+'DOE25'!L303+'DOE25'!L308+'DOE25'!L322+'DOE25'!L327,0)</f>
        <v>58825</v>
      </c>
      <c r="D17" s="182">
        <f t="shared" si="0"/>
        <v>6.3</v>
      </c>
    </row>
    <row r="18" spans="1:4" x14ac:dyDescent="0.2">
      <c r="A18">
        <v>2400</v>
      </c>
      <c r="B18" t="s">
        <v>711</v>
      </c>
      <c r="C18" s="179">
        <f>ROUND('DOE25'!L206+'DOE25'!L224+'DOE25'!L242+'DOE25'!L285+'DOE25'!L304+'DOE25'!L323,0)</f>
        <v>2226</v>
      </c>
      <c r="D18" s="182">
        <f t="shared" si="0"/>
        <v>0.2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30766</v>
      </c>
      <c r="D20" s="182">
        <f t="shared" si="0"/>
        <v>3.3</v>
      </c>
    </row>
    <row r="21" spans="1:4" x14ac:dyDescent="0.2">
      <c r="A21">
        <v>2700</v>
      </c>
      <c r="B21" t="s">
        <v>710</v>
      </c>
      <c r="C21" s="179">
        <f>ROUND('DOE25'!L209+'DOE25'!L227+'DOE25'!L245+'DOE25'!L288+'DOE25'!L307+'DOE25'!L326,0)</f>
        <v>47358</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929780</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929780</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713940</v>
      </c>
      <c r="D35" s="182">
        <f t="shared" ref="D35:D40" si="1">ROUND((C35/$C$41)*100,1)</f>
        <v>61.1</v>
      </c>
    </row>
    <row r="36" spans="1:4" x14ac:dyDescent="0.2">
      <c r="B36" s="185" t="s">
        <v>739</v>
      </c>
      <c r="C36" s="179">
        <f>SUM('DOE25'!F112:J112)-SUM('DOE25'!G97:G110)+('DOE25'!F175+'DOE25'!F176+'DOE25'!I175+'DOE25'!I176)-C35</f>
        <v>70626.760000000009</v>
      </c>
      <c r="D36" s="182">
        <f t="shared" si="1"/>
        <v>6</v>
      </c>
    </row>
    <row r="37" spans="1:4" x14ac:dyDescent="0.2">
      <c r="A37" s="183" t="s">
        <v>835</v>
      </c>
      <c r="B37" s="185" t="s">
        <v>728</v>
      </c>
      <c r="C37" s="179">
        <f>ROUND('DOE25'!F117+'DOE25'!F118,0)</f>
        <v>299404</v>
      </c>
      <c r="D37" s="182">
        <f t="shared" si="1"/>
        <v>25.6</v>
      </c>
    </row>
    <row r="38" spans="1:4" x14ac:dyDescent="0.2">
      <c r="A38" s="183" t="s">
        <v>734</v>
      </c>
      <c r="B38" s="185" t="s">
        <v>729</v>
      </c>
      <c r="C38" s="179">
        <f>ROUND(SUM('DOE25'!F140:J140)-SUM('DOE25'!F117:F119),0)</f>
        <v>47102</v>
      </c>
      <c r="D38" s="182">
        <f t="shared" si="1"/>
        <v>4</v>
      </c>
    </row>
    <row r="39" spans="1:4" x14ac:dyDescent="0.2">
      <c r="A39">
        <v>4000</v>
      </c>
      <c r="B39" s="185" t="s">
        <v>730</v>
      </c>
      <c r="C39" s="179">
        <f>ROUND('DOE25'!F170+'DOE25'!G170+'DOE25'!H170+'DOE25'!I170,0)</f>
        <v>36749</v>
      </c>
      <c r="D39" s="182">
        <f t="shared" si="1"/>
        <v>3.1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1167821.76</v>
      </c>
      <c r="D41" s="184">
        <f>SUM(D35:D40)</f>
        <v>99.799999999999983</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LANDAFF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2020-12-01T15:55:02Z</cp:lastPrinted>
  <dcterms:created xsi:type="dcterms:W3CDTF">1997-12-04T19:04:30Z</dcterms:created>
  <dcterms:modified xsi:type="dcterms:W3CDTF">2020-12-11T16:04:56Z</dcterms:modified>
</cp:coreProperties>
</file>