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10" i="12" l="1"/>
  <c r="F15" i="13"/>
  <c r="H155" i="1" l="1"/>
  <c r="D11" i="13" l="1"/>
  <c r="B21" i="12"/>
  <c r="B19" i="12"/>
  <c r="B11" i="12"/>
  <c r="F50" i="1" l="1"/>
  <c r="F24" i="1" l="1"/>
  <c r="F14" i="1"/>
  <c r="H473" i="1" l="1"/>
  <c r="G473" i="1"/>
  <c r="F473" i="1"/>
  <c r="J469" i="1"/>
  <c r="I469" i="1"/>
  <c r="I321" i="1"/>
  <c r="H321" i="1"/>
  <c r="G321" i="1"/>
  <c r="F321" i="1"/>
  <c r="G320" i="1"/>
  <c r="F320" i="1"/>
  <c r="H320" i="1"/>
  <c r="G97"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3"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31" i="1"/>
  <c r="H632" i="1"/>
  <c r="H633" i="1"/>
  <c r="H634" i="1"/>
  <c r="H636" i="1"/>
  <c r="H637" i="1"/>
  <c r="H638" i="1"/>
  <c r="H639" i="1"/>
  <c r="G641" i="1"/>
  <c r="G644" i="1"/>
  <c r="G645" i="1"/>
  <c r="G646" i="1"/>
  <c r="G651" i="1"/>
  <c r="G653" i="1"/>
  <c r="H653" i="1"/>
  <c r="G654" i="1"/>
  <c r="H654" i="1"/>
  <c r="G655" i="1"/>
  <c r="H655" i="1"/>
  <c r="H656" i="1"/>
  <c r="J656" i="1" s="1"/>
  <c r="I170" i="1"/>
  <c r="J140" i="1"/>
  <c r="H140" i="1"/>
  <c r="A40" i="12" l="1"/>
  <c r="G553" i="1"/>
  <c r="J572" i="1"/>
  <c r="J652" i="1"/>
  <c r="E125" i="2"/>
  <c r="E124" i="2"/>
  <c r="C12" i="10"/>
  <c r="G663" i="1"/>
  <c r="E119" i="2"/>
  <c r="C13" i="10"/>
  <c r="E110" i="2"/>
  <c r="G339" i="1"/>
  <c r="G353" i="1" s="1"/>
  <c r="K339" i="1"/>
  <c r="K353" i="1" s="1"/>
  <c r="E112" i="2"/>
  <c r="A31" i="12"/>
  <c r="G662" i="1"/>
  <c r="C125" i="2"/>
  <c r="C112" i="2"/>
  <c r="L257" i="1"/>
  <c r="E13" i="13"/>
  <c r="C13" i="13" s="1"/>
  <c r="C119" i="2"/>
  <c r="D6" i="13"/>
  <c r="C6" i="13" s="1"/>
  <c r="J258" i="1"/>
  <c r="J272" i="1" s="1"/>
  <c r="C110" i="2"/>
  <c r="F258" i="1"/>
  <c r="F272" i="1" s="1"/>
  <c r="D15" i="13"/>
  <c r="C15" i="13" s="1"/>
  <c r="C20" i="10"/>
  <c r="C121" i="2"/>
  <c r="C120" i="2"/>
  <c r="C11" i="10"/>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140" i="1"/>
  <c r="B11" i="16" s="1"/>
  <c r="F140" i="1"/>
  <c r="G63" i="2"/>
  <c r="J619" i="1"/>
  <c r="G42" i="2"/>
  <c r="J51" i="1"/>
  <c r="G16" i="2"/>
  <c r="G18" i="2" s="1"/>
  <c r="J19" i="1"/>
  <c r="G622" i="1" s="1"/>
  <c r="F546" i="1"/>
  <c r="H435" i="1"/>
  <c r="J621" i="1"/>
  <c r="J620" i="1"/>
  <c r="D103" i="2"/>
  <c r="I140" i="1"/>
  <c r="A22" i="12"/>
  <c r="G50" i="2"/>
  <c r="J653" i="1"/>
  <c r="G572" i="1"/>
  <c r="I435" i="1"/>
  <c r="G435" i="1"/>
  <c r="I664" i="1"/>
  <c r="G630" i="1" l="1"/>
  <c r="H469" i="1"/>
  <c r="L572" i="1"/>
  <c r="G36" i="14"/>
  <c r="H36" i="14" s="1"/>
  <c r="I36" i="14" s="1"/>
  <c r="G24" i="14"/>
  <c r="E128" i="2"/>
  <c r="E115" i="2"/>
  <c r="F661" i="1"/>
  <c r="F665" i="1" s="1"/>
  <c r="F668" i="1" s="1"/>
  <c r="H661" i="1"/>
  <c r="H665" i="1" s="1"/>
  <c r="H668" i="1" s="1"/>
  <c r="H649" i="1"/>
  <c r="J649" i="1" s="1"/>
  <c r="F194" i="1"/>
  <c r="F469" i="1" s="1"/>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7" i="1"/>
  <c r="J627" i="1" s="1"/>
  <c r="J52" i="1"/>
  <c r="H622" i="1" s="1"/>
  <c r="J622" i="1" s="1"/>
  <c r="C38" i="10"/>
  <c r="H471" i="1" l="1"/>
  <c r="H477" i="1" s="1"/>
  <c r="H625" i="1" s="1"/>
  <c r="J625" i="1" s="1"/>
  <c r="H630" i="1"/>
  <c r="J630" i="1"/>
  <c r="G628" i="1"/>
  <c r="F471" i="1"/>
  <c r="F477" i="1" s="1"/>
  <c r="H623" i="1" s="1"/>
  <c r="J623" i="1" s="1"/>
  <c r="H628" i="1"/>
  <c r="G629" i="1"/>
  <c r="G469" i="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28" i="1" l="1"/>
  <c r="H629" i="1"/>
  <c r="G471" i="1"/>
  <c r="G477" i="1" s="1"/>
  <c r="J629" i="1"/>
  <c r="I668" i="1"/>
  <c r="D28" i="10"/>
  <c r="D37" i="10"/>
  <c r="D36" i="10"/>
  <c r="D35" i="10"/>
  <c r="D40" i="10"/>
  <c r="D39" i="10"/>
  <c r="B33" i="16" l="1"/>
  <c r="H624" i="1"/>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<sst xmlns="http://schemas.openxmlformats.org/spreadsheetml/2006/main" count="5545" uniqueCount="1643">
  <si>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</si>
  <si>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</si>
  <si>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</si>
  <si>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</si>
  <si>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</si>
  <si>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</si>
  <si>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</si>
  <si>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</si>
  <si>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</si>
  <si>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</si>
  <si>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</si>
  <si>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</si>
  <si>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</si>
  <si>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</si>
  <si>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</si>
  <si>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</si>
  <si>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</si>
  <si>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</si>
  <si>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</si>
  <si>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</si>
  <si>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</si>
  <si>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</si>
  <si>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</si>
  <si>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</si>
  <si>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</si>
  <si>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</si>
  <si>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</si>
  <si>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</si>
  <si>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</si>
  <si>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</si>
  <si>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</si>
  <si>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</si>
  <si>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</si>
  <si>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</si>
  <si>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</si>
  <si>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</si>
  <si>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</si>
  <si>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</si>
  <si>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</si>
  <si>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</si>
  <si>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</si>
  <si>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</si>
  <si>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</si>
  <si>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</si>
  <si>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</si>
  <si>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</si>
  <si>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</si>
  <si>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</si>
  <si>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</si>
  <si>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</si>
  <si>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</si>
  <si>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</si>
  <si>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</si>
  <si>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</si>
  <si>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</si>
  <si>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</si>
  <si>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</si>
  <si>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</si>
  <si>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</si>
  <si>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</si>
  <si>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</si>
  <si>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</si>
  <si>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</si>
  <si>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</si>
  <si>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</si>
  <si>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</si>
  <si>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</si>
  <si>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</si>
  <si>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</si>
  <si>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</si>
  <si>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</si>
  <si>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</si>
  <si>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</si>
  <si>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</si>
  <si>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</si>
  <si>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</si>
  <si>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</si>
  <si>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</si>
  <si>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</si>
  <si>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</si>
  <si>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</si>
  <si>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</si>
  <si>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</si>
  <si>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</si>
  <si>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</si>
  <si>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</si>
  <si>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</si>
  <si>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</si>
  <si>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</si>
  <si>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</si>
  <si>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</si>
  <si>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</si>
  <si>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</si>
  <si>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</si>
  <si>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</si>
  <si>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</si>
  <si>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</si>
  <si>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</si>
  <si>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</si>
  <si>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</si>
  <si>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</si>
  <si>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</si>
  <si>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</si>
  <si>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</si>
  <si>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</si>
  <si>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</si>
  <si>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</si>
  <si>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</si>
  <si>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</si>
  <si>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</si>
  <si>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</si>
  <si>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</si>
  <si>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</si>
  <si>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</si>
  <si>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</si>
  <si>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</si>
  <si>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</si>
  <si>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</si>
  <si>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</si>
  <si>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</si>
  <si>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</si>
  <si>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</si>
  <si>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</si>
  <si>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</si>
  <si>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</si>
  <si>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</si>
  <si>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</si>
  <si>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</si>
  <si>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</si>
  <si>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</si>
  <si>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</si>
  <si>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</si>
  <si>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</si>
  <si>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</si>
  <si>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</si>
  <si>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</si>
  <si>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</si>
  <si>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</si>
  <si>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</si>
  <si>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</si>
  <si>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</si>
  <si>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</si>
  <si>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</si>
  <si>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</si>
  <si>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</si>
  <si>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</si>
  <si>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</si>
  <si>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</si>
  <si>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</si>
  <si>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</si>
  <si>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</si>
  <si>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</si>
  <si>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</si>
  <si>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</si>
  <si>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</si>
  <si>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</si>
  <si>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</si>
  <si>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</si>
  <si>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</si>
  <si>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</si>
  <si>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</si>
  <si>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</si>
  <si>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</si>
  <si>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</si>
  <si>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</si>
  <si>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</si>
  <si>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</si>
  <si>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</si>
  <si>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</si>
  <si>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</si>
  <si>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</si>
  <si>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</si>
  <si>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</si>
  <si>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</si>
  <si>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</si>
  <si>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</si>
  <si>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</si>
  <si>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</si>
  <si>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</si>
  <si>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</si>
  <si>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</si>
  <si>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</si>
  <si>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</si>
  <si>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</si>
  <si>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</si>
  <si>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</si>
  <si>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</si>
  <si>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</si>
  <si>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</si>
  <si>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</si>
  <si>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</si>
  <si>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</si>
  <si>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</si>
  <si>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</si>
  <si>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</si>
  <si>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</si>
  <si>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</si>
  <si>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</si>
  <si>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</si>
  <si>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</si>
  <si>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</si>
  <si>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</si>
  <si>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</si>
  <si>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</si>
  <si>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</si>
  <si>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</si>
  <si>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</si>
  <si>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</si>
  <si>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</si>
  <si>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</si>
  <si>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</si>
  <si>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</si>
  <si>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</si>
  <si>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</si>
  <si>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</si>
  <si>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</si>
  <si>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</si>
  <si>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</si>
  <si>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</si>
  <si>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</si>
  <si>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</si>
  <si>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</si>
  <si>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</si>
  <si>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</si>
  <si>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</si>
  <si>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</si>
  <si>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</si>
  <si>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</si>
  <si>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</si>
  <si>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</si>
  <si>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</si>
  <si>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</si>
  <si>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</si>
  <si>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</si>
  <si>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</si>
  <si>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</si>
  <si>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</si>
  <si>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</si>
  <si>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</si>
  <si>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</si>
  <si>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</si>
  <si>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</si>
  <si>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</si>
  <si>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</si>
  <si>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</si>
  <si>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</si>
  <si>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</si>
  <si>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</si>
  <si>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</si>
  <si>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</si>
  <si>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</si>
  <si>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</si>
  <si>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</si>
  <si>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</si>
  <si>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</si>
  <si>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</si>
  <si>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</si>
  <si>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</si>
  <si>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</si>
  <si>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</si>
  <si>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</si>
  <si>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</si>
  <si>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</si>
  <si>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</si>
  <si>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</si>
  <si>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</si>
  <si>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</si>
  <si>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</si>
  <si>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</si>
  <si>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</si>
  <si>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</si>
  <si>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</si>
  <si>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</si>
  <si>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</si>
  <si>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</si>
  <si>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</si>
  <si>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</si>
  <si>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</si>
  <si>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</si>
  <si>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</si>
  <si>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</si>
  <si>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</si>
  <si>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</si>
  <si>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</si>
  <si>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</si>
  <si>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</si>
  <si>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</si>
  <si>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</si>
  <si>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</si>
  <si>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</si>
  <si>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</si>
  <si>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</si>
  <si>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</si>
  <si>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</si>
  <si>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</si>
  <si>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</si>
  <si>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</si>
  <si>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</si>
  <si>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</si>
  <si>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</si>
  <si>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</si>
  <si>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</si>
  <si>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</si>
  <si>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</si>
  <si>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</si>
  <si>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</si>
  <si>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</si>
  <si>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</si>
  <si>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</si>
  <si>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</si>
  <si>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</si>
  <si>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</si>
  <si>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</si>
  <si>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</si>
  <si>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</si>
  <si>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</si>
  <si>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</si>
  <si>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</si>
  <si>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</si>
  <si>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</si>
  <si>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</si>
  <si>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</si>
  <si>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</si>
  <si>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</si>
  <si>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</si>
  <si>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</si>
  <si>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</si>
  <si>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</si>
  <si>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</si>
  <si>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</si>
  <si>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</si>
  <si>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</si>
  <si>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</si>
  <si>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</si>
  <si>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</si>
  <si>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</si>
  <si>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</si>
  <si>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</si>
  <si>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</si>
  <si>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</si>
  <si>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</si>
  <si>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</si>
  <si>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</si>
  <si>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</si>
  <si>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</si>
  <si>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</si>
  <si>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</si>
  <si>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</si>
  <si>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</si>
  <si>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</si>
  <si>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</si>
  <si>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</si>
  <si>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</si>
  <si>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</si>
  <si>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</si>
  <si>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</si>
  <si>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</si>
  <si>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</si>
  <si>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</si>
  <si>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</si>
  <si>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</si>
  <si>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</si>
  <si>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</si>
  <si>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</si>
  <si>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</si>
  <si>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</si>
  <si>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</si>
  <si>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</si>
  <si>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</si>
  <si>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</si>
  <si>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</si>
  <si>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</si>
  <si>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</si>
  <si>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</si>
  <si>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</si>
  <si>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</si>
  <si>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</si>
  <si>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</si>
  <si>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</si>
  <si>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</si>
  <si>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</si>
  <si>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</si>
  <si>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</si>
  <si>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</si>
  <si>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</si>
  <si>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</si>
  <si>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</si>
  <si>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</si>
  <si>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</si>
  <si>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</si>
  <si>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</si>
  <si>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</si>
  <si>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</si>
  <si>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</si>
  <si>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</si>
  <si>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</si>
  <si>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</si>
  <si>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</si>
  <si>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</si>
  <si>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</si>
  <si>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</si>
  <si>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</si>
  <si>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</si>
  <si>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</si>
  <si>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</si>
  <si>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</si>
  <si>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</si>
  <si>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</si>
  <si>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</si>
  <si>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</si>
  <si>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</si>
  <si>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</si>
  <si>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</si>
  <si>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</si>
  <si>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</si>
  <si>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</si>
  <si>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</si>
  <si>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</si>
  <si>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</si>
  <si>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</si>
  <si>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</si>
  <si>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</si>
  <si>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</si>
  <si>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</si>
  <si>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</si>
  <si>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</si>
  <si>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</si>
  <si>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</si>
  <si>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</si>
  <si>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</si>
  <si>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</si>
  <si>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</si>
  <si>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</si>
  <si>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</si>
  <si>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</si>
  <si>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</si>
  <si>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</si>
  <si>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</si>
  <si>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</si>
  <si>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</si>
  <si>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</si>
  <si>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</si>
  <si>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</si>
  <si>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</si>
  <si>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</si>
  <si>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</si>
  <si>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</si>
  <si>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</si>
  <si>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</si>
  <si>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</si>
  <si>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</si>
  <si>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</si>
  <si>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</si>
  <si>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</si>
  <si>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</si>
  <si>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</si>
  <si>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</si>
  <si>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</si>
  <si>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</si>
  <si>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</si>
  <si>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</si>
  <si>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</si>
  <si>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</si>
  <si>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</si>
  <si>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</si>
  <si>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</si>
  <si>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</si>
  <si>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</si>
  <si>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</si>
  <si>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</si>
  <si>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</si>
  <si>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</si>
  <si>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</si>
  <si>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</si>
  <si>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</si>
  <si>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</si>
  <si>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</si>
  <si>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</si>
  <si>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</si>
  <si>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</si>
  <si>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</si>
  <si>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</si>
  <si>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</si>
  <si>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</si>
  <si>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</si>
  <si>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</si>
  <si>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</si>
  <si>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</si>
  <si>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</si>
  <si>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</si>
  <si>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</si>
  <si>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</si>
  <si>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</si>
  <si>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</si>
  <si>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</si>
  <si>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</si>
  <si>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</si>
  <si>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</si>
  <si>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</si>
  <si>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</si>
  <si>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</si>
  <si>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</si>
  <si>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</si>
  <si>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</si>
  <si>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</si>
  <si>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</si>
  <si>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</si>
  <si>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</si>
  <si>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</si>
  <si>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</si>
  <si>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</si>
  <si>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</si>
  <si>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</si>
  <si>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</si>
  <si>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</si>
  <si>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</si>
  <si>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</si>
  <si>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</si>
  <si>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</si>
  <si>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</si>
  <si>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</si>
  <si>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</si>
  <si>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</si>
  <si>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</si>
  <si>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</si>
  <si>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</si>
  <si>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</si>
  <si>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</si>
  <si>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</si>
  <si>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</si>
  <si>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</si>
  <si>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</si>
  <si>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</si>
  <si>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</si>
  <si>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</si>
  <si>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</si>
  <si>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</si>
  <si>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</si>
  <si>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</si>
  <si>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</si>
  <si>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</si>
  <si>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</si>
  <si>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</si>
  <si>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</si>
  <si>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</si>
  <si>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</si>
  <si>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</si>
  <si>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</si>
  <si>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</si>
  <si>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</si>
  <si>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</si>
  <si>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</si>
  <si>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</si>
  <si>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</si>
  <si>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</si>
  <si>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</si>
  <si>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</si>
  <si>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</si>
  <si>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</si>
  <si>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</si>
  <si>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</si>
  <si>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</si>
  <si>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</si>
  <si>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</si>
  <si>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</si>
  <si>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</si>
  <si>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</si>
  <si>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</si>
  <si>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</si>
  <si>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</si>
  <si>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</si>
  <si>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</si>
  <si>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</si>
  <si>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</si>
  <si>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</si>
  <si>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</si>
  <si>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</si>
  <si>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</si>
  <si>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</si>
  <si>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</si>
  <si>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</si>
  <si>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</si>
  <si>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</si>
  <si>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</si>
  <si>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</si>
  <si>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</si>
  <si>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</si>
  <si>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</si>
  <si>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</si>
  <si>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</si>
  <si>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</si>
  <si>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</si>
  <si>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</si>
  <si>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</si>
  <si>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</si>
  <si>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</si>
  <si>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</si>
  <si>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</si>
  <si>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</si>
  <si>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</si>
  <si>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</si>
  <si>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</si>
  <si>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</si>
  <si>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</si>
  <si>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</si>
  <si>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</si>
  <si>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</si>
  <si>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</si>
  <si>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</si>
  <si>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</si>
  <si>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</si>
  <si>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</si>
  <si>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</si>
  <si>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</si>
  <si>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</si>
  <si>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</si>
  <si>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</si>
  <si>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</si>
  <si>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</si>
  <si>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</si>
  <si>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</si>
  <si>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</si>
  <si>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</si>
  <si>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</si>
  <si>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</si>
  <si>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</si>
  <si>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</si>
  <si>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</si>
  <si>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</si>
  <si>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</si>
  <si>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</si>
  <si>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</si>
  <si>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</si>
  <si>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</si>
  <si>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</si>
  <si>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</si>
  <si>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</si>
  <si>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</si>
  <si>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</si>
  <si>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</si>
  <si>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</si>
  <si>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</si>
  <si>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</si>
  <si>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</si>
  <si>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</si>
  <si>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</si>
  <si>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</si>
  <si>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</si>
  <si>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</si>
  <si>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</si>
  <si>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</si>
  <si>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</si>
  <si>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</si>
  <si>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</si>
  <si>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</si>
  <si>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</si>
  <si>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</si>
  <si>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</si>
  <si>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</si>
  <si>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</si>
  <si>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</si>
  <si>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</si>
  <si>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</si>
  <si>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</si>
  <si>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</si>
  <si>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</si>
  <si>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</si>
  <si>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</si>
  <si>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</si>
  <si>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</si>
  <si>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</si>
  <si>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</si>
  <si>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</si>
  <si>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</si>
  <si>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</si>
  <si>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</si>
  <si>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</si>
  <si>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</si>
  <si>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</si>
  <si>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</si>
  <si>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</si>
  <si>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</si>
  <si>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</si>
  <si>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</si>
  <si>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</si>
  <si>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</si>
  <si>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</si>
  <si>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</si>
  <si>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</si>
  <si>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</si>
  <si>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</si>
  <si>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</si>
  <si>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</si>
  <si>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</si>
  <si>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</si>
  <si>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</si>
  <si>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</si>
  <si>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</si>
  <si>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</si>
  <si>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</si>
  <si>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</si>
  <si>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</si>
  <si>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</si>
  <si>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</si>
  <si>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</si>
  <si>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</si>
  <si>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</si>
  <si>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</si>
  <si>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</si>
  <si>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</si>
  <si>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</si>
  <si>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</si>
  <si>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</si>
  <si>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</si>
  <si>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</si>
  <si>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</si>
  <si>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</si>
  <si>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</si>
  <si>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</si>
  <si>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</si>
  <si>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</si>
  <si>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</si>
  <si>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</si>
  <si>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</si>
  <si>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</si>
  <si>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</si>
  <si>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</si>
  <si>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</si>
  <si>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</si>
  <si>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</si>
  <si>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</si>
  <si>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</si>
  <si>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</si>
  <si>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</si>
  <si>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</si>
  <si>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</si>
  <si>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</si>
  <si>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</si>
  <si>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</si>
  <si>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</si>
  <si>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</si>
  <si>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</si>
  <si>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</si>
  <si>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</si>
  <si>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</si>
  <si>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</si>
  <si>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</si>
  <si>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</si>
  <si>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</si>
  <si>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</si>
  <si>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</si>
  <si>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</si>
  <si>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</si>
  <si>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</si>
  <si>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</si>
  <si>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</si>
  <si>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</si>
  <si>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</si>
  <si>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</si>
  <si>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</si>
  <si>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</si>
  <si>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</si>
  <si>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</si>
  <si>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</si>
  <si>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</si>
  <si>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</si>
  <si>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</si>
  <si>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</si>
  <si>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</si>
  <si>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</si>
  <si>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</si>
  <si>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</si>
  <si>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</si>
  <si>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</si>
  <si>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</si>
  <si>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</si>
  <si>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</si>
  <si>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</si>
  <si>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</si>
  <si>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</si>
  <si>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</si>
  <si>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</si>
  <si>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</si>
  <si>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</si>
  <si>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</si>
  <si>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</si>
  <si>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</si>
  <si>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</si>
  <si>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</si>
  <si>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</si>
  <si>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</si>
  <si>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</si>
  <si>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</si>
  <si>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</si>
  <si>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</si>
  <si>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</si>
  <si>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</si>
  <si>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</si>
  <si>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</si>
  <si>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</si>
  <si>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</si>
  <si>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</si>
  <si>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</si>
  <si>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</si>
  <si>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</si>
  <si>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</si>
  <si>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</si>
  <si>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</si>
  <si>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</si>
  <si>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</si>
  <si>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</si>
  <si>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</si>
  <si>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</si>
  <si>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</si>
  <si>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</si>
  <si>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</si>
  <si>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</si>
  <si>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</si>
  <si>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</si>
  <si>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</si>
  <si>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</si>
  <si>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</si>
  <si>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</si>
  <si>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</si>
  <si>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</si>
  <si>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</si>
  <si>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</si>
  <si>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</si>
  <si>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</si>
  <si>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</si>
  <si>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</si>
  <si>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</si>
  <si>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</si>
  <si>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</si>
  <si>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</si>
  <si>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</si>
  <si>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</si>
  <si>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</si>
  <si>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</si>
  <si>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</si>
  <si>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</si>
  <si>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</si>
  <si>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</si>
  <si>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</si>
  <si>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</si>
  <si>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</si>
  <si>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</si>
  <si>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</si>
  <si>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</si>
  <si>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</si>
  <si>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</si>
  <si>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</si>
  <si>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</si>
  <si>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</si>
  <si>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</si>
  <si>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</si>
  <si>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</si>
  <si>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</si>
  <si>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</si>
  <si>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</si>
  <si>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</si>
  <si>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</si>
  <si>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</si>
  <si>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</si>
  <si>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</si>
  <si>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</si>
  <si>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</si>
  <si>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</si>
  <si>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</si>
  <si>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</si>
  <si>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</si>
  <si>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</si>
  <si>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</si>
  <si>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</si>
  <si>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</si>
  <si>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</si>
  <si>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</si>
  <si>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</si>
  <si>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</si>
  <si>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</si>
  <si>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</si>
  <si>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</si>
  <si>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</si>
  <si>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</si>
  <si>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</si>
  <si>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</si>
  <si>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</si>
  <si>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</si>
  <si>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</si>
  <si>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</si>
  <si>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</si>
  <si>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</si>
  <si>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</si>
  <si>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</si>
  <si>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</si>
  <si>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</si>
  <si>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</si>
  <si>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</si>
  <si>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</si>
  <si>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</si>
  <si>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</si>
  <si>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</si>
  <si>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</si>
  <si>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</si>
  <si>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</si>
  <si>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</si>
  <si>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</si>
  <si>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</si>
  <si>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</si>
  <si>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</si>
  <si>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</si>
  <si>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</si>
  <si>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</si>
  <si>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</si>
  <si>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</si>
  <si>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</si>
  <si>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</si>
  <si>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</si>
  <si>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</si>
  <si>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</si>
  <si>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</si>
  <si>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</si>
  <si>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</si>
  <si>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</si>
  <si>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</si>
  <si>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</si>
  <si>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</si>
  <si>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</si>
  <si>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</si>
  <si>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</si>
  <si>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</si>
  <si>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</si>
  <si>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</si>
  <si>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</si>
  <si>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</si>
  <si>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</si>
  <si>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</si>
  <si>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</si>
  <si>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</si>
  <si>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</si>
  <si>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</si>
  <si>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</si>
  <si>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</si>
  <si>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</si>
  <si>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</si>
  <si>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</si>
  <si>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</si>
  <si>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</si>
  <si>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</si>
  <si>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</si>
  <si>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</si>
  <si>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</si>
  <si>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</si>
  <si>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</si>
  <si>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</si>
  <si>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</si>
  <si>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</si>
  <si>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</si>
  <si>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</si>
  <si>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</si>
  <si>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</si>
  <si>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</si>
  <si>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</si>
  <si>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</si>
  <si>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</si>
  <si>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</si>
  <si>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</si>
  <si>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</si>
  <si>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</si>
  <si>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</si>
  <si>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</si>
  <si>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</si>
  <si>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</si>
  <si>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</si>
  <si>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</si>
  <si>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</si>
  <si>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</si>
  <si>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</si>
  <si>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</si>
  <si>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</si>
  <si>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</si>
  <si>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</si>
  <si>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</si>
  <si>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</si>
  <si>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</si>
  <si>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</si>
  <si>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</si>
  <si>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</si>
  <si>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</si>
  <si>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</si>
  <si>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</si>
  <si>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</si>
  <si>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</si>
  <si>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</si>
  <si>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</si>
  <si>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</si>
  <si>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</si>
  <si>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</si>
  <si>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</si>
  <si>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</si>
  <si>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</si>
  <si>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</si>
  <si>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</si>
  <si>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</si>
  <si>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</si>
  <si>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</si>
  <si>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</si>
  <si>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</si>
  <si>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</si>
  <si>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</si>
  <si>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</si>
  <si>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</si>
  <si>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</si>
  <si>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</si>
  <si>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</si>
  <si>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</si>
  <si>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</si>
  <si>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</si>
  <si>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</si>
  <si>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</si>
  <si>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</si>
  <si>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</si>
  <si>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</si>
  <si>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</si>
  <si>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</si>
  <si>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</si>
  <si>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</si>
  <si>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</si>
  <si>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</si>
  <si>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</si>
  <si>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</si>
  <si>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</si>
  <si>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</si>
  <si>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</si>
  <si>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</si>
  <si>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</si>
  <si>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</si>
  <si>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</si>
  <si>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</si>
  <si>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</si>
  <si>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</si>
  <si>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</si>
  <si>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</si>
  <si>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</si>
  <si>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</si>
  <si>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</si>
  <si>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</si>
  <si>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</si>
  <si>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</si>
  <si>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</si>
  <si>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</si>
  <si>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</si>
  <si>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</si>
  <si>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</si>
  <si>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</si>
  <si>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</si>
  <si>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</si>
  <si>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</si>
  <si>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</si>
  <si>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</si>
  <si>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</si>
  <si>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</si>
  <si>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</si>
  <si>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</si>
  <si>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</si>
  <si>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</si>
  <si>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</si>
  <si>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</si>
  <si>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</si>
  <si>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</si>
  <si>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</si>
  <si>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</si>
  <si>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</si>
  <si>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</si>
  <si>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</si>
  <si>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</si>
  <si>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</si>
  <si>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</si>
  <si>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</si>
  <si>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</si>
  <si>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</si>
  <si>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</si>
  <si>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</si>
  <si>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</si>
  <si>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</si>
  <si>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</si>
  <si>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</si>
  <si>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</si>
  <si>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</si>
  <si>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</si>
  <si>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</si>
  <si>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</si>
  <si>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</si>
  <si>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</si>
  <si>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</si>
  <si>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</si>
  <si>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</si>
  <si>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</si>
  <si>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</si>
  <si>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</si>
  <si>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</si>
  <si>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</si>
  <si>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</si>
  <si>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</si>
  <si>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</si>
  <si>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</si>
  <si>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</si>
  <si>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</si>
  <si>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</si>
  <si>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</si>
  <si>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</si>
  <si>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</si>
  <si>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</si>
  <si>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</si>
  <si>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</si>
  <si>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</si>
  <si>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</si>
  <si>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</si>
  <si>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</si>
  <si>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</si>
  <si>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</si>
  <si>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</si>
  <si>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</si>
  <si>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</si>
  <si>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</si>
  <si>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</si>
  <si>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</si>
  <si>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</si>
  <si>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</si>
  <si>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</si>
  <si>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</si>
  <si>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</si>
  <si>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</si>
  <si>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</si>
  <si>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</si>
  <si>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</si>
  <si>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</si>
  <si>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</si>
  <si>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</si>
  <si>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</si>
  <si>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</si>
  <si>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</si>
  <si>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</si>
  <si>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</si>
  <si>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</si>
  <si>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</si>
  <si>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</si>
  <si>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</si>
  <si>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</si>
  <si>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</si>
  <si>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</si>
  <si>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</si>
  <si>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</si>
  <si>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</si>
  <si>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</si>
  <si>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</si>
  <si>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</si>
  <si>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</si>
  <si>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</si>
  <si>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</si>
  <si>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</si>
  <si>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</si>
  <si>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</si>
  <si>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</si>
  <si>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</si>
  <si>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</si>
  <si>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</si>
  <si>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</si>
  <si>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</si>
  <si>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</si>
  <si>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</si>
  <si>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</si>
  <si>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</si>
  <si>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</si>
  <si>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</si>
  <si>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</si>
  <si>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</si>
  <si>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</si>
  <si>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</si>
  <si>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</si>
  <si>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</si>
  <si>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</si>
  <si>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</si>
  <si>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</si>
  <si>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</si>
  <si>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</si>
  <si>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</si>
  <si>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</si>
  <si>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</si>
  <si>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</si>
  <si>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</si>
  <si>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</si>
  <si>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</si>
  <si>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</si>
  <si>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</si>
  <si>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</si>
  <si>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</si>
  <si>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</si>
  <si>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</si>
  <si>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</si>
  <si>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</si>
  <si>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</si>
  <si>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</si>
  <si>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</si>
  <si>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</si>
  <si>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</si>
  <si>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</si>
  <si>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</si>
  <si>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</si>
  <si>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</si>
  <si>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</si>
  <si>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</si>
  <si>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</si>
  <si>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</si>
  <si>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</si>
  <si>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</si>
  <si>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</si>
  <si>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</si>
  <si>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</si>
  <si>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</si>
  <si>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</si>
  <si>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</si>
  <si>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</si>
  <si>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</si>
  <si>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</si>
  <si>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</si>
  <si>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</si>
  <si>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</si>
  <si>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</si>
  <si>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</si>
  <si>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</si>
  <si>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</si>
  <si>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</si>
  <si>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</si>
  <si>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</si>
  <si>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</si>
  <si>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</si>
  <si>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</si>
  <si>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</si>
  <si>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</si>
  <si>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</si>
  <si>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</si>
  <si>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</si>
  <si>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</si>
  <si>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</si>
  <si>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</si>
  <si>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</si>
  <si>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</si>
  <si>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</si>
  <si>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</si>
  <si>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</si>
  <si>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</si>
  <si>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</si>
  <si>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</si>
  <si>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</si>
  <si>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</si>
  <si>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</si>
  <si>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</si>
  <si>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</si>
  <si>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</si>
  <si>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</si>
  <si>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</si>
  <si>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</si>
  <si>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</si>
  <si>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</si>
  <si>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</si>
  <si>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</si>
  <si>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</si>
  <si>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</si>
  <si>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</si>
  <si>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</si>
  <si>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</si>
  <si>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</si>
  <si>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</si>
  <si>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</si>
  <si>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</si>
  <si>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</si>
  <si>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</si>
  <si>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</si>
  <si>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</si>
  <si>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</si>
  <si>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</si>
  <si>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</si>
  <si>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</si>
  <si>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</si>
  <si>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</si>
  <si>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</si>
  <si>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</si>
  <si>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</si>
  <si>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</si>
  <si>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</si>
  <si>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</si>
  <si>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</si>
  <si>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</si>
  <si>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</si>
  <si>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</si>
  <si>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</si>
  <si>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</si>
  <si>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</si>
  <si>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</si>
  <si>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</si>
  <si>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</si>
  <si>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</si>
  <si>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</si>
  <si>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</si>
  <si>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</si>
  <si>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</si>
  <si>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</si>
  <si>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</si>
  <si>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</si>
  <si>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</si>
  <si>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</si>
  <si>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</si>
  <si>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</si>
  <si>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</si>
  <si>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</si>
  <si>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</si>
  <si>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</si>
  <si>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</si>
  <si>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</si>
  <si>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</si>
  <si>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</si>
  <si>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</si>
  <si>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</si>
  <si>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</si>
  <si>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</si>
  <si>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</si>
  <si>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</si>
  <si>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</si>
  <si>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</si>
  <si>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</si>
  <si>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</si>
  <si>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</si>
  <si>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</si>
  <si>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</si>
  <si>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</si>
  <si>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</si>
  <si>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</si>
  <si>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</si>
  <si>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</si>
  <si>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</si>
  <si>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</si>
  <si>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</si>
  <si>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</si>
  <si>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</si>
  <si>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</si>
  <si>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</si>
  <si>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</si>
  <si>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</si>
  <si>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</si>
  <si>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</si>
  <si>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</si>
  <si>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</si>
  <si>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</si>
  <si>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</si>
  <si>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</si>
  <si>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</si>
  <si>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</si>
  <si>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</si>
  <si>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</si>
  <si>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</si>
  <si>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</si>
  <si>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</si>
  <si>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</si>
  <si>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</si>
  <si>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</si>
  <si>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</si>
  <si>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</si>
  <si>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</si>
  <si>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</si>
  <si>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</si>
  <si>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</si>
  <si>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</si>
  <si>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</si>
  <si>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</si>
  <si>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</si>
  <si>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</si>
  <si>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</si>
  <si>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</si>
  <si>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</si>
  <si>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</si>
  <si>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</si>
  <si>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</si>
  <si>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</si>
  <si>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</si>
  <si>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</si>
  <si>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</si>
  <si>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</si>
  <si>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</si>
  <si>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</si>
  <si>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</si>
  <si>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</si>
  <si>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</si>
  <si>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</si>
  <si>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</si>
  <si>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</si>
  <si>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</si>
  <si>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</si>
  <si>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</si>
  <si>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</si>
  <si>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</si>
  <si>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</si>
  <si>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</si>
  <si>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</si>
  <si>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</si>
  <si>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</si>
  <si>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</si>
  <si>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</si>
  <si>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</si>
  <si>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</si>
  <si>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</si>
  <si>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</si>
  <si>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</si>
  <si>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</si>
  <si>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</si>
  <si>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</si>
  <si>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</si>
  <si>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</si>
  <si>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</si>
  <si>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</si>
  <si>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</si>
  <si>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</si>
  <si>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</si>
  <si>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</si>
  <si>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</si>
  <si>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</si>
  <si>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</si>
  <si>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</si>
  <si>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</si>
  <si>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</si>
  <si>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</si>
  <si>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</si>
  <si>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</si>
  <si>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</si>
  <si>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</si>
  <si>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</si>
  <si>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</si>
  <si>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</si>
  <si>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</si>
  <si>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</si>
  <si>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</si>
  <si>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</si>
  <si>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</si>
  <si>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</si>
  <si>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</si>
  <si>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</si>
  <si>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</si>
  <si>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</si>
  <si>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</si>
  <si>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</si>
  <si>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</si>
  <si>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</si>
  <si>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</si>
  <si>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</si>
  <si>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</si>
  <si>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</si>
  <si>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</si>
  <si>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</si>
  <si>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</si>
  <si>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</si>
  <si>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</si>
  <si>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</si>
  <si>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</si>
  <si>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</si>
  <si>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</si>
  <si>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</si>
  <si>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</si>
  <si>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</si>
  <si>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</si>
  <si>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</si>
  <si>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</si>
  <si>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</si>
  <si>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</si>
  <si>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</si>
  <si>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</si>
  <si>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</si>
  <si>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</si>
  <si>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</si>
  <si>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</si>
  <si>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</si>
  <si>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</si>
  <si>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</si>
  <si>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</si>
  <si>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</si>
  <si>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</si>
  <si>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</si>
  <si>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</si>
  <si>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</si>
  <si>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</si>
  <si>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</si>
  <si>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</si>
  <si>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</si>
  <si>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</si>
  <si>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</si>
  <si>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</si>
  <si>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</si>
  <si>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</si>
  <si>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</si>
  <si>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</si>
  <si>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</si>
  <si>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</si>
  <si>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</si>
  <si>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</si>
  <si>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</si>
  <si>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</si>
  <si>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</si>
  <si>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</si>
  <si>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</si>
  <si>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</si>
  <si>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</si>
  <si>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</si>
  <si>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</si>
  <si>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</si>
  <si>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</si>
  <si>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</si>
  <si>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</si>
  <si>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</si>
  <si>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</si>
  <si>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</si>
  <si>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</si>
  <si>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</si>
  <si>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</si>
  <si>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</si>
  <si>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</si>
  <si>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</si>
  <si>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</si>
  <si>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</si>
  <si>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</si>
  <si>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</si>
  <si>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</si>
  <si>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</si>
  <si>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</si>
  <si>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</si>
  <si>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</si>
  <si>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</si>
  <si>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</si>
  <si>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</si>
  <si>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</si>
  <si>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</si>
  <si>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</si>
  <si>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</si>
  <si>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</si>
  <si>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</si>
  <si>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</si>
  <si>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</si>
  <si>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</si>
  <si>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</si>
  <si>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</si>
  <si>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</si>
  <si>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</si>
  <si>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</si>
  <si>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</si>
  <si>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</si>
  <si>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</si>
  <si>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</si>
  <si>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</si>
  <si>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</si>
  <si>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</si>
  <si>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</si>
  <si>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</si>
  <si>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</si>
  <si>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</si>
  <si>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</si>
  <si>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</si>
  <si>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</si>
  <si>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</si>
  <si>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</si>
  <si>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</si>
  <si>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</si>
  <si>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</si>
  <si>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</si>
  <si>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</si>
  <si>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</si>
  <si>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</si>
  <si>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</si>
  <si>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</si>
  <si>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</si>
  <si>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</si>
  <si>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</si>
  <si>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</si>
  <si>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</si>
  <si>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</si>
  <si>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</si>
  <si>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</si>
  <si>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</si>
  <si>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</si>
  <si>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</si>
  <si>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</si>
  <si>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</si>
  <si>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</si>
  <si>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</si>
  <si>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</si>
  <si>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</si>
  <si>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</si>
  <si>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</si>
  <si>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</si>
  <si>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</si>
  <si>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</si>
  <si>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</si>
  <si>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</si>
  <si>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</si>
  <si>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</si>
  <si>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</si>
  <si>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</si>
  <si>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</si>
  <si>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</si>
  <si>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</si>
  <si>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</si>
  <si>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</si>
  <si>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</si>
  <si>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</si>
  <si>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</si>
  <si>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</si>
  <si>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</si>
  <si>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</si>
  <si>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</si>
  <si>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</si>
  <si>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</si>
  <si>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</si>
  <si>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</si>
  <si>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</si>
  <si>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</si>
  <si>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</si>
  <si>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</si>
  <si>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</si>
  <si>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</si>
  <si>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</si>
  <si>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</si>
  <si>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</si>
  <si>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</si>
  <si>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</si>
  <si>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</si>
  <si>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</si>
  <si>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</si>
  <si>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</si>
  <si>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</si>
  <si>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</si>
  <si>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</si>
  <si>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</si>
  <si>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</si>
  <si>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</si>
  <si>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</si>
  <si>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Litchfield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</si>
</sst>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315</v>
      </c>
      <c r="C2" s="21">
        <v>315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1625558.19</v>
      </c>
      <c r="G9" s="18">
        <v>-161707.20000000001</v>
      </c>
      <c r="H9" s="18">
        <v>-20853.52</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61533.65</v>
      </c>
      <c r="G12" s="18">
        <v>194510.39</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394123</v>
      </c>
      <c r="G13" s="18">
        <v>2782</v>
      </c>
      <c r="H13" s="18">
        <v>92483.75</v>
      </c>
      <c r="I13" s="18"/>
      <c r="J13" s="67">
        <f>SUM(I443)</f>
        <v>472697.98</v>
      </c>
      <c r="K13" s="24" t="s">
        <v>288</v>
      </c>
      <c r="L13" s="24" t="s">
        <v>288</v>
      </c>
      <c r="M13" s="8"/>
      <c r="N13" s="266"/>
    </row>
    <row r="14" spans="1:14" s="3" customFormat="1" ht="12.2" customHeight="1" x14ac:dyDescent="0.15">
      <c r="A14" s="1" t="s">
        <v>565</v>
      </c>
      <c r="B14" s="2" t="s">
        <v>289</v>
      </c>
      <c r="C14" s="6">
        <v>6</v>
      </c>
      <c r="D14" s="2" t="s">
        <v>428</v>
      </c>
      <c r="E14" s="6">
        <v>150</v>
      </c>
      <c r="F14" s="18">
        <f>517.07+4415.79</f>
        <v>4932.8599999999997</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2086147.7</v>
      </c>
      <c r="G19" s="41">
        <f>SUM(G9:G18)</f>
        <v>35585.19</v>
      </c>
      <c r="H19" s="41">
        <f>SUM(H9:H18)</f>
        <v>71630.23</v>
      </c>
      <c r="I19" s="41">
        <f>SUM(I9:I18)</f>
        <v>0</v>
      </c>
      <c r="J19" s="41">
        <f>SUM(J9:J18)</f>
        <v>472697.98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196154.75</v>
      </c>
      <c r="G22" s="18"/>
      <c r="H22" s="18">
        <v>59890.29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53224.53</f>
        <v>53224.53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542308.81000000006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11120.93</v>
      </c>
      <c r="G30" s="18">
        <v>35585.19</v>
      </c>
      <c r="H30" s="18">
        <v>11739.94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802809.02000000014</v>
      </c>
      <c r="G32" s="41">
        <f>SUM(G22:G31)</f>
        <v>35585.19</v>
      </c>
      <c r="H32" s="41">
        <f>SUM(H22:H31)</f>
        <v>71630.23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219000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472697.98</v>
      </c>
      <c r="K48" s="24" t="s">
        <v>288</v>
      </c>
      <c r="L48" s="24" t="s">
        <v>288</v>
      </c>
      <c r="M48" s="8"/>
      <c r="N48" s="266"/>
    </row>
    <row r="49" spans="1:14" s="3" customFormat="1" ht="12.2" customHeight="1" x14ac:dyDescent="0.15">
      <c r="A49" s="1" t="s">
        <v>859</v>
      </c>
      <c r="B49" s="2" t="s">
        <v>289</v>
      </c>
      <c r="C49" s="6">
        <v>34</v>
      </c>
      <c r="D49" s="2"/>
      <c r="E49" s="6">
        <v>753</v>
      </c>
      <c r="F49" s="18">
        <v>355562.01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-0.33+708777</f>
        <v>708776.67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1283338.6800000002</v>
      </c>
      <c r="G51" s="41">
        <f>SUM(G35:G50)</f>
        <v>0</v>
      </c>
      <c r="H51" s="41">
        <f>SUM(H35:H50)</f>
        <v>0</v>
      </c>
      <c r="I51" s="41">
        <f>SUM(I35:I50)</f>
        <v>0</v>
      </c>
      <c r="J51" s="41">
        <f>SUM(J35:J50)</f>
        <v>472697.98</v>
      </c>
      <c r="K51" s="45" t="s">
        <v>288</v>
      </c>
      <c r="L51" s="45" t="s">
        <v>288</v>
      </c>
      <c r="N51" s="264"/>
    </row>
    <row r="52" spans="1:14" s="3" customFormat="1" ht="12.2" customHeight="1" thickTop="1" x14ac:dyDescent="0.15">
      <c r="A52" s="38" t="s">
        <v>455</v>
      </c>
      <c r="B52" s="39" t="s">
        <v>289</v>
      </c>
      <c r="C52" s="6">
        <v>37</v>
      </c>
      <c r="D52" s="39" t="s">
        <v>653</v>
      </c>
      <c r="E52" s="39"/>
      <c r="F52" s="41">
        <f>F51+F32</f>
        <v>2086147.7000000002</v>
      </c>
      <c r="G52" s="41">
        <f>G51+G32</f>
        <v>35585.19</v>
      </c>
      <c r="H52" s="41">
        <f>H51+H32</f>
        <v>71630.23</v>
      </c>
      <c r="I52" s="41">
        <f>I51+I32</f>
        <v>0</v>
      </c>
      <c r="J52" s="41">
        <f>J51+J32</f>
        <v>472697.98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14034770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14034770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42750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42750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2253.35</v>
      </c>
      <c r="G96" s="18"/>
      <c r="H96" s="18"/>
      <c r="I96" s="18"/>
      <c r="J96" s="18">
        <v>2141.0700000000002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f>-0.59+224134.09</f>
        <v>224133.5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63172.800000000003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43465.31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45718.659999999996</v>
      </c>
      <c r="G111" s="41">
        <f>SUM(G96:G110)</f>
        <v>224133.5</v>
      </c>
      <c r="H111" s="41">
        <f>SUM(H96:H110)</f>
        <v>63172.800000000003</v>
      </c>
      <c r="I111" s="41">
        <f>SUM(I96:I110)</f>
        <v>0</v>
      </c>
      <c r="J111" s="41">
        <f>SUM(J96:J110)</f>
        <v>2141.0700000000002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14123238.66</v>
      </c>
      <c r="G112" s="41">
        <f>G60+G111</f>
        <v>224133.5</v>
      </c>
      <c r="H112" s="41">
        <f>H60+H79+H94+H111</f>
        <v>63172.800000000003</v>
      </c>
      <c r="I112" s="41">
        <f>I60+I111</f>
        <v>0</v>
      </c>
      <c r="J112" s="41">
        <f>J60+J111</f>
        <v>2141.0700000000002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5551369.5099999998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2005996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2923.18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7560288.6899999995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143891.54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11760.97</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5645.67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44183.199999999997</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155652.51</v>
      </c>
      <c r="G136" s="41">
        <f>SUM(G123:G135)</f>
        <v>5645.67</v>
      </c>
      <c r="H136" s="41">
        <f>SUM(H123:H135)</f>
        <v>44183.199999999997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7715941.1999999993</v>
      </c>
      <c r="G140" s="41">
        <f>G121+SUM(G136:G137)</f>
        <v>5645.67</v>
      </c>
      <c r="H140" s="41">
        <f>H121+SUM(H136:H139)</f>
        <v>44183.199999999997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74270.38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506278.65-74270.38-383265.8</f>
        <v>48742.47000000003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69828.36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383265.8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22377.55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33122</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22377.55</v>
      </c>
      <c r="G163" s="41">
        <f>SUM(G150:G162)</f>
        <v>102950.36</v>
      </c>
      <c r="H163" s="41">
        <f>SUM(H150:H162)</f>
        <v>506278.65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22377.55</v>
      </c>
      <c r="G170" s="41">
        <f>G147+G163+SUM(G164:G169)</f>
        <v>102950.36</v>
      </c>
      <c r="H170" s="41">
        <f>H147+H163+SUM(H164:H169)</f>
        <v>506278.65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154159.75</v>
      </c>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154159.75</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154159.75</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21861557.41</v>
      </c>
      <c r="G194" s="47">
        <f>G112+G140+G170+G193</f>
        <v>486889.28</v>
      </c>
      <c r="H194" s="47">
        <f>H112+H140+H170+H193</f>
        <v>613634.65</v>
      </c>
      <c r="I194" s="47">
        <f>I112+I140+I170+I193</f>
        <v>0</v>
      </c>
      <c r="J194" s="47">
        <f>J112+J140+J193</f>
        <v>102141.07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1987385.29</v>
      </c>
      <c r="G198" s="18">
        <v>921526.94</v>
      </c>
      <c r="H198" s="18">
        <v>13177.89</v>
      </c>
      <c r="I198" s="18">
        <v>59023.83</v>
      </c>
      <c r="J198" s="18">
        <v>11962.92</v>
      </c>
      <c r="K198" s="18">
        <v>290</v>
      </c>
      <c r="L198" s="19">
        <f>SUM(F198:K198)</f>
        <v>2993366.87</v>
      </c>
      <c r="M198" s="8"/>
      <c r="N198" s="266"/>
    </row>
    <row r="199" spans="1:14" s="3" customFormat="1" ht="12.2" customHeight="1" x14ac:dyDescent="0.15">
      <c r="A199" s="1" t="s">
        <v>439</v>
      </c>
      <c r="B199" s="2" t="s">
        <v>341</v>
      </c>
      <c r="C199" s="2" t="s">
        <v>291</v>
      </c>
      <c r="D199" s="2" t="s">
        <v>431</v>
      </c>
      <c r="E199" s="6">
        <v>1200</v>
      </c>
      <c r="F199" s="18">
        <v>852536.81</v>
      </c>
      <c r="G199" s="18">
        <v>243926.52</v>
      </c>
      <c r="H199" s="18">
        <v>219017.13</v>
      </c>
      <c r="I199" s="18">
        <v>3602.12</v>
      </c>
      <c r="J199" s="18">
        <v>1275.98</v>
      </c>
      <c r="K199" s="18">
        <v>3068.07</v>
      </c>
      <c r="L199" s="19">
        <f>SUM(F199:K199)</f>
        <v>1323426.6300000001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23058.86</v>
      </c>
      <c r="G201" s="18">
        <v>5510.92</v>
      </c>
      <c r="H201" s="18">
        <v>0</v>
      </c>
      <c r="I201" s="18">
        <v>2617.11</v>
      </c>
      <c r="J201" s="18">
        <v>0</v>
      </c>
      <c r="K201" s="18">
        <v>759</v>
      </c>
      <c r="L201" s="19">
        <f>SUM(F201:K201)</f>
        <v>31945.89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316081.94</v>
      </c>
      <c r="G203" s="18">
        <v>128124.17</v>
      </c>
      <c r="H203" s="18">
        <v>19782.03</v>
      </c>
      <c r="I203" s="18">
        <v>5913.35</v>
      </c>
      <c r="J203" s="18">
        <v>449.57</v>
      </c>
      <c r="K203" s="18">
        <v>179</v>
      </c>
      <c r="L203" s="19">
        <f t="shared" ref="L203:L209" si="0">SUM(F203:K203)</f>
        <v>470530.06</v>
      </c>
      <c r="M203" s="8"/>
      <c r="N203" s="266"/>
    </row>
    <row r="204" spans="1:14" s="3" customFormat="1" ht="12.2" customHeight="1" x14ac:dyDescent="0.15">
      <c r="A204" s="1" t="s">
        <v>443</v>
      </c>
      <c r="B204" s="2" t="s">
        <v>341</v>
      </c>
      <c r="C204" s="2" t="s">
        <v>295</v>
      </c>
      <c r="D204" s="2" t="s">
        <v>431</v>
      </c>
      <c r="E204" s="6">
        <v>2200</v>
      </c>
      <c r="F204" s="18">
        <v>118339.75</v>
      </c>
      <c r="G204" s="18">
        <v>62573.98</v>
      </c>
      <c r="H204" s="18">
        <v>3645</v>
      </c>
      <c r="I204" s="18">
        <v>32404.71</v>
      </c>
      <c r="J204" s="18">
        <v>7755.47</v>
      </c>
      <c r="K204" s="18">
        <v>459.16</v>
      </c>
      <c r="L204" s="19">
        <f t="shared" si="0"/>
        <v>225178.07</v>
      </c>
      <c r="M204" s="8"/>
      <c r="N204" s="266"/>
    </row>
    <row r="205" spans="1:14" s="3" customFormat="1" ht="12.2" customHeight="1" x14ac:dyDescent="0.15">
      <c r="A205" s="1" t="s">
        <v>444</v>
      </c>
      <c r="B205" s="2" t="s">
        <v>341</v>
      </c>
      <c r="C205" s="2" t="s">
        <v>296</v>
      </c>
      <c r="D205" s="2" t="s">
        <v>431</v>
      </c>
      <c r="E205" s="6">
        <v>2300</v>
      </c>
      <c r="F205" s="18">
        <v>153151.56</v>
      </c>
      <c r="G205" s="18">
        <v>59413.73</v>
      </c>
      <c r="H205" s="18">
        <v>34197.199999999997</v>
      </c>
      <c r="I205" s="18">
        <v>1097.4100000000001</v>
      </c>
      <c r="J205" s="18">
        <v>32.770000000000003</v>
      </c>
      <c r="K205" s="18">
        <v>5489.79</v>
      </c>
      <c r="L205" s="19">
        <f t="shared" si="0"/>
        <v>253382.46</v>
      </c>
      <c r="M205" s="8"/>
      <c r="N205" s="266"/>
    </row>
    <row r="206" spans="1:14" s="3" customFormat="1" ht="12.2" customHeight="1" x14ac:dyDescent="0.15">
      <c r="A206" s="1" t="s">
        <v>445</v>
      </c>
      <c r="B206" s="2" t="s">
        <v>341</v>
      </c>
      <c r="C206" s="2" t="s">
        <v>297</v>
      </c>
      <c r="D206" s="2" t="s">
        <v>431</v>
      </c>
      <c r="E206" s="6">
        <v>2400</v>
      </c>
      <c r="F206" s="18">
        <v>306410.8</v>
      </c>
      <c r="G206" s="18">
        <v>147629.25</v>
      </c>
      <c r="H206" s="18">
        <v>3213.57</v>
      </c>
      <c r="I206" s="18">
        <v>1164.28</v>
      </c>
      <c r="J206" s="18">
        <v>0</v>
      </c>
      <c r="K206" s="18">
        <v>2491.1799999999998</v>
      </c>
      <c r="L206" s="19">
        <f t="shared" si="0"/>
        <v>460909.08</v>
      </c>
      <c r="M206" s="8"/>
      <c r="N206" s="266"/>
    </row>
    <row r="207" spans="1:14" s="3" customFormat="1" ht="12.2" customHeight="1" x14ac:dyDescent="0.15">
      <c r="A207" s="1" t="s">
        <v>446</v>
      </c>
      <c r="B207" s="2" t="s">
        <v>341</v>
      </c>
      <c r="C207" s="2" t="s">
        <v>298</v>
      </c>
      <c r="D207" s="2" t="s">
        <v>431</v>
      </c>
      <c r="E207" s="6">
        <v>2500</v>
      </c>
      <c r="F207" s="18">
        <v>71024.53</v>
      </c>
      <c r="G207" s="18">
        <v>35622.480000000003</v>
      </c>
      <c r="H207" s="18">
        <v>17652.02</v>
      </c>
      <c r="I207" s="18">
        <v>376.72</v>
      </c>
      <c r="J207" s="18">
        <v>0</v>
      </c>
      <c r="K207" s="18">
        <v>678</v>
      </c>
      <c r="L207" s="19">
        <f t="shared" si="0"/>
        <v>125353.75000000001</v>
      </c>
      <c r="M207" s="8"/>
      <c r="N207" s="266"/>
    </row>
    <row r="208" spans="1:14" s="3" customFormat="1" ht="12.2" customHeight="1" x14ac:dyDescent="0.15">
      <c r="A208" s="1" t="s">
        <v>447</v>
      </c>
      <c r="B208" s="2" t="s">
        <v>341</v>
      </c>
      <c r="C208" s="2" t="s">
        <v>299</v>
      </c>
      <c r="D208" s="2" t="s">
        <v>431</v>
      </c>
      <c r="E208" s="6">
        <v>2600</v>
      </c>
      <c r="F208" s="18">
        <v>165159.44</v>
      </c>
      <c r="G208" s="18">
        <v>74466.929999999993</v>
      </c>
      <c r="H208" s="18">
        <v>195612.73</v>
      </c>
      <c r="I208" s="18">
        <v>143512.81</v>
      </c>
      <c r="J208" s="18">
        <v>14733.35</v>
      </c>
      <c r="K208" s="18">
        <v>0</v>
      </c>
      <c r="L208" s="19">
        <f t="shared" si="0"/>
        <v>593485.25999999989</v>
      </c>
      <c r="M208" s="8"/>
      <c r="N208" s="266"/>
    </row>
    <row r="209" spans="1:14" s="3" customFormat="1" ht="12.2" customHeight="1" x14ac:dyDescent="0.15">
      <c r="A209" s="1" t="s">
        <v>448</v>
      </c>
      <c r="B209" s="2" t="s">
        <v>341</v>
      </c>
      <c r="C209" s="2" t="s">
        <v>300</v>
      </c>
      <c r="D209" s="2" t="s">
        <v>431</v>
      </c>
      <c r="E209" s="6">
        <v>2700</v>
      </c>
      <c r="F209" s="18">
        <v>0</v>
      </c>
      <c r="G209" s="18">
        <v>0</v>
      </c>
      <c r="H209" s="18">
        <v>313196.21999999997</v>
      </c>
      <c r="I209" s="18">
        <v>0</v>
      </c>
      <c r="J209" s="18">
        <v>0</v>
      </c>
      <c r="K209" s="18">
        <v>0</v>
      </c>
      <c r="L209" s="19">
        <f t="shared" si="0"/>
        <v>313196.21999999997</v>
      </c>
      <c r="M209" s="8"/>
      <c r="N209" s="266"/>
    </row>
    <row r="210" spans="1:14" s="3" customFormat="1" ht="12.2" customHeight="1" x14ac:dyDescent="0.15">
      <c r="A210" s="1" t="s">
        <v>449</v>
      </c>
      <c r="B210" s="2" t="s">
        <v>341</v>
      </c>
      <c r="C210" s="2" t="s">
        <v>343</v>
      </c>
      <c r="D210" s="2" t="s">
        <v>431</v>
      </c>
      <c r="E210" s="6">
        <v>2800</v>
      </c>
      <c r="F210" s="18">
        <v>107051.87</v>
      </c>
      <c r="G210" s="18">
        <v>49956.85</v>
      </c>
      <c r="H210" s="18">
        <v>48093.8</v>
      </c>
      <c r="I210" s="18">
        <v>18563.29</v>
      </c>
      <c r="J210" s="18">
        <v>64585.15</v>
      </c>
      <c r="K210" s="18">
        <v>478.93</v>
      </c>
      <c r="L210" s="19">
        <f>SUM(F210:K210)</f>
        <v>288729.89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4100200.8499999996</v>
      </c>
      <c r="G212" s="41">
        <f t="shared" si="1"/>
        <v>1728751.7699999998</v>
      </c>
      <c r="H212" s="41">
        <f t="shared" si="1"/>
        <v>867587.59000000008</v>
      </c>
      <c r="I212" s="41">
        <f t="shared" si="1"/>
        <v>268275.63</v>
      </c>
      <c r="J212" s="41">
        <f t="shared" si="1"/>
        <v>100795.20999999999</v>
      </c>
      <c r="K212" s="41">
        <f t="shared" si="1"/>
        <v>13893.130000000001</v>
      </c>
      <c r="L212" s="41">
        <f t="shared" si="1"/>
        <v>7079504.1799999988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1836418.65</v>
      </c>
      <c r="G216" s="18">
        <v>891174.03</v>
      </c>
      <c r="H216" s="18">
        <v>4032.59</v>
      </c>
      <c r="I216" s="18">
        <v>55271.66</v>
      </c>
      <c r="J216" s="18">
        <v>3296.82</v>
      </c>
      <c r="K216" s="18">
        <v>0</v>
      </c>
      <c r="L216" s="19">
        <f>SUM(F216:K216)</f>
        <v>2790193.7499999995</v>
      </c>
      <c r="M216" s="8"/>
      <c r="N216" s="266"/>
    </row>
    <row r="217" spans="1:14" s="3" customFormat="1" ht="12.2" customHeight="1" x14ac:dyDescent="0.15">
      <c r="A217" s="1" t="s">
        <v>439</v>
      </c>
      <c r="B217" s="2" t="s">
        <v>346</v>
      </c>
      <c r="C217" s="2" t="s">
        <v>291</v>
      </c>
      <c r="D217" s="2" t="s">
        <v>431</v>
      </c>
      <c r="E217" s="6">
        <v>1200</v>
      </c>
      <c r="F217" s="18">
        <v>665089.46</v>
      </c>
      <c r="G217" s="18">
        <v>135769.38</v>
      </c>
      <c r="H217" s="18">
        <v>165926.79999999999</v>
      </c>
      <c r="I217" s="18">
        <v>318.24</v>
      </c>
      <c r="J217" s="18">
        <v>3416.37</v>
      </c>
      <c r="K217" s="18">
        <v>1814.73</v>
      </c>
      <c r="L217" s="19">
        <f>SUM(F217:K217)</f>
        <v>972334.97999999986</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70704.33</v>
      </c>
      <c r="H219" s="18">
        <v>156.05000000000001</v>
      </c>
      <c r="I219" s="18">
        <v>3416</v>
      </c>
      <c r="J219" s="18">
        <v>5077.0600000000004</v>
      </c>
      <c r="K219" s="18">
        <v>855</v>
      </c>
      <c r="L219" s="19">
        <f>SUM(F219:K219)</f>
        <v>80208.44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206284.82</v>
      </c>
      <c r="G221" s="18">
        <v>311801.24</v>
      </c>
      <c r="H221" s="18">
        <v>16777.36</v>
      </c>
      <c r="I221" s="18">
        <v>2009.89</v>
      </c>
      <c r="J221" s="18">
        <v>996.2</v>
      </c>
      <c r="K221" s="18">
        <v>0</v>
      </c>
      <c r="L221" s="19">
        <f t="shared" ref="L221:L227" si="2">SUM(F221:K221)</f>
        <v>537869.51</v>
      </c>
      <c r="M221" s="8"/>
      <c r="N221" s="266"/>
    </row>
    <row r="222" spans="1:14" s="3" customFormat="1" ht="12.2" customHeight="1" x14ac:dyDescent="0.15">
      <c r="A222" s="1" t="s">
        <v>443</v>
      </c>
      <c r="B222" s="2" t="s">
        <v>346</v>
      </c>
      <c r="C222" s="2" t="s">
        <v>295</v>
      </c>
      <c r="D222" s="2" t="s">
        <v>431</v>
      </c>
      <c r="E222" s="6">
        <v>2200</v>
      </c>
      <c r="F222" s="18">
        <v>106602.18</v>
      </c>
      <c r="G222" s="18">
        <v>69911.289999999994</v>
      </c>
      <c r="H222" s="18">
        <v>14054.23</v>
      </c>
      <c r="I222" s="18">
        <v>19745.810000000001</v>
      </c>
      <c r="J222" s="18">
        <v>32855.11</v>
      </c>
      <c r="K222" s="18">
        <v>382.15</v>
      </c>
      <c r="L222" s="19">
        <f t="shared" si="2"/>
        <v>243550.77</v>
      </c>
      <c r="M222" s="8"/>
      <c r="N222" s="266"/>
    </row>
    <row r="223" spans="1:14" s="3" customFormat="1" ht="12.2" customHeight="1" x14ac:dyDescent="0.15">
      <c r="A223" s="1" t="s">
        <v>444</v>
      </c>
      <c r="B223" s="2" t="s">
        <v>346</v>
      </c>
      <c r="C223" s="2" t="s">
        <v>296</v>
      </c>
      <c r="D223" s="2" t="s">
        <v>431</v>
      </c>
      <c r="E223" s="6">
        <v>2300</v>
      </c>
      <c r="F223" s="18">
        <v>127465.76</v>
      </c>
      <c r="G223" s="18">
        <v>49449.16</v>
      </c>
      <c r="H223" s="18">
        <v>28461.82</v>
      </c>
      <c r="I223" s="18">
        <v>913.36</v>
      </c>
      <c r="J223" s="18">
        <v>27.27</v>
      </c>
      <c r="K223" s="18">
        <v>4569.07</v>
      </c>
      <c r="L223" s="19">
        <f t="shared" si="2"/>
        <v>210886.43999999997</v>
      </c>
      <c r="M223" s="8"/>
      <c r="N223" s="266"/>
    </row>
    <row r="224" spans="1:14" s="3" customFormat="1" ht="12.2" customHeight="1" x14ac:dyDescent="0.15">
      <c r="A224" s="1" t="s">
        <v>445</v>
      </c>
      <c r="B224" s="2" t="s">
        <v>346</v>
      </c>
      <c r="C224" s="2" t="s">
        <v>297</v>
      </c>
      <c r="D224" s="2" t="s">
        <v>431</v>
      </c>
      <c r="E224" s="6">
        <v>2400</v>
      </c>
      <c r="F224" s="18">
        <v>291228.19</v>
      </c>
      <c r="G224" s="18">
        <v>130158.47</v>
      </c>
      <c r="H224" s="18">
        <v>2951.52</v>
      </c>
      <c r="I224" s="18">
        <v>2081.9499999999998</v>
      </c>
      <c r="J224" s="18">
        <v>0</v>
      </c>
      <c r="K224" s="18">
        <v>2995.5</v>
      </c>
      <c r="L224" s="19">
        <f t="shared" si="2"/>
        <v>429415.63000000006</v>
      </c>
      <c r="M224" s="8"/>
      <c r="N224" s="266"/>
    </row>
    <row r="225" spans="1:14" s="3" customFormat="1" ht="12.2" customHeight="1" x14ac:dyDescent="0.15">
      <c r="A225" s="1" t="s">
        <v>446</v>
      </c>
      <c r="B225" s="2" t="s">
        <v>346</v>
      </c>
      <c r="C225" s="2" t="s">
        <v>298</v>
      </c>
      <c r="D225" s="2" t="s">
        <v>431</v>
      </c>
      <c r="E225" s="6">
        <v>2500</v>
      </c>
      <c r="F225" s="18">
        <v>59112.66</v>
      </c>
      <c r="G225" s="18">
        <v>29648.06</v>
      </c>
      <c r="H225" s="18">
        <v>14691.52</v>
      </c>
      <c r="I225" s="18">
        <v>313.54000000000002</v>
      </c>
      <c r="J225" s="18">
        <v>0</v>
      </c>
      <c r="K225" s="18">
        <v>564.29</v>
      </c>
      <c r="L225" s="19">
        <f t="shared" si="2"/>
        <v>104330.06999999999</v>
      </c>
      <c r="M225" s="8"/>
      <c r="N225" s="266"/>
    </row>
    <row r="226" spans="1:14" s="3" customFormat="1" ht="12.2" customHeight="1" x14ac:dyDescent="0.15">
      <c r="A226" s="1" t="s">
        <v>447</v>
      </c>
      <c r="B226" s="2" t="s">
        <v>346</v>
      </c>
      <c r="C226" s="2" t="s">
        <v>299</v>
      </c>
      <c r="D226" s="2" t="s">
        <v>431</v>
      </c>
      <c r="E226" s="6">
        <v>2600</v>
      </c>
      <c r="F226" s="18">
        <v>204458.37</v>
      </c>
      <c r="G226" s="18">
        <v>84287.44</v>
      </c>
      <c r="H226" s="18">
        <v>182863.34</v>
      </c>
      <c r="I226" s="18">
        <v>71984.850000000006</v>
      </c>
      <c r="J226" s="18">
        <v>86335.37</v>
      </c>
      <c r="K226" s="18">
        <v>0</v>
      </c>
      <c r="L226" s="19">
        <f t="shared" si="2"/>
        <v>629929.37</v>
      </c>
      <c r="M226" s="8"/>
      <c r="N226" s="266"/>
    </row>
    <row r="227" spans="1:14" s="3" customFormat="1" ht="12.2" customHeight="1" x14ac:dyDescent="0.15">
      <c r="A227" s="1" t="s">
        <v>448</v>
      </c>
      <c r="B227" s="2" t="s">
        <v>346</v>
      </c>
      <c r="C227" s="2" t="s">
        <v>300</v>
      </c>
      <c r="D227" s="2" t="s">
        <v>431</v>
      </c>
      <c r="E227" s="6">
        <v>2700</v>
      </c>
      <c r="F227" s="18">
        <v>0</v>
      </c>
      <c r="G227" s="18">
        <v>0</v>
      </c>
      <c r="H227" s="18">
        <v>260701.01</v>
      </c>
      <c r="I227" s="18">
        <v>0</v>
      </c>
      <c r="J227" s="18">
        <v>0</v>
      </c>
      <c r="K227" s="18">
        <v>0</v>
      </c>
      <c r="L227" s="19">
        <f t="shared" si="2"/>
        <v>260701.01</v>
      </c>
      <c r="M227" s="8"/>
      <c r="N227" s="266"/>
    </row>
    <row r="228" spans="1:14" s="3" customFormat="1" ht="12.2" customHeight="1" x14ac:dyDescent="0.15">
      <c r="A228" s="1" t="s">
        <v>449</v>
      </c>
      <c r="B228" s="2" t="s">
        <v>346</v>
      </c>
      <c r="C228" s="2" t="s">
        <v>343</v>
      </c>
      <c r="D228" s="2" t="s">
        <v>431</v>
      </c>
      <c r="E228" s="6">
        <v>2800</v>
      </c>
      <c r="F228" s="18">
        <v>89097.68</v>
      </c>
      <c r="G228" s="18">
        <v>41578.35</v>
      </c>
      <c r="H228" s="18">
        <v>45446.95</v>
      </c>
      <c r="I228" s="18">
        <v>9141.2199999999993</v>
      </c>
      <c r="J228" s="18">
        <v>60872.09</v>
      </c>
      <c r="K228" s="18">
        <v>398.6</v>
      </c>
      <c r="L228" s="19">
        <f>SUM(F228:K228)</f>
        <v>246534.88999999998</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3585757.77</v>
      </c>
      <c r="G230" s="41">
        <f>SUM(G216:G229)</f>
        <v>1814481.75</v>
      </c>
      <c r="H230" s="41">
        <f>SUM(H216:H229)</f>
        <v>736063.19</v>
      </c>
      <c r="I230" s="41">
        <f>SUM(I216:I229)</f>
        <v>165196.51999999999</v>
      </c>
      <c r="J230" s="41">
        <f>SUM(J216:J229)</f>
        <v>192876.28999999998</v>
      </c>
      <c r="K230" s="41">
        <f t="shared" si="3"/>
        <v>11579.340000000002</v>
      </c>
      <c r="L230" s="41">
        <f t="shared" si="3"/>
        <v>6505954.8599999994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1871097.1</v>
      </c>
      <c r="G234" s="18">
        <v>769468.91</v>
      </c>
      <c r="H234" s="18">
        <v>18921.509999999998</v>
      </c>
      <c r="I234" s="18">
        <v>64273.39</v>
      </c>
      <c r="J234" s="18">
        <v>38242.199999999997</v>
      </c>
      <c r="K234" s="18">
        <v>3044.98</v>
      </c>
      <c r="L234" s="19">
        <f>SUM(F234:K234)</f>
        <v>2765048.0900000003</v>
      </c>
      <c r="M234" s="8"/>
      <c r="N234" s="266"/>
    </row>
    <row r="235" spans="1:14" s="3" customFormat="1" ht="12.2" customHeight="1" x14ac:dyDescent="0.15">
      <c r="A235" s="1" t="s">
        <v>439</v>
      </c>
      <c r="B235" s="2" t="s">
        <v>350</v>
      </c>
      <c r="C235" s="2" t="s">
        <v>291</v>
      </c>
      <c r="D235" s="2" t="s">
        <v>431</v>
      </c>
      <c r="E235" s="6">
        <v>1200</v>
      </c>
      <c r="F235" s="18">
        <v>525204.24</v>
      </c>
      <c r="G235" s="18">
        <v>183253.39</v>
      </c>
      <c r="H235" s="18">
        <v>156619.68</v>
      </c>
      <c r="I235" s="18">
        <v>1922.08</v>
      </c>
      <c r="J235" s="18">
        <v>5756.48</v>
      </c>
      <c r="K235" s="18">
        <v>1887.22</v>
      </c>
      <c r="L235" s="19">
        <f>SUM(F235:K235)</f>
        <v>874643.09</v>
      </c>
      <c r="M235" s="8"/>
      <c r="N235" s="266"/>
    </row>
    <row r="236" spans="1:14" s="3" customFormat="1" ht="12.2" customHeight="1" x14ac:dyDescent="0.15">
      <c r="A236" s="1" t="s">
        <v>440</v>
      </c>
      <c r="B236" s="2" t="s">
        <v>350</v>
      </c>
      <c r="C236" s="2" t="s">
        <v>292</v>
      </c>
      <c r="D236" s="2" t="s">
        <v>431</v>
      </c>
      <c r="E236" s="6">
        <v>1300</v>
      </c>
      <c r="F236" s="18">
        <v>0</v>
      </c>
      <c r="G236" s="18">
        <v>0</v>
      </c>
      <c r="H236" s="18">
        <v>57398.01</v>
      </c>
      <c r="I236" s="18">
        <v>0</v>
      </c>
      <c r="J236" s="18">
        <v>0</v>
      </c>
      <c r="K236" s="18">
        <v>0</v>
      </c>
      <c r="L236" s="19">
        <f>SUM(F236:K236)</f>
        <v>57398.01</v>
      </c>
      <c r="M236" s="8"/>
      <c r="N236" s="266"/>
    </row>
    <row r="237" spans="1:14" s="3" customFormat="1" ht="12.2" customHeight="1" x14ac:dyDescent="0.15">
      <c r="A237" s="1" t="s">
        <v>441</v>
      </c>
      <c r="B237" s="2" t="s">
        <v>350</v>
      </c>
      <c r="C237" s="2" t="s">
        <v>293</v>
      </c>
      <c r="D237" s="2" t="s">
        <v>431</v>
      </c>
      <c r="E237" s="6">
        <v>1400</v>
      </c>
      <c r="F237" s="18">
        <v>241190.23</v>
      </c>
      <c r="G237" s="18">
        <v>65292.75</v>
      </c>
      <c r="H237" s="18">
        <v>47311.28</v>
      </c>
      <c r="I237" s="18">
        <v>52085.04</v>
      </c>
      <c r="J237" s="18">
        <v>962</v>
      </c>
      <c r="K237" s="18">
        <v>26786.99</v>
      </c>
      <c r="L237" s="19">
        <f>SUM(F237:K237)</f>
        <v>433628.29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515429.43</v>
      </c>
      <c r="G239" s="18">
        <v>178132.26</v>
      </c>
      <c r="H239" s="18">
        <v>43234.62</v>
      </c>
      <c r="I239" s="18">
        <v>7037.96</v>
      </c>
      <c r="J239" s="18">
        <v>955.51</v>
      </c>
      <c r="K239" s="18">
        <v>922.03</v>
      </c>
      <c r="L239" s="19">
        <f t="shared" ref="L239:L245" si="4">SUM(F239:K239)</f>
        <v>745711.80999999994</v>
      </c>
      <c r="M239" s="8"/>
      <c r="N239" s="266"/>
    </row>
    <row r="240" spans="1:14" s="3" customFormat="1" ht="12.2" customHeight="1" x14ac:dyDescent="0.15">
      <c r="A240" s="1" t="s">
        <v>443</v>
      </c>
      <c r="B240" s="2" t="s">
        <v>350</v>
      </c>
      <c r="C240" s="2" t="s">
        <v>295</v>
      </c>
      <c r="D240" s="2" t="s">
        <v>431</v>
      </c>
      <c r="E240" s="6">
        <v>2200</v>
      </c>
      <c r="F240" s="18">
        <v>100432.11</v>
      </c>
      <c r="G240" s="18">
        <v>68306.53</v>
      </c>
      <c r="H240" s="18">
        <v>4133.68</v>
      </c>
      <c r="I240" s="18">
        <v>34849.71</v>
      </c>
      <c r="J240" s="18">
        <v>15954.97</v>
      </c>
      <c r="K240" s="18">
        <v>469.69</v>
      </c>
      <c r="L240" s="19">
        <f t="shared" si="4"/>
        <v>224146.69</v>
      </c>
      <c r="M240" s="8"/>
      <c r="N240" s="266"/>
    </row>
    <row r="241" spans="1:14" s="3" customFormat="1" ht="12.2" customHeight="1" x14ac:dyDescent="0.15">
      <c r="A241" s="1" t="s">
        <v>444</v>
      </c>
      <c r="B241" s="2" t="s">
        <v>350</v>
      </c>
      <c r="C241" s="2" t="s">
        <v>296</v>
      </c>
      <c r="D241" s="2" t="s">
        <v>431</v>
      </c>
      <c r="E241" s="6">
        <v>2300</v>
      </c>
      <c r="F241" s="18">
        <v>139987.59</v>
      </c>
      <c r="G241" s="18">
        <v>54306.89</v>
      </c>
      <c r="H241" s="18">
        <v>31257.82</v>
      </c>
      <c r="I241" s="18">
        <v>1003.08</v>
      </c>
      <c r="J241" s="18">
        <v>29.95</v>
      </c>
      <c r="K241" s="18">
        <v>5017.92</v>
      </c>
      <c r="L241" s="19">
        <f t="shared" si="4"/>
        <v>231603.25</v>
      </c>
      <c r="M241" s="8"/>
      <c r="N241" s="266"/>
    </row>
    <row r="242" spans="1:14" s="3" customFormat="1" ht="12.2" customHeight="1" x14ac:dyDescent="0.15">
      <c r="A242" s="1" t="s">
        <v>445</v>
      </c>
      <c r="B242" s="2" t="s">
        <v>350</v>
      </c>
      <c r="C242" s="2" t="s">
        <v>297</v>
      </c>
      <c r="D242" s="2" t="s">
        <v>431</v>
      </c>
      <c r="E242" s="6">
        <v>2400</v>
      </c>
      <c r="F242" s="18">
        <v>281170.78999999998</v>
      </c>
      <c r="G242" s="18">
        <v>98074.36</v>
      </c>
      <c r="H242" s="18">
        <v>9686.61</v>
      </c>
      <c r="I242" s="18">
        <v>2224.98</v>
      </c>
      <c r="J242" s="18">
        <v>149.97999999999999</v>
      </c>
      <c r="K242" s="18">
        <v>15057.68</v>
      </c>
      <c r="L242" s="19">
        <f t="shared" si="4"/>
        <v>406364.39999999991</v>
      </c>
      <c r="M242" s="8"/>
      <c r="N242" s="266"/>
    </row>
    <row r="243" spans="1:14" s="3" customFormat="1" ht="12.2" customHeight="1" x14ac:dyDescent="0.15">
      <c r="A243" s="1" t="s">
        <v>446</v>
      </c>
      <c r="B243" s="2" t="s">
        <v>350</v>
      </c>
      <c r="C243" s="2" t="s">
        <v>298</v>
      </c>
      <c r="D243" s="2" t="s">
        <v>431</v>
      </c>
      <c r="E243" s="6">
        <v>2500</v>
      </c>
      <c r="F243" s="18">
        <v>64919.69</v>
      </c>
      <c r="G243" s="18">
        <v>32560.59</v>
      </c>
      <c r="H243" s="18">
        <v>16134.76</v>
      </c>
      <c r="I243" s="18">
        <v>344.34</v>
      </c>
      <c r="J243" s="18">
        <v>0</v>
      </c>
      <c r="K243" s="18">
        <v>619.72</v>
      </c>
      <c r="L243" s="19">
        <f t="shared" si="4"/>
        <v>114579.09999999999</v>
      </c>
      <c r="M243" s="8"/>
      <c r="N243" s="266"/>
    </row>
    <row r="244" spans="1:14" s="3" customFormat="1" ht="12.2" customHeight="1" x14ac:dyDescent="0.15">
      <c r="A244" s="1" t="s">
        <v>447</v>
      </c>
      <c r="B244" s="2" t="s">
        <v>350</v>
      </c>
      <c r="C244" s="2" t="s">
        <v>299</v>
      </c>
      <c r="D244" s="2" t="s">
        <v>431</v>
      </c>
      <c r="E244" s="6">
        <v>2600</v>
      </c>
      <c r="F244" s="18">
        <v>186091.8</v>
      </c>
      <c r="G244" s="18">
        <v>88395.520000000004</v>
      </c>
      <c r="H244" s="18">
        <v>232613.32</v>
      </c>
      <c r="I244" s="18">
        <v>230308.1</v>
      </c>
      <c r="J244" s="18">
        <v>36495.589999999997</v>
      </c>
      <c r="K244" s="18">
        <v>0</v>
      </c>
      <c r="L244" s="19">
        <f t="shared" si="4"/>
        <v>773904.33</v>
      </c>
      <c r="M244" s="8"/>
      <c r="N244" s="266"/>
    </row>
    <row r="245" spans="1:14" s="3" customFormat="1" ht="12.2" customHeight="1" x14ac:dyDescent="0.15">
      <c r="A245" s="1" t="s">
        <v>448</v>
      </c>
      <c r="B245" s="2" t="s">
        <v>350</v>
      </c>
      <c r="C245" s="2" t="s">
        <v>300</v>
      </c>
      <c r="D245" s="2" t="s">
        <v>431</v>
      </c>
      <c r="E245" s="6">
        <v>2700</v>
      </c>
      <c r="F245" s="18">
        <v>0</v>
      </c>
      <c r="G245" s="18">
        <v>0</v>
      </c>
      <c r="H245" s="18">
        <v>353830.62</v>
      </c>
      <c r="I245" s="18">
        <v>0</v>
      </c>
      <c r="J245" s="18">
        <v>0</v>
      </c>
      <c r="K245" s="18">
        <v>0</v>
      </c>
      <c r="L245" s="19">
        <f t="shared" si="4"/>
        <v>353830.62</v>
      </c>
      <c r="M245" s="8"/>
      <c r="N245" s="266"/>
    </row>
    <row r="246" spans="1:14" s="3" customFormat="1" ht="12.2" customHeight="1" x14ac:dyDescent="0.15">
      <c r="A246" s="1" t="s">
        <v>449</v>
      </c>
      <c r="B246" s="2" t="s">
        <v>350</v>
      </c>
      <c r="C246" s="2" t="s">
        <v>343</v>
      </c>
      <c r="D246" s="2" t="s">
        <v>431</v>
      </c>
      <c r="E246" s="6">
        <v>2800</v>
      </c>
      <c r="F246" s="18">
        <v>97850.35</v>
      </c>
      <c r="G246" s="18">
        <v>45662.87</v>
      </c>
      <c r="H246" s="18">
        <v>46019.69</v>
      </c>
      <c r="I246" s="18">
        <v>18526.47</v>
      </c>
      <c r="J246" s="18">
        <v>39916.699999999997</v>
      </c>
      <c r="K246" s="18">
        <v>437.73</v>
      </c>
      <c r="L246" s="19">
        <f>SUM(F246:K246)</f>
        <v>248413.81000000003</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4023373.3299999996</v>
      </c>
      <c r="G248" s="41">
        <f t="shared" si="5"/>
        <v>1583454.0700000003</v>
      </c>
      <c r="H248" s="41">
        <f t="shared" si="5"/>
        <v>1017161.6000000001</v>
      </c>
      <c r="I248" s="41">
        <f t="shared" si="5"/>
        <v>412575.15</v>
      </c>
      <c r="J248" s="41">
        <f t="shared" si="5"/>
        <v>138463.38</v>
      </c>
      <c r="K248" s="41">
        <f t="shared" si="5"/>
        <v>54243.960000000006</v>
      </c>
      <c r="L248" s="41">
        <f t="shared" si="5"/>
        <v>7229271.4900000002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36252</v>
      </c>
      <c r="K256" s="18">
        <v>0</v>
      </c>
      <c r="L256" s="19">
        <f t="shared" si="6"/>
        <v>36252</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36252</v>
      </c>
      <c r="K257" s="41">
        <f t="shared" si="7"/>
        <v>0</v>
      </c>
      <c r="L257" s="41">
        <f>SUM(F257:K257)</f>
        <v>36252</v>
      </c>
      <c r="M257" s="8"/>
      <c r="N257" s="266"/>
    </row>
    <row r="258" spans="1:14" s="3" customFormat="1" ht="12.2" customHeight="1" thickTop="1" x14ac:dyDescent="0.15">
      <c r="A258" s="38" t="s">
        <v>462</v>
      </c>
      <c r="B258" s="40">
        <v>10</v>
      </c>
      <c r="C258" s="40">
        <v>8</v>
      </c>
      <c r="D258" s="39" t="s">
        <v>431</v>
      </c>
      <c r="E258" s="40"/>
      <c r="F258" s="41">
        <f t="shared" ref="F258:L258" si="8">F212+F230+F248+F257</f>
        <v>11709331.949999999</v>
      </c>
      <c r="G258" s="41">
        <f t="shared" si="8"/>
        <v>5126687.59</v>
      </c>
      <c r="H258" s="41">
        <f t="shared" si="8"/>
        <v>2620812.38</v>
      </c>
      <c r="I258" s="41">
        <f t="shared" si="8"/>
        <v>846047.3</v>
      </c>
      <c r="J258" s="41">
        <f t="shared" si="8"/>
        <v>468386.88</v>
      </c>
      <c r="K258" s="41">
        <f t="shared" si="8"/>
        <v>79716.430000000008</v>
      </c>
      <c r="L258" s="41">
        <f t="shared" si="8"/>
        <v>20850982.530000001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154159.75</v>
      </c>
      <c r="L264" s="19">
        <f>SUM(F264:K264)</f>
        <v>154159.75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254159.75</v>
      </c>
      <c r="L271" s="41">
        <f t="shared" si="9"/>
        <v>254159.75</v>
      </c>
      <c r="M271" s="8"/>
      <c r="N271" s="266"/>
    </row>
    <row r="272" spans="1:14" s="34" customFormat="1" ht="12.2" customHeight="1" thickTop="1" x14ac:dyDescent="0.2">
      <c r="A272" s="43" t="s">
        <v>464</v>
      </c>
      <c r="B272" s="40">
        <v>10</v>
      </c>
      <c r="C272" s="40">
        <v>18</v>
      </c>
      <c r="D272" s="39" t="s">
        <v>431</v>
      </c>
      <c r="E272" s="40"/>
      <c r="F272" s="42">
        <f t="shared" ref="F272:L272" si="11">F258+F271</f>
        <v>11709331.949999999</v>
      </c>
      <c r="G272" s="42">
        <f t="shared" si="11"/>
        <v>5126687.59</v>
      </c>
      <c r="H272" s="42">
        <f t="shared" si="11"/>
        <v>2620812.38</v>
      </c>
      <c r="I272" s="42">
        <f t="shared" si="11"/>
        <v>846047.3</v>
      </c>
      <c r="J272" s="42">
        <f t="shared" si="11"/>
        <v>468386.88</v>
      </c>
      <c r="K272" s="42">
        <f t="shared" si="11"/>
        <v>333876.18</v>
      </c>
      <c r="L272" s="42">
        <f t="shared" si="11"/>
        <v>21105142.280000001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67513.039999999994</v>
      </c>
      <c r="G277" s="18">
        <v>5545.67</v>
      </c>
      <c r="H277" s="18">
        <v>24.35</v>
      </c>
      <c r="I277" s="18">
        <v>2300.36</v>
      </c>
      <c r="J277" s="18">
        <v>12597.67</v>
      </c>
      <c r="K277" s="18">
        <v>0</v>
      </c>
      <c r="L277" s="19">
        <f>SUM(F277:K277)</f>
        <v>87981.09</v>
      </c>
      <c r="M277" s="8"/>
      <c r="N277" s="266"/>
    </row>
    <row r="278" spans="1:14" s="3" customFormat="1" ht="12.2" customHeight="1" x14ac:dyDescent="0.15">
      <c r="A278" s="1" t="s">
        <v>439</v>
      </c>
      <c r="B278" s="2" t="s">
        <v>357</v>
      </c>
      <c r="C278" s="2" t="s">
        <v>291</v>
      </c>
      <c r="D278" s="2" t="s">
        <v>431</v>
      </c>
      <c r="E278" s="6">
        <v>1200</v>
      </c>
      <c r="F278" s="18">
        <v>41657.300000000003</v>
      </c>
      <c r="G278" s="18">
        <v>14039.34</v>
      </c>
      <c r="H278" s="18">
        <v>12106.97</v>
      </c>
      <c r="I278" s="18">
        <v>121.36</v>
      </c>
      <c r="J278" s="18">
        <v>3574.94</v>
      </c>
      <c r="K278" s="18">
        <v>0</v>
      </c>
      <c r="L278" s="19">
        <f>SUM(F278:K278)</f>
        <v>71499.91</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26.47</v>
      </c>
      <c r="J280" s="18">
        <v>298.76</v>
      </c>
      <c r="K280" s="18">
        <v>0</v>
      </c>
      <c r="L280" s="19">
        <f>SUM(F280:K280)</f>
        <v>325.23</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10711.8</v>
      </c>
      <c r="G282" s="18">
        <v>902.01</v>
      </c>
      <c r="H282" s="18">
        <v>41701.980000000003</v>
      </c>
      <c r="I282" s="18">
        <v>0</v>
      </c>
      <c r="J282" s="18">
        <v>0</v>
      </c>
      <c r="K282" s="18">
        <v>0</v>
      </c>
      <c r="L282" s="19">
        <f t="shared" ref="L282:L288" si="12">SUM(F282:K282)</f>
        <v>53315.79</v>
      </c>
      <c r="M282" s="8"/>
      <c r="N282" s="266"/>
    </row>
    <row r="283" spans="1:14" s="3" customFormat="1" ht="12.2" customHeight="1" x14ac:dyDescent="0.15">
      <c r="A283" s="1" t="s">
        <v>443</v>
      </c>
      <c r="B283" s="2" t="s">
        <v>357</v>
      </c>
      <c r="C283" s="2" t="s">
        <v>295</v>
      </c>
      <c r="D283" s="2" t="s">
        <v>431</v>
      </c>
      <c r="E283" s="6">
        <v>2200</v>
      </c>
      <c r="F283" s="18">
        <v>6404.27</v>
      </c>
      <c r="G283" s="18">
        <v>1466.32</v>
      </c>
      <c r="H283" s="18">
        <v>6765.13</v>
      </c>
      <c r="I283" s="18">
        <v>1351.44</v>
      </c>
      <c r="J283" s="18">
        <v>0</v>
      </c>
      <c r="K283" s="18">
        <v>0</v>
      </c>
      <c r="L283" s="19">
        <f t="shared" si="12"/>
        <v>15987.160000000002</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937.35</v>
      </c>
      <c r="I288" s="18">
        <v>0</v>
      </c>
      <c r="J288" s="18">
        <v>0</v>
      </c>
      <c r="K288" s="18">
        <v>0</v>
      </c>
      <c r="L288" s="19">
        <f t="shared" si="12"/>
        <v>937.35</v>
      </c>
      <c r="M288" s="8"/>
      <c r="N288" s="266"/>
    </row>
    <row r="289" spans="1:14" s="3" customFormat="1" ht="12.2" customHeight="1" x14ac:dyDescent="0.15">
      <c r="A289" s="1" t="s">
        <v>449</v>
      </c>
      <c r="B289" s="2" t="s">
        <v>357</v>
      </c>
      <c r="C289" s="2" t="s">
        <v>343</v>
      </c>
      <c r="D289" s="2" t="s">
        <v>431</v>
      </c>
      <c r="E289" s="6">
        <v>2800</v>
      </c>
      <c r="F289" s="18">
        <v>0</v>
      </c>
      <c r="G289" s="18">
        <v>0</v>
      </c>
      <c r="H289" s="18">
        <v>17073.16</v>
      </c>
      <c r="I289" s="18">
        <v>0</v>
      </c>
      <c r="J289" s="18">
        <v>0</v>
      </c>
      <c r="K289" s="18">
        <v>0</v>
      </c>
      <c r="L289" s="19">
        <f>SUM(F289:K289)</f>
        <v>17073.16</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126286.41</v>
      </c>
      <c r="G291" s="42">
        <f t="shared" si="13"/>
        <v>21953.34</v>
      </c>
      <c r="H291" s="42">
        <f t="shared" si="13"/>
        <v>78608.94</v>
      </c>
      <c r="I291" s="42">
        <f t="shared" si="13"/>
        <v>3799.63</v>
      </c>
      <c r="J291" s="42">
        <f t="shared" si="13"/>
        <v>16471.37</v>
      </c>
      <c r="K291" s="42">
        <f t="shared" si="13"/>
        <v>0</v>
      </c>
      <c r="L291" s="41">
        <f t="shared" si="13"/>
        <v>247119.69000000003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750</v>
      </c>
      <c r="I296" s="18">
        <v>579.44000000000005</v>
      </c>
      <c r="J296" s="18">
        <v>0</v>
      </c>
      <c r="K296" s="18">
        <v>0</v>
      </c>
      <c r="L296" s="19">
        <f>SUM(F296:K296)</f>
        <v>1329.44</v>
      </c>
      <c r="M296" s="8"/>
      <c r="N296" s="266"/>
    </row>
    <row r="297" spans="1:14" s="3" customFormat="1" ht="12.2" customHeight="1" x14ac:dyDescent="0.15">
      <c r="A297" s="1" t="s">
        <v>439</v>
      </c>
      <c r="B297" s="2" t="s">
        <v>358</v>
      </c>
      <c r="C297" s="2" t="s">
        <v>291</v>
      </c>
      <c r="D297" s="2" t="s">
        <v>431</v>
      </c>
      <c r="E297" s="6">
        <v>1200</v>
      </c>
      <c r="F297" s="18">
        <v>31230.92</v>
      </c>
      <c r="G297" s="18">
        <v>10525.44</v>
      </c>
      <c r="H297" s="18">
        <v>9076.7199999999993</v>
      </c>
      <c r="I297" s="18">
        <v>90.99</v>
      </c>
      <c r="J297" s="18">
        <v>2928.82</v>
      </c>
      <c r="K297" s="18">
        <v>0</v>
      </c>
      <c r="L297" s="19">
        <f>SUM(F297:K297)</f>
        <v>53852.89</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71351.460000000006</v>
      </c>
      <c r="G301" s="18">
        <v>33025.949999999997</v>
      </c>
      <c r="H301" s="18">
        <v>19954.8</v>
      </c>
      <c r="I301" s="18">
        <v>0</v>
      </c>
      <c r="J301" s="18">
        <v>0</v>
      </c>
      <c r="K301" s="18">
        <v>0</v>
      </c>
      <c r="L301" s="19">
        <f t="shared" ref="L301:L307" si="14">SUM(F301:K301)</f>
        <v>124332.21</v>
      </c>
      <c r="M301" s="8"/>
      <c r="N301" s="266"/>
    </row>
    <row r="302" spans="1:14" s="3" customFormat="1" ht="12.2" customHeight="1" x14ac:dyDescent="0.15">
      <c r="A302" s="1" t="s">
        <v>443</v>
      </c>
      <c r="B302" s="2" t="s">
        <v>358</v>
      </c>
      <c r="C302" s="2" t="s">
        <v>295</v>
      </c>
      <c r="D302" s="2" t="s">
        <v>431</v>
      </c>
      <c r="E302" s="6">
        <v>2200</v>
      </c>
      <c r="F302" s="18">
        <v>5330.18</v>
      </c>
      <c r="G302" s="18">
        <v>1220.3900000000001</v>
      </c>
      <c r="H302" s="18">
        <v>5556.47</v>
      </c>
      <c r="I302" s="18">
        <v>1121.44</v>
      </c>
      <c r="J302" s="18">
        <v>0</v>
      </c>
      <c r="K302" s="18">
        <v>0</v>
      </c>
      <c r="L302" s="19">
        <f t="shared" si="14"/>
        <v>13228.480000000001</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14209.74</v>
      </c>
      <c r="I308" s="18">
        <v>0</v>
      </c>
      <c r="J308" s="18">
        <v>0</v>
      </c>
      <c r="K308" s="18">
        <v>0</v>
      </c>
      <c r="L308" s="19">
        <f>SUM(F308:K308)</f>
        <v>14209.74</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107912.56</v>
      </c>
      <c r="G310" s="42">
        <f t="shared" si="15"/>
        <v>44771.78</v>
      </c>
      <c r="H310" s="42">
        <f t="shared" si="15"/>
        <v>49547.729999999996</v>
      </c>
      <c r="I310" s="42">
        <f t="shared" si="15"/>
        <v>1791.8700000000001</v>
      </c>
      <c r="J310" s="42">
        <f t="shared" si="15"/>
        <v>2928.82</v>
      </c>
      <c r="K310" s="42">
        <f t="shared" si="15"/>
        <v>0</v>
      </c>
      <c r="L310" s="41">
        <f t="shared" si="15"/>
        <v>206952.76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636.36</v>
      </c>
      <c r="I315" s="18">
        <v>0</v>
      </c>
      <c r="J315" s="18">
        <v>0</v>
      </c>
      <c r="K315" s="18">
        <v>2936.57</v>
      </c>
      <c r="L315" s="19">
        <f>SUM(F315:K315)</f>
        <v>3572.9300000000003</v>
      </c>
      <c r="M315" s="8"/>
      <c r="N315" s="266"/>
    </row>
    <row r="316" spans="1:14" s="3" customFormat="1" ht="12.2" customHeight="1" x14ac:dyDescent="0.15">
      <c r="A316" s="1" t="s">
        <v>439</v>
      </c>
      <c r="B316" s="2" t="s">
        <v>359</v>
      </c>
      <c r="C316" s="2" t="s">
        <v>291</v>
      </c>
      <c r="D316" s="2" t="s">
        <v>431</v>
      </c>
      <c r="E316" s="6">
        <v>1200</v>
      </c>
      <c r="F316" s="18">
        <v>29829.16</v>
      </c>
      <c r="G316" s="18">
        <v>10053.02</v>
      </c>
      <c r="H316" s="18">
        <v>8669.32</v>
      </c>
      <c r="I316" s="18">
        <v>86.9</v>
      </c>
      <c r="J316" s="18">
        <v>2832.96</v>
      </c>
      <c r="K316" s="18">
        <v>0</v>
      </c>
      <c r="L316" s="19">
        <f>SUM(F316:K316)</f>
        <v>51471.360000000001</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108.82</v>
      </c>
      <c r="I318" s="18">
        <v>0</v>
      </c>
      <c r="J318" s="18">
        <v>0</v>
      </c>
      <c r="K318" s="18">
        <v>2800.6</v>
      </c>
      <c r="L318" s="19">
        <f>SUM(F318:K318)</f>
        <v>2909.42</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7360.6+309.7</f>
        <v>7670.3</v>
      </c>
      <c r="G320" s="18">
        <f>582.87+63.03</f>
        <v>645.9</v>
      </c>
      <c r="H320" s="18">
        <f>23.41+19035.74</f>
        <v>19059.150000000001</v>
      </c>
      <c r="I320" s="18">
        <v>0</v>
      </c>
      <c r="J320" s="18">
        <v>0</v>
      </c>
      <c r="K320" s="18">
        <v>0</v>
      </c>
      <c r="L320" s="19">
        <f t="shared" ref="L320:L326" si="16">SUM(F320:K320)</f>
        <v>27375.350000000002</v>
      </c>
      <c r="M320" s="8"/>
      <c r="N320" s="266"/>
    </row>
    <row r="321" spans="1:14" s="3" customFormat="1" ht="12.2" customHeight="1" x14ac:dyDescent="0.15">
      <c r="A321" s="1" t="s">
        <v>443</v>
      </c>
      <c r="B321" s="2" t="s">
        <v>359</v>
      </c>
      <c r="C321" s="2" t="s">
        <v>295</v>
      </c>
      <c r="D321" s="2" t="s">
        <v>431</v>
      </c>
      <c r="E321" s="6">
        <v>2200</v>
      </c>
      <c r="F321" s="18">
        <f>1225.21+216.34+4412.26</f>
        <v>5853.81</v>
      </c>
      <c r="G321" s="18">
        <f>320.26+55.53+964.49</f>
        <v>1340.28</v>
      </c>
      <c r="H321" s="18">
        <f>5207.11+815.81</f>
        <v>6022.92</v>
      </c>
      <c r="I321" s="18">
        <f>162.83+665.65+398.79</f>
        <v>1227.27</v>
      </c>
      <c r="J321" s="18">
        <v>0</v>
      </c>
      <c r="K321" s="18">
        <v>0</v>
      </c>
      <c r="L321" s="19">
        <f t="shared" si="16"/>
        <v>14444.28</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15605.66</v>
      </c>
      <c r="I327" s="18">
        <v>0</v>
      </c>
      <c r="J327" s="18">
        <v>0</v>
      </c>
      <c r="K327" s="18">
        <v>0</v>
      </c>
      <c r="L327" s="19">
        <f>SUM(F327:K327)</f>
        <v>15605.66</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43353.27</v>
      </c>
      <c r="G329" s="42">
        <f t="shared" si="17"/>
        <v>12039.2</v>
      </c>
      <c r="H329" s="42">
        <f t="shared" si="17"/>
        <v>50102.229999999996</v>
      </c>
      <c r="I329" s="42">
        <f t="shared" si="17"/>
        <v>1314.17</v>
      </c>
      <c r="J329" s="42">
        <f t="shared" si="17"/>
        <v>2832.96</v>
      </c>
      <c r="K329" s="42">
        <f t="shared" si="17"/>
        <v>5737.17</v>
      </c>
      <c r="L329" s="41">
        <f t="shared" si="17"/>
        <v>115379</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44183.199999999997</v>
      </c>
      <c r="K337" s="18">
        <v>0</v>
      </c>
      <c r="L337" s="19">
        <f t="shared" si="18"/>
        <v>44183.199999999997</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44183.199999999997</v>
      </c>
      <c r="K338" s="41">
        <f t="shared" si="19"/>
        <v>0</v>
      </c>
      <c r="L338" s="41">
        <f t="shared" si="18"/>
        <v>44183.199999999997</v>
      </c>
      <c r="M338" s="8"/>
      <c r="N338" s="266"/>
    </row>
    <row r="339" spans="1:43" s="3" customFormat="1" ht="12.2" customHeight="1" thickTop="1" x14ac:dyDescent="0.15">
      <c r="A339" s="38" t="s">
        <v>468</v>
      </c>
      <c r="B339" s="40">
        <v>14</v>
      </c>
      <c r="C339" s="40">
        <v>7</v>
      </c>
      <c r="D339" s="39" t="s">
        <v>431</v>
      </c>
      <c r="E339" s="40"/>
      <c r="F339" s="41">
        <f t="shared" ref="F339:L339" si="20">F291+F310+F329+F338</f>
        <v>277552.24</v>
      </c>
      <c r="G339" s="41">
        <f t="shared" si="20"/>
        <v>78764.319999999992</v>
      </c>
      <c r="H339" s="41">
        <f t="shared" si="20"/>
        <v>178258.9</v>
      </c>
      <c r="I339" s="41">
        <f t="shared" si="20"/>
        <v>6905.67</v>
      </c>
      <c r="J339" s="41">
        <f t="shared" si="20"/>
        <v>66416.349999999991</v>
      </c>
      <c r="K339" s="41">
        <f t="shared" si="20"/>
        <v>5737.17</v>
      </c>
      <c r="L339" s="41">
        <f t="shared" si="20"/>
        <v>613634.65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277552.24</v>
      </c>
      <c r="G353" s="41">
        <f>G339</f>
        <v>78764.319999999992</v>
      </c>
      <c r="H353" s="41">
        <f>H339</f>
        <v>178258.9</v>
      </c>
      <c r="I353" s="41">
        <f>I339</f>
        <v>6905.67</v>
      </c>
      <c r="J353" s="41">
        <f>J339</f>
        <v>66416.349999999991</v>
      </c>
      <c r="K353" s="47">
        <f>K339+K352</f>
        <v>5737.17</v>
      </c>
      <c r="L353" s="41">
        <f>L339+L352</f>
        <v>613634.65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66912.820000000007</v>
      </c>
      <c r="G359" s="18">
        <v>14534.69</v>
      </c>
      <c r="H359" s="18">
        <v>3344.56</v>
      </c>
      <c r="I359" s="18">
        <v>47889.56</v>
      </c>
      <c r="J359" s="18">
        <v>6000</v>
      </c>
      <c r="K359" s="18">
        <v>400.46</v>
      </c>
      <c r="L359" s="13">
        <f>SUM(F359:K359)</f>
        <v>139082.09</v>
      </c>
      <c r="M359" s="8"/>
      <c r="N359" s="266"/>
    </row>
    <row r="360" spans="1:22" s="3" customFormat="1" ht="12.2" customHeight="1" x14ac:dyDescent="0.15">
      <c r="A360" s="1" t="s">
        <v>542</v>
      </c>
      <c r="B360" s="2" t="s">
        <v>366</v>
      </c>
      <c r="C360" s="6">
        <v>2</v>
      </c>
      <c r="D360" s="2" t="s">
        <v>431</v>
      </c>
      <c r="E360" s="6"/>
      <c r="F360" s="18">
        <v>57262.37</v>
      </c>
      <c r="G360" s="18">
        <v>35327.360000000001</v>
      </c>
      <c r="H360" s="18">
        <v>9619.4500000000007</v>
      </c>
      <c r="I360" s="18">
        <v>66265.59</v>
      </c>
      <c r="J360" s="18">
        <v>0</v>
      </c>
      <c r="K360" s="18">
        <v>422.62</v>
      </c>
      <c r="L360" s="19">
        <f>SUM(F360:K360)</f>
        <v>168897.39</v>
      </c>
      <c r="M360" s="8"/>
      <c r="N360" s="266"/>
    </row>
    <row r="361" spans="1:22" s="3" customFormat="1" ht="12.2" customHeight="1" x14ac:dyDescent="0.15">
      <c r="A361" s="3" t="s">
        <v>543</v>
      </c>
      <c r="B361" s="2" t="s">
        <v>366</v>
      </c>
      <c r="C361" s="6">
        <v>3</v>
      </c>
      <c r="D361" s="2" t="s">
        <v>431</v>
      </c>
      <c r="E361" s="6"/>
      <c r="F361" s="18">
        <v>58897.83</v>
      </c>
      <c r="G361" s="18">
        <v>35524.28</v>
      </c>
      <c r="H361" s="18">
        <v>1590.46</v>
      </c>
      <c r="I361" s="18">
        <v>82263.95</v>
      </c>
      <c r="J361" s="18">
        <v>0</v>
      </c>
      <c r="K361" s="18">
        <v>633.28</v>
      </c>
      <c r="L361" s="19">
        <f>SUM(F361:K361)</f>
        <v>178909.80000000002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183073.02000000002</v>
      </c>
      <c r="G363" s="47">
        <f t="shared" si="22"/>
        <v>85386.33</v>
      </c>
      <c r="H363" s="47">
        <f t="shared" si="22"/>
        <v>14554.470000000001</v>
      </c>
      <c r="I363" s="47">
        <f t="shared" si="22"/>
        <v>196419.09999999998</v>
      </c>
      <c r="J363" s="47">
        <f t="shared" si="22"/>
        <v>6000</v>
      </c>
      <c r="K363" s="47">
        <f t="shared" si="22"/>
        <v>1456.36</v>
      </c>
      <c r="L363" s="47">
        <f t="shared" si="22"/>
        <v>486889.28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42272.5</v>
      </c>
      <c r="G368" s="18">
        <v>61005.49</v>
      </c>
      <c r="H368" s="18">
        <v>72630.429999999993</v>
      </c>
      <c r="I368" s="56">
        <f>SUM(F368:H368)</f>
        <v>175908.41999999998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5617.06</v>
      </c>
      <c r="G369" s="63">
        <v>5260.1</v>
      </c>
      <c r="H369" s="63">
        <v>9633.52</v>
      </c>
      <c r="I369" s="56">
        <f>SUM(F369:H369)</f>
        <v>20510.68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47889.56</v>
      </c>
      <c r="G370" s="47">
        <f>SUM(G368:G369)</f>
        <v>66265.59</v>
      </c>
      <c r="H370" s="47">
        <f>SUM(H368:H369)</f>
        <v>82263.95</v>
      </c>
      <c r="I370" s="47">
        <f>SUM(I368:I369)</f>
        <v>196419.09999999998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100000</v>
      </c>
      <c r="H397" s="18">
        <v>2141.0700000000002</v>
      </c>
      <c r="I397" s="18"/>
      <c r="J397" s="24" t="s">
        <v>288</v>
      </c>
      <c r="K397" s="24" t="s">
        <v>288</v>
      </c>
      <c r="L397" s="56">
        <f t="shared" si="26"/>
        <v>102141.07</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2141.0700000000002</v>
      </c>
      <c r="I402" s="47">
        <f>SUM(I396:I401)</f>
        <v>0</v>
      </c>
      <c r="J402" s="45" t="s">
        <v>288</v>
      </c>
      <c r="K402" s="45" t="s">
        <v>288</v>
      </c>
      <c r="L402" s="47">
        <f>SUM(L396:L401)</f>
        <v>102141.07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2141.0700000000002</v>
      </c>
      <c r="I409" s="47">
        <f>I394+I402+I408</f>
        <v>0</v>
      </c>
      <c r="J409" s="24" t="s">
        <v>288</v>
      </c>
      <c r="K409" s="24" t="s">
        <v>288</v>
      </c>
      <c r="L409" s="47">
        <f>L394+L402+L408</f>
        <v>102141.07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472697.98</v>
      </c>
      <c r="G443" s="18"/>
      <c r="H443" s="18"/>
      <c r="I443" s="56">
        <f t="shared" si="33"/>
        <v>472697.98</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472697.98</v>
      </c>
      <c r="G447" s="13">
        <f>SUM(G440:G446)</f>
        <v>0</v>
      </c>
      <c r="H447" s="13">
        <f>SUM(H440:H446)</f>
        <v>0</v>
      </c>
      <c r="I447" s="13">
        <f>SUM(I440:I446)</f>
        <v>472697.98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472697.98</v>
      </c>
      <c r="G460" s="18"/>
      <c r="H460" s="18"/>
      <c r="I460" s="56">
        <f t="shared" si="34"/>
        <v>472697.98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472697.98</v>
      </c>
      <c r="G461" s="83">
        <f>SUM(G455:G460)</f>
        <v>0</v>
      </c>
      <c r="H461" s="83">
        <f>SUM(H455:H460)</f>
        <v>0</v>
      </c>
      <c r="I461" s="83">
        <f>SUM(I455:I460)</f>
        <v>472697.98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472697.98</v>
      </c>
      <c r="G462" s="42">
        <f>G453+G461</f>
        <v>0</v>
      </c>
      <c r="H462" s="42">
        <f>H453+H461</f>
        <v>0</v>
      </c>
      <c r="I462" s="42">
        <f>I453+I461</f>
        <v>472697.98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526923.55000000005</v>
      </c>
      <c r="G466" s="18"/>
      <c r="H466" s="18"/>
      <c r="I466" s="18"/>
      <c r="J466" s="18">
        <v>370556.91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21861557.41</v>
      </c>
      <c r="G469" s="18">
        <f>G194</f>
        <v>486889.28</v>
      </c>
      <c r="H469" s="18">
        <f>H194</f>
        <v>613634.65</v>
      </c>
      <c r="I469" s="18">
        <f>I194</f>
        <v>0</v>
      </c>
      <c r="J469" s="18">
        <f>J194</f>
        <v>102141.07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21861557.41</v>
      </c>
      <c r="G471" s="53">
        <f>SUM(G469:G470)</f>
        <v>486889.28</v>
      </c>
      <c r="H471" s="53">
        <f>SUM(H469:H470)</f>
        <v>613634.65</v>
      </c>
      <c r="I471" s="53">
        <f>SUM(I469:I470)</f>
        <v>0</v>
      </c>
      <c r="J471" s="53">
        <f>SUM(J469:J470)</f>
        <v>102141.07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21105142.280000001</v>
      </c>
      <c r="G473" s="18">
        <f>L363</f>
        <v>486889.28</v>
      </c>
      <c r="H473" s="18">
        <f>L353</f>
        <v>613634.65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21105142.280000001</v>
      </c>
      <c r="G475" s="53">
        <f>SUM(G473:G474)</f>
        <v>486889.28</v>
      </c>
      <c r="H475" s="53">
        <f>SUM(H473:H474)</f>
        <v>613634.65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1283338.6799999997</v>
      </c>
      <c r="G477" s="53">
        <f>(G466+G471)- G475</f>
        <v>0</v>
      </c>
      <c r="H477" s="53">
        <f>(H466+H471)- H475</f>
        <v>0</v>
      </c>
      <c r="I477" s="53">
        <f>(I466+I471)- I475</f>
        <v>0</v>
      </c>
      <c r="J477" s="53">
        <f>(J466+J471)- J475</f>
        <v>472697.98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894194.1100000001</v>
      </c>
      <c r="G522" s="18">
        <v>257965.86</v>
      </c>
      <c r="H522" s="18">
        <v>231124.1</v>
      </c>
      <c r="I522" s="18">
        <v>3723.48</v>
      </c>
      <c r="J522" s="18">
        <v>4850.92</v>
      </c>
      <c r="K522" s="18">
        <v>3068.07</v>
      </c>
      <c r="L522" s="88">
        <f>SUM(F522:K522)</f>
        <v>1394926.5400000003</v>
      </c>
      <c r="N522" s="265"/>
    </row>
    <row r="523" spans="1:14" s="52" customFormat="1" ht="12.2" customHeight="1" x14ac:dyDescent="0.2">
      <c r="A523" s="22" t="s">
        <v>634</v>
      </c>
      <c r="B523" s="105">
        <v>21</v>
      </c>
      <c r="C523" s="115">
        <v>2</v>
      </c>
      <c r="D523" s="2" t="s">
        <v>432</v>
      </c>
      <c r="E523" s="115"/>
      <c r="F523" s="18">
        <v>696320.38</v>
      </c>
      <c r="G523" s="18">
        <v>146294.82</v>
      </c>
      <c r="H523" s="18">
        <v>175003.51999999999</v>
      </c>
      <c r="I523" s="18">
        <v>409.23</v>
      </c>
      <c r="J523" s="18">
        <v>6345.1900000000005</v>
      </c>
      <c r="K523" s="18">
        <v>1814.73</v>
      </c>
      <c r="L523" s="88">
        <f>SUM(F523:K523)</f>
        <v>1026187.8699999999</v>
      </c>
      <c r="N523" s="265"/>
    </row>
    <row r="524" spans="1:14" s="52" customFormat="1" ht="12.2" customHeight="1" thickBot="1" x14ac:dyDescent="0.25">
      <c r="A524" s="22" t="s">
        <v>635</v>
      </c>
      <c r="B524" s="105">
        <v>21</v>
      </c>
      <c r="C524" s="115">
        <v>3</v>
      </c>
      <c r="D524" s="2" t="s">
        <v>432</v>
      </c>
      <c r="E524" s="115"/>
      <c r="F524" s="18">
        <v>555033.4</v>
      </c>
      <c r="G524" s="18">
        <v>193306.41</v>
      </c>
      <c r="H524" s="18">
        <v>165289</v>
      </c>
      <c r="I524" s="18">
        <v>2008.98</v>
      </c>
      <c r="J524" s="18">
        <v>8589.4399999999987</v>
      </c>
      <c r="K524" s="18">
        <v>1887.22</v>
      </c>
      <c r="L524" s="88">
        <f>SUM(F524:K524)</f>
        <v>926114.45</v>
      </c>
      <c r="N524" s="265"/>
    </row>
    <row r="525" spans="1:14" s="52" customFormat="1" ht="12.2" customHeight="1" thickTop="1" x14ac:dyDescent="0.2">
      <c r="A525" s="139" t="s">
        <v>63</v>
      </c>
      <c r="B525" s="107">
        <v>21</v>
      </c>
      <c r="C525" s="195">
        <v>4</v>
      </c>
      <c r="D525" s="196" t="s">
        <v>432</v>
      </c>
      <c r="E525" s="195"/>
      <c r="F525" s="108">
        <f>SUM(F522:F524)</f>
        <v>2145547.89</v>
      </c>
      <c r="G525" s="108">
        <f t="shared" ref="G525:L525" si="36">SUM(G522:G524)</f>
        <v>597567.09</v>
      </c>
      <c r="H525" s="108">
        <f t="shared" si="36"/>
        <v>571416.62</v>
      </c>
      <c r="I525" s="108">
        <f t="shared" si="36"/>
        <v>6141.6900000000005</v>
      </c>
      <c r="J525" s="108">
        <f t="shared" si="36"/>
        <v>19785.55</v>
      </c>
      <c r="K525" s="108">
        <f t="shared" si="36"/>
        <v>6770.02</v>
      </c>
      <c r="L525" s="89">
        <f t="shared" si="36"/>
        <v>3347228.8600000003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56116.08</v>
      </c>
      <c r="G527" s="18">
        <v>22558.76</v>
      </c>
      <c r="H527" s="18">
        <v>1149.6099999999999</v>
      </c>
      <c r="I527" s="18">
        <v>227.91</v>
      </c>
      <c r="J527" s="18">
        <v>32.770000000000003</v>
      </c>
      <c r="K527" s="18">
        <v>0</v>
      </c>
      <c r="L527" s="88">
        <f>SUM(F527:K527)</f>
        <v>80085.13</v>
      </c>
      <c r="M527" s="8"/>
      <c r="N527" s="266"/>
    </row>
    <row r="528" spans="1:14" s="3" customFormat="1" ht="12.2" customHeight="1" x14ac:dyDescent="0.15">
      <c r="A528" s="22" t="s">
        <v>634</v>
      </c>
      <c r="B528" s="105">
        <v>21</v>
      </c>
      <c r="C528" s="115">
        <v>6</v>
      </c>
      <c r="D528" s="2" t="s">
        <v>432</v>
      </c>
      <c r="E528" s="115"/>
      <c r="F528" s="18">
        <v>46704.58</v>
      </c>
      <c r="G528" s="18">
        <v>18775.32</v>
      </c>
      <c r="H528" s="18">
        <v>956.81</v>
      </c>
      <c r="I528" s="18">
        <v>189.69</v>
      </c>
      <c r="J528" s="18">
        <v>27.27</v>
      </c>
      <c r="K528" s="18">
        <v>0</v>
      </c>
      <c r="L528" s="88">
        <f>SUM(F528:K528)</f>
        <v>66653.670000000013</v>
      </c>
      <c r="M528" s="8"/>
      <c r="N528" s="266"/>
    </row>
    <row r="529" spans="1:14" s="3" customFormat="1" ht="12.2" customHeight="1" thickBot="1" x14ac:dyDescent="0.2">
      <c r="A529" s="22" t="s">
        <v>635</v>
      </c>
      <c r="B529" s="118">
        <v>21</v>
      </c>
      <c r="C529" s="118">
        <v>7</v>
      </c>
      <c r="D529" s="2" t="s">
        <v>432</v>
      </c>
      <c r="E529" s="118"/>
      <c r="F529" s="18">
        <v>51292.68</v>
      </c>
      <c r="G529" s="18">
        <v>20619.740000000002</v>
      </c>
      <c r="H529" s="18">
        <v>1050.8</v>
      </c>
      <c r="I529" s="18">
        <v>208.32</v>
      </c>
      <c r="J529" s="18">
        <v>29.95</v>
      </c>
      <c r="K529" s="18">
        <v>0</v>
      </c>
      <c r="L529" s="88">
        <f>SUM(F529:K529)</f>
        <v>73201.490000000005</v>
      </c>
      <c r="M529" s="8"/>
      <c r="N529" s="266"/>
    </row>
    <row r="530" spans="1:14" s="3" customFormat="1" ht="12.2" customHeight="1" thickTop="1" x14ac:dyDescent="0.15">
      <c r="A530" s="139" t="s">
        <v>65</v>
      </c>
      <c r="B530" s="107">
        <v>21</v>
      </c>
      <c r="C530" s="107">
        <v>8</v>
      </c>
      <c r="D530" s="158" t="s">
        <v>432</v>
      </c>
      <c r="E530" s="107"/>
      <c r="F530" s="89">
        <f>SUM(F527:F529)</f>
        <v>154113.34</v>
      </c>
      <c r="G530" s="89">
        <f t="shared" ref="G530:L530" si="37">SUM(G527:G529)</f>
        <v>61953.820000000007</v>
      </c>
      <c r="H530" s="89">
        <f t="shared" si="37"/>
        <v>3157.2200000000003</v>
      </c>
      <c r="I530" s="89">
        <f t="shared" si="37"/>
        <v>625.92000000000007</v>
      </c>
      <c r="J530" s="89">
        <f t="shared" si="37"/>
        <v>89.990000000000009</v>
      </c>
      <c r="K530" s="89">
        <f t="shared" si="37"/>
        <v>0</v>
      </c>
      <c r="L530" s="89">
        <f t="shared" si="37"/>
        <v>219940.29000000004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175107.04</v>
      </c>
      <c r="G532" s="18">
        <v>68568.87</v>
      </c>
      <c r="H532" s="18">
        <v>19067.03</v>
      </c>
      <c r="I532" s="18">
        <v>1346.96</v>
      </c>
      <c r="J532" s="18">
        <v>305.68</v>
      </c>
      <c r="K532" s="18">
        <v>0</v>
      </c>
      <c r="L532" s="88">
        <f>SUM(F532:K532)</f>
        <v>264395.58</v>
      </c>
      <c r="M532" s="8"/>
      <c r="N532" s="266"/>
    </row>
    <row r="533" spans="1:14" s="3" customFormat="1" ht="12.2" customHeight="1" x14ac:dyDescent="0.15">
      <c r="A533" s="22" t="s">
        <v>634</v>
      </c>
      <c r="B533" s="105">
        <v>21</v>
      </c>
      <c r="C533" s="105">
        <v>10</v>
      </c>
      <c r="D533" s="2" t="s">
        <v>432</v>
      </c>
      <c r="E533" s="105"/>
      <c r="F533" s="18">
        <v>145738.98000000001</v>
      </c>
      <c r="G533" s="18">
        <v>57068.85</v>
      </c>
      <c r="H533" s="18">
        <v>15869.2</v>
      </c>
      <c r="I533" s="18">
        <v>1121.06</v>
      </c>
      <c r="J533" s="18">
        <v>254.42</v>
      </c>
      <c r="K533" s="18">
        <v>0</v>
      </c>
      <c r="L533" s="88">
        <f>SUM(F533:K533)</f>
        <v>220052.51000000004</v>
      </c>
      <c r="M533" s="8"/>
      <c r="N533" s="266"/>
    </row>
    <row r="534" spans="1:14" s="3" customFormat="1" ht="12.2" customHeight="1" thickBot="1" x14ac:dyDescent="0.2">
      <c r="A534" s="22" t="s">
        <v>635</v>
      </c>
      <c r="B534" s="105">
        <v>21</v>
      </c>
      <c r="C534" s="105">
        <v>11</v>
      </c>
      <c r="D534" s="2" t="s">
        <v>432</v>
      </c>
      <c r="E534" s="105"/>
      <c r="F534" s="18">
        <v>160055.91</v>
      </c>
      <c r="G534" s="18">
        <v>62675.11</v>
      </c>
      <c r="H534" s="18">
        <v>17428.14</v>
      </c>
      <c r="I534" s="18">
        <v>1231.18</v>
      </c>
      <c r="J534" s="18">
        <v>279.41000000000003</v>
      </c>
      <c r="K534" s="18">
        <v>0</v>
      </c>
      <c r="L534" s="88">
        <f>SUM(F534:K534)</f>
        <v>241669.75000000003</v>
      </c>
      <c r="M534" s="8"/>
      <c r="N534" s="266"/>
    </row>
    <row r="535" spans="1:14" s="3" customFormat="1" ht="12.2" customHeight="1" thickTop="1" x14ac:dyDescent="0.15">
      <c r="A535" s="139" t="s">
        <v>67</v>
      </c>
      <c r="B535" s="107">
        <v>21</v>
      </c>
      <c r="C535" s="107">
        <v>12</v>
      </c>
      <c r="D535" s="158" t="s">
        <v>432</v>
      </c>
      <c r="E535" s="107"/>
      <c r="F535" s="89">
        <f>SUM(F532:F534)</f>
        <v>480901.93000000005</v>
      </c>
      <c r="G535" s="89">
        <f t="shared" ref="G535:L535" si="38">SUM(G532:G534)</f>
        <v>188312.83000000002</v>
      </c>
      <c r="H535" s="89">
        <f t="shared" si="38"/>
        <v>52364.369999999995</v>
      </c>
      <c r="I535" s="89">
        <f t="shared" si="38"/>
        <v>3699.2</v>
      </c>
      <c r="J535" s="89">
        <f t="shared" si="38"/>
        <v>839.51</v>
      </c>
      <c r="K535" s="89">
        <f t="shared" si="38"/>
        <v>0</v>
      </c>
      <c r="L535" s="89">
        <f t="shared" si="38"/>
        <v>726117.84000000008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139161.01999999999</v>
      </c>
      <c r="I542" s="18">
        <v>0</v>
      </c>
      <c r="J542" s="18">
        <v>0</v>
      </c>
      <c r="K542" s="18">
        <v>0</v>
      </c>
      <c r="L542" s="88">
        <f>SUM(F542:K542)</f>
        <v>139161.01999999999</v>
      </c>
      <c r="M542" s="8"/>
      <c r="N542" s="266"/>
    </row>
    <row r="543" spans="1:14" s="3" customFormat="1" ht="12.2" customHeight="1" x14ac:dyDescent="0.15">
      <c r="A543" s="22" t="s">
        <v>634</v>
      </c>
      <c r="B543" s="105">
        <v>21</v>
      </c>
      <c r="C543" s="105">
        <v>18</v>
      </c>
      <c r="D543" s="2" t="s">
        <v>432</v>
      </c>
      <c r="E543" s="105"/>
      <c r="F543" s="18">
        <v>0</v>
      </c>
      <c r="G543" s="18">
        <v>0</v>
      </c>
      <c r="H543" s="18">
        <v>104330.49</v>
      </c>
      <c r="I543" s="18">
        <v>0</v>
      </c>
      <c r="J543" s="18">
        <v>0</v>
      </c>
      <c r="K543" s="18">
        <v>0</v>
      </c>
      <c r="L543" s="88">
        <f>SUM(F543:K543)</f>
        <v>104330.49</v>
      </c>
      <c r="M543" s="8"/>
      <c r="N543" s="266"/>
    </row>
    <row r="544" spans="1:14" s="3" customFormat="1" ht="12.2" customHeight="1" thickBot="1" x14ac:dyDescent="0.2">
      <c r="A544" s="22" t="s">
        <v>635</v>
      </c>
      <c r="B544" s="105">
        <v>21</v>
      </c>
      <c r="C544" s="105">
        <v>19</v>
      </c>
      <c r="D544" s="2" t="s">
        <v>432</v>
      </c>
      <c r="E544" s="105"/>
      <c r="F544" s="18">
        <v>0</v>
      </c>
      <c r="G544" s="18">
        <v>0</v>
      </c>
      <c r="H544" s="18">
        <v>99647.77</v>
      </c>
      <c r="I544" s="18">
        <v>0</v>
      </c>
      <c r="J544" s="18">
        <v>0</v>
      </c>
      <c r="K544" s="18">
        <v>0</v>
      </c>
      <c r="L544" s="88">
        <f>SUM(F544:K544)</f>
        <v>99647.77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343139.28</v>
      </c>
      <c r="I545" s="193">
        <f t="shared" si="40"/>
        <v>0</v>
      </c>
      <c r="J545" s="193">
        <f t="shared" si="40"/>
        <v>0</v>
      </c>
      <c r="K545" s="193">
        <f t="shared" si="40"/>
        <v>0</v>
      </c>
      <c r="L545" s="193">
        <f t="shared" si="40"/>
        <v>343139.28</v>
      </c>
      <c r="M545" s="8"/>
      <c r="N545" s="266"/>
    </row>
    <row r="546" spans="1:14" s="3" customFormat="1" ht="12.2" customHeight="1" thickTop="1" x14ac:dyDescent="0.15">
      <c r="A546" s="98" t="s">
        <v>72</v>
      </c>
      <c r="B546" s="107">
        <v>21</v>
      </c>
      <c r="C546" s="107">
        <v>21</v>
      </c>
      <c r="D546" s="158" t="s">
        <v>432</v>
      </c>
      <c r="E546" s="107"/>
      <c r="F546" s="89">
        <f>F525+F530+F535+F540+F545</f>
        <v>2780563.16</v>
      </c>
      <c r="G546" s="89">
        <f t="shared" ref="G546:L546" si="41">G525+G530+G535+G540+G545</f>
        <v>847833.74</v>
      </c>
      <c r="H546" s="89">
        <f t="shared" si="41"/>
        <v>970077.49</v>
      </c>
      <c r="I546" s="89">
        <f t="shared" si="41"/>
        <v>10466.810000000001</v>
      </c>
      <c r="J546" s="89">
        <f t="shared" si="41"/>
        <v>20715.05</v>
      </c>
      <c r="K546" s="89">
        <f t="shared" si="41"/>
        <v>6770.02</v>
      </c>
      <c r="L546" s="89">
        <f t="shared" si="41"/>
        <v>4636426.2700000005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1394926.5400000003</v>
      </c>
      <c r="G550" s="87">
        <f>L527</f>
        <v>80085.13</v>
      </c>
      <c r="H550" s="87">
        <f>L532</f>
        <v>264395.58</v>
      </c>
      <c r="I550" s="87">
        <f>L537</f>
        <v>0</v>
      </c>
      <c r="J550" s="87">
        <f>L542</f>
        <v>139161.01999999999</v>
      </c>
      <c r="K550" s="87">
        <f>SUM(F550:J550)</f>
        <v>1878568.2700000005</v>
      </c>
      <c r="L550" s="24" t="s">
        <v>288</v>
      </c>
      <c r="M550" s="8"/>
      <c r="N550" s="266"/>
    </row>
    <row r="551" spans="1:14" s="3" customFormat="1" ht="12.2" customHeight="1" x14ac:dyDescent="0.15">
      <c r="A551" s="22" t="s">
        <v>634</v>
      </c>
      <c r="B551" s="75">
        <v>21</v>
      </c>
      <c r="C551" s="75">
        <v>23</v>
      </c>
      <c r="D551" s="2" t="s">
        <v>432</v>
      </c>
      <c r="E551" s="75"/>
      <c r="F551" s="87">
        <f>L523</f>
        <v>1026187.8699999999</v>
      </c>
      <c r="G551" s="87">
        <f>L528</f>
        <v>66653.670000000013</v>
      </c>
      <c r="H551" s="87">
        <f>L533</f>
        <v>220052.51000000004</v>
      </c>
      <c r="I551" s="87">
        <f>L538</f>
        <v>0</v>
      </c>
      <c r="J551" s="87">
        <f>L543</f>
        <v>104330.49</v>
      </c>
      <c r="K551" s="87">
        <f>SUM(F551:J551)</f>
        <v>1417224.5399999998</v>
      </c>
      <c r="L551" s="24" t="s">
        <v>288</v>
      </c>
      <c r="M551" s="8"/>
      <c r="N551" s="266"/>
    </row>
    <row r="552" spans="1:14" s="3" customFormat="1" ht="12.2" customHeight="1" thickBot="1" x14ac:dyDescent="0.2">
      <c r="A552" s="22" t="s">
        <v>635</v>
      </c>
      <c r="B552" s="75">
        <v>21</v>
      </c>
      <c r="C552" s="75">
        <v>24</v>
      </c>
      <c r="D552" s="2" t="s">
        <v>432</v>
      </c>
      <c r="E552" s="75"/>
      <c r="F552" s="87">
        <f>L524</f>
        <v>926114.45</v>
      </c>
      <c r="G552" s="87">
        <f>L529</f>
        <v>73201.490000000005</v>
      </c>
      <c r="H552" s="87">
        <f>L534</f>
        <v>241669.75000000003</v>
      </c>
      <c r="I552" s="87">
        <f>L539</f>
        <v>0</v>
      </c>
      <c r="J552" s="87">
        <f>L544</f>
        <v>99647.77</v>
      </c>
      <c r="K552" s="87">
        <f>SUM(F552:J552)</f>
        <v>1340633.46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3347228.8600000003</v>
      </c>
      <c r="G553" s="89">
        <f t="shared" si="42"/>
        <v>219940.29000000004</v>
      </c>
      <c r="H553" s="89">
        <f t="shared" si="42"/>
        <v>726117.84000000008</v>
      </c>
      <c r="I553" s="89">
        <f t="shared" si="42"/>
        <v>0</v>
      </c>
      <c r="J553" s="89">
        <f t="shared" si="42"/>
        <v>343139.28</v>
      </c>
      <c r="K553" s="89">
        <f t="shared" si="42"/>
        <v>4636426.2700000005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16996.099999999999</v>
      </c>
      <c r="G563" s="18">
        <v>3020.43</v>
      </c>
      <c r="H563" s="18">
        <v>373.59</v>
      </c>
      <c r="I563" s="18">
        <v>171.35</v>
      </c>
      <c r="J563" s="18">
        <v>0</v>
      </c>
      <c r="K563" s="18">
        <v>0</v>
      </c>
      <c r="L563" s="88">
        <f>SUM(F563:K563)</f>
        <v>20561.469999999998</v>
      </c>
      <c r="M563" s="8"/>
      <c r="N563" s="266"/>
    </row>
    <row r="564" spans="1:14" s="3" customFormat="1" ht="12.2" customHeight="1" x14ac:dyDescent="0.15">
      <c r="A564" s="22" t="s">
        <v>634</v>
      </c>
      <c r="B564" s="105">
        <v>22</v>
      </c>
      <c r="C564" s="115">
        <v>6</v>
      </c>
      <c r="D564" s="2" t="s">
        <v>432</v>
      </c>
      <c r="E564" s="115"/>
      <c r="F564" s="18">
        <v>14145.6</v>
      </c>
      <c r="G564" s="18">
        <v>2513.86</v>
      </c>
      <c r="H564" s="18">
        <v>310.93</v>
      </c>
      <c r="I564" s="18">
        <v>142.61000000000001</v>
      </c>
      <c r="J564" s="18">
        <v>0</v>
      </c>
      <c r="K564" s="18">
        <v>0</v>
      </c>
      <c r="L564" s="88">
        <f>SUM(F564:K564)</f>
        <v>17113</v>
      </c>
      <c r="M564" s="8"/>
      <c r="N564" s="266"/>
    </row>
    <row r="565" spans="1:14" s="3" customFormat="1" ht="12.2" customHeight="1" thickBot="1" x14ac:dyDescent="0.2">
      <c r="A565" s="22" t="s">
        <v>635</v>
      </c>
      <c r="B565" s="105">
        <v>22</v>
      </c>
      <c r="C565" s="118">
        <v>7</v>
      </c>
      <c r="D565" s="2" t="s">
        <v>432</v>
      </c>
      <c r="E565" s="118"/>
      <c r="F565" s="18">
        <v>15535.22</v>
      </c>
      <c r="G565" s="18">
        <v>2760.81</v>
      </c>
      <c r="H565" s="18">
        <v>341.48</v>
      </c>
      <c r="I565" s="18">
        <v>156.62</v>
      </c>
      <c r="J565" s="18">
        <v>0</v>
      </c>
      <c r="K565" s="18">
        <v>0</v>
      </c>
      <c r="L565" s="88">
        <f>SUM(F565:K565)</f>
        <v>18794.129999999997</v>
      </c>
      <c r="M565" s="8"/>
      <c r="N565" s="266"/>
    </row>
    <row r="566" spans="1:14" s="3" customFormat="1" ht="12.2" customHeight="1" thickTop="1" x14ac:dyDescent="0.15">
      <c r="A566" s="139" t="s">
        <v>65</v>
      </c>
      <c r="B566" s="107">
        <v>22</v>
      </c>
      <c r="C566" s="107">
        <v>8</v>
      </c>
      <c r="D566" s="196" t="s">
        <v>432</v>
      </c>
      <c r="E566" s="107"/>
      <c r="F566" s="89">
        <f t="shared" ref="F566:L566" si="44">SUM(F563:F565)</f>
        <v>46676.92</v>
      </c>
      <c r="G566" s="89">
        <f t="shared" si="44"/>
        <v>8295.1</v>
      </c>
      <c r="H566" s="89">
        <f t="shared" si="44"/>
        <v>1026</v>
      </c>
      <c r="I566" s="89">
        <f t="shared" si="44"/>
        <v>470.58000000000004</v>
      </c>
      <c r="J566" s="89">
        <f t="shared" si="44"/>
        <v>0</v>
      </c>
      <c r="K566" s="89">
        <f t="shared" si="44"/>
        <v>0</v>
      </c>
      <c r="L566" s="89">
        <f t="shared" si="44"/>
        <v>56468.6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46676.92</v>
      </c>
      <c r="G572" s="89">
        <f t="shared" ref="G572:L572" si="46">G561+G566+G571</f>
        <v>8295.1</v>
      </c>
      <c r="H572" s="89">
        <f t="shared" si="46"/>
        <v>1026</v>
      </c>
      <c r="I572" s="89">
        <f t="shared" si="46"/>
        <v>470.58000000000004</v>
      </c>
      <c r="J572" s="89">
        <f t="shared" si="46"/>
        <v>0</v>
      </c>
      <c r="K572" s="89">
        <f t="shared" si="46"/>
        <v>0</v>
      </c>
      <c r="L572" s="89">
        <f t="shared" si="46"/>
        <v>56468.6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93382.2</v>
      </c>
      <c r="H583" s="18">
        <v>285171.15000000002</v>
      </c>
      <c r="I583" s="87">
        <f t="shared" si="47"/>
        <v>378553.35000000003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57398.01</v>
      </c>
      <c r="I585" s="87">
        <f t="shared" si="47"/>
        <v>57398.01</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173676.11</v>
      </c>
      <c r="I592" s="18">
        <v>144548.04</v>
      </c>
      <c r="J592" s="18">
        <v>158747.98000000001</v>
      </c>
      <c r="K592" s="104">
        <f t="shared" ref="K592:K598" si="48">SUM(H592:J592)</f>
        <v>476972.13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139161.01999999999</v>
      </c>
      <c r="I593" s="18">
        <v>104330.49</v>
      </c>
      <c r="J593" s="18">
        <v>99647.77</v>
      </c>
      <c r="K593" s="104">
        <f t="shared" si="48"/>
        <v>343139.28</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35153.040000000001</v>
      </c>
      <c r="K594" s="104">
        <f t="shared" si="48"/>
        <v>35153.040000000001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263</v>
      </c>
      <c r="J595" s="18">
        <v>57686.7</v>
      </c>
      <c r="K595" s="104">
        <f t="shared" si="48"/>
        <v>57949.7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359.09</v>
      </c>
      <c r="I596" s="18">
        <v>11559.48</v>
      </c>
      <c r="J596" s="18">
        <v>2595.13</v>
      </c>
      <c r="K596" s="104">
        <f t="shared" si="48"/>
        <v>14513.7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313196.22000000003</v>
      </c>
      <c r="I599" s="108">
        <f>SUM(I592:I598)</f>
        <v>260701.01000000004</v>
      </c>
      <c r="J599" s="108">
        <f>SUM(J592:J598)</f>
        <v>353830.62</v>
      </c>
      <c r="K599" s="108">
        <f>SUM(K592:K598)</f>
        <v>927727.85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117266.57999999999</v>
      </c>
      <c r="I605" s="18">
        <v>195805.11</v>
      </c>
      <c r="J605" s="18">
        <v>141296.34</v>
      </c>
      <c r="K605" s="104">
        <f>SUM(H605:J605)</f>
        <v>454368.02999999991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117266.57999999999</v>
      </c>
      <c r="I606" s="108">
        <f>SUM(I603:I605)</f>
        <v>195805.11</v>
      </c>
      <c r="J606" s="108">
        <f>SUM(J603:J605)</f>
        <v>141296.34</v>
      </c>
      <c r="K606" s="108">
        <f>SUM(K603:K605)</f>
        <v>454368.02999999991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2086147.7</v>
      </c>
      <c r="H618" s="109">
        <f>SUM(F52)</f>
        <v>2086147.7000000002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35585.19</v>
      </c>
      <c r="H619" s="109">
        <f>SUM(G52)</f>
        <v>35585.19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71630.23</v>
      </c>
      <c r="H620" s="109">
        <f>SUM(H52)</f>
        <v>71630.23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472697.98</v>
      </c>
      <c r="H622" s="109">
        <f>SUM(J52)</f>
        <v>472697.98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1283338.6800000002</v>
      </c>
      <c r="H623" s="109">
        <f>F477</f>
        <v>1283338.6799999997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472697.98</v>
      </c>
      <c r="H627" s="109">
        <f>J477</f>
        <v>472697.98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21861557.41</v>
      </c>
      <c r="H628" s="104">
        <f>SUM(F469)</f>
        <v>21861557.41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486889.28</v>
      </c>
      <c r="H629" s="104">
        <f>SUM(G469)</f>
        <v>486889.28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613634.65</v>
      </c>
      <c r="H630" s="104">
        <f>SUM(H469)</f>
        <v>613634.65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102141.07</v>
      </c>
      <c r="H632" s="104">
        <f>SUM(J469)</f>
        <v>102141.07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21105142.280000001</v>
      </c>
      <c r="H633" s="104">
        <f>SUM(F473)</f>
        <v>21105142.280000001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613634.65</v>
      </c>
      <c r="H634" s="104">
        <f>SUM(H473)</f>
        <v>613634.65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196419.09999999998</v>
      </c>
      <c r="H635" s="104">
        <f>I370</f>
        <v>196419.09999999998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486889.28</v>
      </c>
      <c r="H636" s="104">
        <f>SUM(G473)</f>
        <v>486889.28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102141.07</v>
      </c>
      <c r="H638" s="164">
        <f>SUM(J469)</f>
        <v>102141.07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472697.98</v>
      </c>
      <c r="H640" s="104">
        <f>SUM(F462)</f>
        <v>472697.98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472697.98</v>
      </c>
      <c r="H643" s="104">
        <f>SUM(I462)</f>
        <v>472697.98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2141.0700000000002</v>
      </c>
      <c r="H645" s="104">
        <f>H409</f>
        <v>2141.0700000000002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102141.07</v>
      </c>
      <c r="H647" s="104">
        <f>L409</f>
        <v>102141.07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927727.85</v>
      </c>
      <c r="H648" s="104">
        <f>L209+L227+L245</f>
        <v>927727.85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454368.02999999991</v>
      </c>
      <c r="H649" s="104">
        <f>(J258+J339)-(J256+J337)</f>
        <v>454368.02999999997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313196.21999999997</v>
      </c>
      <c r="H650" s="104">
        <f>H599</f>
        <v>313196.22000000003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260701.01</v>
      </c>
      <c r="H651" s="104">
        <f>I599</f>
        <v>260701.01000000004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353830.62</v>
      </c>
      <c r="H652" s="104">
        <f>J599</f>
        <v>353830.62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154159.75</v>
      </c>
      <c r="H653" s="104">
        <f>K264+K346</f>
        <v>154159.75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7465705.959999999</v>
      </c>
      <c r="G661" s="19">
        <f>(L230+L310+L360)</f>
        <v>6881805.0099999988</v>
      </c>
      <c r="H661" s="19">
        <f>(L248+L329+L361)</f>
        <v>7523560.29</v>
      </c>
      <c r="I661" s="19">
        <f>SUM(F661:H661)</f>
        <v>21871071.259999998</v>
      </c>
      <c r="J661" s="13"/>
      <c r="K661" s="13"/>
      <c r="L661" s="13"/>
      <c r="M661" s="9"/>
    </row>
    <row r="662" spans="1:13" s="3" customFormat="1" ht="12.2" customHeight="1" x14ac:dyDescent="0.2">
      <c r="A662" s="1" t="s">
        <v>127</v>
      </c>
      <c r="F662" s="19">
        <f>(L359/IF(SUM(L359:L361)=0,1,SUM(L359:L361))*(SUM(G97:G110)))</f>
        <v>64024.731904171313</v>
      </c>
      <c r="G662" s="19">
        <f>(L360/IF(SUM(L359:L361)=0,1,SUM(L359:L361))*(SUM(G97:G110)))</f>
        <v>77749.839063133622</v>
      </c>
      <c r="H662" s="19">
        <f>(L361/IF(SUM(L359:L361)=0,1,SUM(L359:L361))*(SUM(G97:G110)))</f>
        <v>82358.929032695072</v>
      </c>
      <c r="I662" s="19">
        <f>SUM(F662:H662)</f>
        <v>224133.5</v>
      </c>
      <c r="J662"/>
      <c r="K662" s="13"/>
      <c r="L662" s="13"/>
      <c r="M662" s="8"/>
    </row>
    <row r="663" spans="1:13" s="3" customFormat="1" ht="12.2" customHeight="1" x14ac:dyDescent="0.2">
      <c r="A663" s="1" t="s">
        <v>128</v>
      </c>
      <c r="F663" s="19">
        <f>(L209+L288)-(J209+J288)</f>
        <v>314133.56999999995</v>
      </c>
      <c r="G663" s="19">
        <f>(L227+L307)-(J227+J307)</f>
        <v>260701.01</v>
      </c>
      <c r="H663" s="19">
        <f>(L245+L326)-(J245+J326)</f>
        <v>353830.62</v>
      </c>
      <c r="I663" s="19">
        <f>SUM(F663:H663)</f>
        <v>928665.2</v>
      </c>
      <c r="J663"/>
      <c r="K663" s="13"/>
      <c r="L663" s="13"/>
      <c r="M663" s="9"/>
    </row>
    <row r="664" spans="1:13" s="3" customFormat="1" ht="12.2" customHeight="1" x14ac:dyDescent="0.15">
      <c r="A664" s="198" t="s">
        <v>129</v>
      </c>
      <c r="B664" s="169"/>
      <c r="C664" s="169"/>
      <c r="D664" s="169"/>
      <c r="E664" s="169"/>
      <c r="F664" s="199">
        <f>SUM(F576:F588)+SUM(H603:H605)+SUM(L612)</f>
        <v>117266.57999999999</v>
      </c>
      <c r="G664" s="199">
        <f>SUM(G576:G588)+SUM(I603:I605)+L613</f>
        <v>289187.31</v>
      </c>
      <c r="H664" s="199">
        <f>SUM(H576:H588)+SUM(J603:J605)+L614</f>
        <v>483865.5</v>
      </c>
      <c r="I664" s="19">
        <f>SUM(F664:H664)</f>
        <v>890319.39</v>
      </c>
      <c r="J664" s="13"/>
      <c r="K664" s="13"/>
      <c r="L664" s="13"/>
      <c r="M664" s="9"/>
    </row>
    <row r="665" spans="1:13" s="3" customFormat="1" ht="12.2" customHeight="1" x14ac:dyDescent="0.15">
      <c r="A665" s="1" t="s">
        <v>130</v>
      </c>
      <c r="F665" s="19">
        <f>F661-SUM(F662:F664)</f>
        <v>6970281.0780958282</v>
      </c>
      <c r="G665" s="19">
        <f>G661-SUM(G662:G664)</f>
        <v>6254166.8509368654</v>
      </c>
      <c r="H665" s="19">
        <f>H661-SUM(H662:H664)</f>
        <v>6603505.2409673054</v>
      </c>
      <c r="I665" s="19">
        <f>I661-SUM(I662:I664)</f>
        <v>19827953.169999998</v>
      </c>
      <c r="J665" s="13"/>
      <c r="K665" s="13"/>
      <c r="L665" s="13"/>
      <c r="M665" s="8"/>
    </row>
    <row r="666" spans="1:13" s="3" customFormat="1" ht="12.2" customHeight="1" x14ac:dyDescent="0.2">
      <c r="A666" s="1" t="s">
        <v>131</v>
      </c>
      <c r="F666" s="246">
        <f>13.07+75.94+356.78</f>
        <v>445.78999999999996</v>
      </c>
      <c r="G666" s="247">
        <v>395.39</v>
      </c>
      <c r="H666" s="247">
        <v>421.5</v>
      </c>
      <c r="I666" s="19">
        <f>SUM(F666:H666)</f>
        <v>1262.6799999999998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15635.8</v>
      </c>
      <c r="G668" s="19">
        <f>ROUND(G665/G666,2)</f>
        <v>15817.72</v>
      </c>
      <c r="H668" s="19">
        <f>ROUND(H665/H666,2)</f>
        <v>15666.68</v>
      </c>
      <c r="I668" s="19">
        <f>ROUND(I665/I666,2)</f>
        <v>15703.07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-13.39</v>
      </c>
      <c r="I671" s="19">
        <f>SUM(F671:H671)</f>
        <v>-13.39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15635.8</v>
      </c>
      <c r="G673" s="19">
        <f>ROUND((G665+G670)/(G666+G671),2)</f>
        <v>15817.72</v>
      </c>
      <c r="H673" s="19">
        <f>ROUND((H665+H670)/(H666+H671),2)</f>
        <v>16180.7</v>
      </c>
      <c r="I673" s="19">
        <f>ROUND((I665+I670)/(I666+I671),2)</f>
        <v>15871.38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Litchfield School District</v>
      </c>
      <c r="C5" s="344"/>
      <c r="D5" s="344"/>
      <c r="E5" s="344"/>
      <c r="F5" s="344"/>
    </row>
    <row r="8" spans="1:9" ht="18" x14ac:dyDescent="0.25">
      <c r="A8" s="323" t="s">
        <v>1591</v>
      </c>
      <c r="F8" s="330" t="s">
        <v>1609</v>
      </c>
    </row>
    <row r="9" spans="1:9" ht="15" x14ac:dyDescent="0.2">
      <c r="A9" s="321" t="s">
        <v>1592</v>
      </c>
      <c r="B9" s="324">
        <f>'DOE25'!G97</f>
        <v>224133.5</v>
      </c>
      <c r="F9" s="321" t="s">
        <v>1605</v>
      </c>
    </row>
    <row r="10" spans="1:9" ht="15" x14ac:dyDescent="0.2">
      <c r="A10" s="321" t="s">
        <v>1593</v>
      </c>
      <c r="B10" s="324">
        <f>'DOE25'!G112-'DOE25'!G97</f>
        <v>0</v>
      </c>
      <c r="F10" s="321" t="s">
        <v>1606</v>
      </c>
    </row>
    <row r="11" spans="1:9" ht="15" x14ac:dyDescent="0.2">
      <c r="A11" s="321" t="s">
        <v>1594</v>
      </c>
      <c r="B11" s="324">
        <f>'DOE25'!G140</f>
        <v>5645.67</v>
      </c>
      <c r="F11" s="321" t="s">
        <v>1607</v>
      </c>
    </row>
    <row r="12" spans="1:9" ht="15" x14ac:dyDescent="0.2">
      <c r="A12" s="321" t="s">
        <v>1595</v>
      </c>
      <c r="B12" s="324">
        <f>'DOE25'!G170</f>
        <v>102950.36</v>
      </c>
      <c r="F12" s="321" t="s">
        <v>1608</v>
      </c>
    </row>
    <row r="13" spans="1:9" ht="15" x14ac:dyDescent="0.2">
      <c r="A13" s="321" t="s">
        <v>1596</v>
      </c>
      <c r="B13" s="324">
        <f>'DOE25'!G193-'DOE25'!G180</f>
        <v>0</v>
      </c>
      <c r="F13" s="321" t="s">
        <v>1618</v>
      </c>
    </row>
    <row r="14" spans="1:9" ht="18" x14ac:dyDescent="0.25">
      <c r="A14" s="323" t="s">
        <v>732</v>
      </c>
      <c r="B14" s="325">
        <f>SUM(B9:B13)</f>
        <v>332729.53000000003</v>
      </c>
    </row>
    <row r="16" spans="1:9" ht="18" x14ac:dyDescent="0.25">
      <c r="A16" s="323" t="s">
        <v>786</v>
      </c>
      <c r="F16" s="330" t="s">
        <v>1610</v>
      </c>
    </row>
    <row r="17" spans="1:6" ht="15" x14ac:dyDescent="0.2">
      <c r="A17" s="321" t="s">
        <v>1597</v>
      </c>
      <c r="B17" s="324">
        <f>'DOE25'!L363-'DOE25'!L362</f>
        <v>486889.28</v>
      </c>
      <c r="F17" s="321" t="s">
        <v>1611</v>
      </c>
    </row>
    <row r="18" spans="1:6" ht="15" x14ac:dyDescent="0.2">
      <c r="A18" s="321" t="s">
        <v>1598</v>
      </c>
      <c r="B18" s="338"/>
      <c r="F18" s="330" t="s">
        <v>1637</v>
      </c>
    </row>
    <row r="19" spans="1:6" ht="18" x14ac:dyDescent="0.25">
      <c r="A19" s="323" t="s">
        <v>725</v>
      </c>
      <c r="B19" s="325">
        <f>SUM(B17:B18)</f>
        <v>486889.28</v>
      </c>
    </row>
    <row r="21" spans="1:6" ht="18.75" thickBot="1" x14ac:dyDescent="0.3">
      <c r="A21" s="323" t="s">
        <v>1599</v>
      </c>
    </row>
    <row r="22" spans="1:6" ht="18.75" thickTop="1" x14ac:dyDescent="0.25">
      <c r="A22" s="323" t="s">
        <v>1600</v>
      </c>
      <c r="B22" s="329">
        <f>B14-B19</f>
        <v>-154159.75</v>
      </c>
      <c r="F22" s="321" t="s">
        <v>1612</v>
      </c>
    </row>
    <row r="26" spans="1:6" ht="18" x14ac:dyDescent="0.25">
      <c r="A26" s="323" t="s">
        <v>186</v>
      </c>
    </row>
    <row r="27" spans="1:6" ht="15" x14ac:dyDescent="0.2">
      <c r="A27" s="321" t="s">
        <v>1601</v>
      </c>
      <c r="B27" s="324">
        <f>'DOE25'!G180</f>
        <v>154159.75</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33122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17" sqref="F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Litchfield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5762414.0800000001</v>
      </c>
      <c r="C9" s="229">
        <f>'DOE25'!G198+'DOE25'!G216+'DOE25'!G234+'DOE25'!G277+'DOE25'!G296+'DOE25'!G315</f>
        <v>2587715.5499999998</v>
      </c>
    </row>
    <row r="10" spans="1:3" x14ac:dyDescent="0.2">
      <c r="A10" t="s">
        <v>775</v>
      </c>
      <c r="B10" s="240">
        <f>5384994.12</f>
        <v>5384994.1200000001</v>
      </c>
      <c r="C10" s="240">
        <v>2354821.1505</v>
      </c>
    </row>
    <row r="11" spans="1:3" x14ac:dyDescent="0.2">
      <c r="A11" t="s">
        <v>776</v>
      </c>
      <c r="B11" s="240">
        <f>67513.01+141616.21</f>
        <v>209129.21999999997</v>
      </c>
      <c r="C11" s="240">
        <v>69868.31985</v>
      </c>
    </row>
    <row r="12" spans="1:3" x14ac:dyDescent="0.2">
      <c r="A12" t="s">
        <v>777</v>
      </c>
      <c r="B12" s="240">
        <v>168290.74</v>
      </c>
      <c r="C12" s="240">
        <v>163026.07965</v>
      </c>
    </row>
    <row r="13" spans="1:3" x14ac:dyDescent="0.2">
      <c r="A13" t="str">
        <f>IF(B9=B13,IF(C9=C13,"Check Total OK","Check Total Error"),"Check Total Error")</f>
        <v>Check Total OK</v>
      </c>
      <c r="B13" s="231">
        <f>SUM(B10:B12)</f>
        <v>5762414.0800000001</v>
      </c>
      <c r="C13" s="231">
        <f>SUM(C10:C12)</f>
        <v>2587715.5500000003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2145547.89</v>
      </c>
      <c r="C18" s="229">
        <f>'DOE25'!G199+'DOE25'!G217+'DOE25'!G235+'DOE25'!G278+'DOE25'!G297+'DOE25'!G316</f>
        <v>597567.09</v>
      </c>
    </row>
    <row r="19" spans="1:3" x14ac:dyDescent="0.2">
      <c r="A19" t="s">
        <v>775</v>
      </c>
      <c r="B19" s="240">
        <f>46676.91+1008905.93</f>
        <v>1055582.8400000001</v>
      </c>
      <c r="C19" s="240">
        <v>286832.20319999999</v>
      </c>
    </row>
    <row r="20" spans="1:3" x14ac:dyDescent="0.2">
      <c r="A20" t="s">
        <v>776</v>
      </c>
      <c r="B20" s="240">
        <v>987247.66</v>
      </c>
      <c r="C20" s="240">
        <v>280856.53229999996</v>
      </c>
    </row>
    <row r="21" spans="1:3" x14ac:dyDescent="0.2">
      <c r="A21" t="s">
        <v>777</v>
      </c>
      <c r="B21" s="240">
        <f>14387.51+88329.88</f>
        <v>102717.39</v>
      </c>
      <c r="C21" s="240">
        <v>29878.354500000001</v>
      </c>
    </row>
    <row r="22" spans="1:3" x14ac:dyDescent="0.2">
      <c r="A22" t="str">
        <f>IF(B18=B22,IF(C18=C22,"Check Total OK","Check Total Error"),"Check Total Error")</f>
        <v>Check Total OK</v>
      </c>
      <c r="B22" s="231">
        <f>SUM(B19:B21)</f>
        <v>2145547.89</v>
      </c>
      <c r="C22" s="231">
        <f>SUM(C19:C21)</f>
        <v>597567.09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264249.09000000003</v>
      </c>
      <c r="C36" s="235">
        <f>'DOE25'!G201+'DOE25'!G219+'DOE25'!G237+'DOE25'!G280+'DOE25'!G299+'DOE25'!G318</f>
        <v>141508</v>
      </c>
    </row>
    <row r="37" spans="1:3" x14ac:dyDescent="0.2">
      <c r="A37" t="s">
        <v>775</v>
      </c>
      <c r="B37" s="240">
        <v>239479.87</v>
      </c>
      <c r="C37" s="240">
        <v>106131</v>
      </c>
    </row>
    <row r="38" spans="1:3" x14ac:dyDescent="0.2">
      <c r="A38" t="s">
        <v>776</v>
      </c>
      <c r="B38" s="240">
        <v>0</v>
      </c>
      <c r="C38" s="240">
        <v>0</v>
      </c>
    </row>
    <row r="39" spans="1:3" x14ac:dyDescent="0.2">
      <c r="A39" t="s">
        <v>777</v>
      </c>
      <c r="B39" s="240">
        <v>24769.25</v>
      </c>
      <c r="C39" s="240">
        <v>35377</v>
      </c>
    </row>
    <row r="40" spans="1:3" x14ac:dyDescent="0.2">
      <c r="A40" t="str">
        <f>IF(B36=B40,IF(C36=C40,"Check Total OK","Check Total Error"),"Check Total Error")</f>
        <v>Check Total Error</v>
      </c>
      <c r="B40" s="231">
        <f>SUM(B37:B39)</f>
        <v>264249.12</v>
      </c>
      <c r="C40" s="231">
        <f>SUM(C37:C39)</f>
        <v>141508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Litchfield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12322194.039999999</v>
      </c>
      <c r="D5" s="20">
        <f>SUM('DOE25'!L198:L201)+SUM('DOE25'!L216:L219)+SUM('DOE25'!L234:L237)-F5-G5-H5</f>
        <v>12213698.219999999</v>
      </c>
      <c r="E5" s="243"/>
      <c r="F5" s="244"/>
      <c r="G5" s="53">
        <f>SUM('DOE25'!J198:J201)+SUM('DOE25'!J216:J219)+SUM('DOE25'!J234:J237)</f>
        <v>69989.829999999987</v>
      </c>
      <c r="H5" s="53">
        <f>SUM('DOE25'!K198:K201)+SUM('DOE25'!K216:K219)+SUM('DOE25'!K234:K237)</f>
        <v>38505.990000000005</v>
      </c>
      <c r="I5" s="256"/>
    </row>
    <row r="6" spans="1:9" x14ac:dyDescent="0.2">
      <c r="A6" s="32">
        <v>2100</v>
      </c>
      <c r="B6" t="s">
        <v>796</v>
      </c>
      <c r="C6" s="276">
        <f t="shared" si="0"/>
        <v>1754111.38</v>
      </c>
      <c r="D6" s="20">
        <f>'DOE25'!L203+'DOE25'!L221+'DOE25'!L239-F6-G6-H6</f>
        <v>1750609.0699999998</v>
      </c>
      <c r="E6" s="243"/>
      <c r="F6" s="244"/>
      <c r="G6" s="53">
        <f>'DOE25'!J203+'DOE25'!J221+'DOE25'!J239</f>
        <v>2401.2799999999997</v>
      </c>
      <c r="H6" s="53">
        <f>'DOE25'!K203+'DOE25'!K221+'DOE25'!K239</f>
        <v>1101.03</v>
      </c>
      <c r="I6" s="256"/>
    </row>
    <row r="7" spans="1:9" x14ac:dyDescent="0.2">
      <c r="A7" s="32">
        <v>2200</v>
      </c>
      <c r="B7" t="s">
        <v>821</v>
      </c>
      <c r="C7" s="276">
        <f t="shared" si="0"/>
        <v>692875.53</v>
      </c>
      <c r="D7" s="20">
        <f>'DOE25'!L204+'DOE25'!L222+'DOE25'!L240-F7-G7-H7</f>
        <v>634998.98</v>
      </c>
      <c r="E7" s="243"/>
      <c r="F7" s="244"/>
      <c r="G7" s="53">
        <f>'DOE25'!J204+'DOE25'!J222+'DOE25'!J240</f>
        <v>56565.55</v>
      </c>
      <c r="H7" s="53">
        <f>'DOE25'!K204+'DOE25'!K222+'DOE25'!K240</f>
        <v>1311</v>
      </c>
      <c r="I7" s="256"/>
    </row>
    <row r="8" spans="1:9" x14ac:dyDescent="0.2">
      <c r="A8" s="32">
        <v>2300</v>
      </c>
      <c r="B8" t="s">
        <v>797</v>
      </c>
      <c r="C8" s="276">
        <f t="shared" si="0"/>
        <v>237672.31999999992</v>
      </c>
      <c r="D8" s="243"/>
      <c r="E8" s="20">
        <f>'DOE25'!L205+'DOE25'!L223+'DOE25'!L241-F8-G8-H8-D9-D11</f>
        <v>222505.54999999993</v>
      </c>
      <c r="F8" s="244"/>
      <c r="G8" s="53">
        <f>'DOE25'!J205+'DOE25'!J223+'DOE25'!J241</f>
        <v>89.990000000000009</v>
      </c>
      <c r="H8" s="53">
        <f>'DOE25'!K205+'DOE25'!K223+'DOE25'!K241</f>
        <v>15076.78</v>
      </c>
      <c r="I8" s="256"/>
    </row>
    <row r="9" spans="1:9" ht="14.25" x14ac:dyDescent="0.2">
      <c r="A9" s="32">
        <v>2310</v>
      </c>
      <c r="B9" s="185" t="s">
        <v>890</v>
      </c>
      <c r="C9" s="276">
        <f t="shared" si="0"/>
        <v>140826.82999999999</v>
      </c>
      <c r="D9" s="244">
        <v>140826.82999999999</v>
      </c>
      <c r="E9" s="243"/>
      <c r="F9" s="253"/>
      <c r="G9" s="253"/>
      <c r="H9" s="253"/>
      <c r="I9" s="256"/>
    </row>
    <row r="10" spans="1:9" ht="14.25" x14ac:dyDescent="0.2">
      <c r="A10" s="32">
        <v>2317</v>
      </c>
      <c r="B10" s="185" t="s">
        <v>891</v>
      </c>
      <c r="C10" s="276">
        <f t="shared" si="0"/>
        <v>14425</v>
      </c>
      <c r="D10" s="243"/>
      <c r="E10" s="244">
        <v>14425</v>
      </c>
      <c r="F10" s="253"/>
      <c r="G10" s="253"/>
      <c r="H10" s="253"/>
      <c r="I10" s="256"/>
    </row>
    <row r="11" spans="1:9" ht="14.25" x14ac:dyDescent="0.2">
      <c r="A11" s="32">
        <v>2321</v>
      </c>
      <c r="B11" s="185" t="s">
        <v>892</v>
      </c>
      <c r="C11" s="276">
        <f t="shared" si="0"/>
        <v>317373</v>
      </c>
      <c r="D11" s="244">
        <f>38405.56+2414.28+276553.16</f>
        <v>317373</v>
      </c>
      <c r="E11" s="243"/>
      <c r="F11" s="253"/>
      <c r="G11" s="253"/>
      <c r="H11" s="253"/>
      <c r="I11" s="256"/>
    </row>
    <row r="12" spans="1:9" x14ac:dyDescent="0.2">
      <c r="A12" s="32">
        <v>2400</v>
      </c>
      <c r="B12" t="s">
        <v>711</v>
      </c>
      <c r="C12" s="276">
        <f t="shared" si="0"/>
        <v>1296689.1099999999</v>
      </c>
      <c r="D12" s="20">
        <f>'DOE25'!L206+'DOE25'!L224+'DOE25'!L242-F12-G12-H12</f>
        <v>1275994.7699999998</v>
      </c>
      <c r="E12" s="243"/>
      <c r="F12" s="244"/>
      <c r="G12" s="53">
        <f>'DOE25'!J206+'DOE25'!J224+'DOE25'!J242</f>
        <v>149.97999999999999</v>
      </c>
      <c r="H12" s="53">
        <f>'DOE25'!K206+'DOE25'!K224+'DOE25'!K242</f>
        <v>20544.36</v>
      </c>
      <c r="I12" s="256"/>
    </row>
    <row r="13" spans="1:9" x14ac:dyDescent="0.2">
      <c r="A13" s="32">
        <v>2500</v>
      </c>
      <c r="B13" t="s">
        <v>798</v>
      </c>
      <c r="C13" s="276">
        <f t="shared" si="0"/>
        <v>344262.92</v>
      </c>
      <c r="D13" s="243"/>
      <c r="E13" s="20">
        <f>'DOE25'!L207+'DOE25'!L225+'DOE25'!L243-F13-G13-H13</f>
        <v>342400.91</v>
      </c>
      <c r="F13" s="244"/>
      <c r="G13" s="53">
        <f>'DOE25'!J207+'DOE25'!J225+'DOE25'!J243</f>
        <v>0</v>
      </c>
      <c r="H13" s="53">
        <f>'DOE25'!K207+'DOE25'!K225+'DOE25'!K243</f>
        <v>1862.01</v>
      </c>
      <c r="I13" s="256"/>
    </row>
    <row r="14" spans="1:9" x14ac:dyDescent="0.2">
      <c r="A14" s="32">
        <v>2600</v>
      </c>
      <c r="B14" t="s">
        <v>819</v>
      </c>
      <c r="C14" s="276">
        <f t="shared" si="0"/>
        <v>1997318.96</v>
      </c>
      <c r="D14" s="20">
        <f>'DOE25'!L208+'DOE25'!L226+'DOE25'!L244-F14-G14-H14</f>
        <v>1859754.65</v>
      </c>
      <c r="E14" s="243"/>
      <c r="F14" s="244"/>
      <c r="G14" s="53">
        <f>'DOE25'!J208+'DOE25'!J226+'DOE25'!J244</f>
        <v>137564.31</v>
      </c>
      <c r="H14" s="53">
        <f>'DOE25'!K208+'DOE25'!K226+'DOE25'!K244</f>
        <v>0</v>
      </c>
      <c r="I14" s="256"/>
    </row>
    <row r="15" spans="1:9" x14ac:dyDescent="0.2">
      <c r="A15" s="32">
        <v>2700</v>
      </c>
      <c r="B15" t="s">
        <v>799</v>
      </c>
      <c r="C15" s="276">
        <f t="shared" si="0"/>
        <v>927727.85</v>
      </c>
      <c r="D15" s="20">
        <f>'DOE25'!L209+'DOE25'!L227+'DOE25'!L245-F15-G15-H15</f>
        <v>25000</v>
      </c>
      <c r="E15" s="243"/>
      <c r="F15" s="244">
        <f>927727.85-25000</f>
        <v>902727.85</v>
      </c>
      <c r="G15" s="53">
        <f>'DOE25'!J209+'DOE25'!J227+'DOE25'!J245</f>
        <v>0</v>
      </c>
      <c r="H15" s="53">
        <f>'DOE25'!K209+'DOE25'!K227+'DOE25'!K245</f>
        <v>0</v>
      </c>
      <c r="I15" s="256"/>
    </row>
    <row r="16" spans="1:9" x14ac:dyDescent="0.2">
      <c r="A16" s="32">
        <v>2800</v>
      </c>
      <c r="B16" t="s">
        <v>800</v>
      </c>
      <c r="C16" s="276">
        <f t="shared" si="0"/>
        <v>783678.59000000008</v>
      </c>
      <c r="D16" s="243"/>
      <c r="E16" s="20">
        <f>'DOE25'!L210+'DOE25'!L228+'DOE25'!L246-F16-G16-H16</f>
        <v>616989.39000000013</v>
      </c>
      <c r="F16" s="244"/>
      <c r="G16" s="53">
        <f>'DOE25'!J210+'DOE25'!J228+'DOE25'!J246</f>
        <v>165373.94</v>
      </c>
      <c r="H16" s="53">
        <f>'DOE25'!K210+'DOE25'!K228+'DOE25'!K246</f>
        <v>1315.26</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80435.199999999997</v>
      </c>
      <c r="D22" s="243"/>
      <c r="E22" s="243"/>
      <c r="F22" s="243"/>
      <c r="G22" s="53">
        <f>'DOE25'!L256+'DOE25'!L337</f>
        <v>80435.199999999997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310980.86000000004</v>
      </c>
      <c r="D29" s="284">
        <f>'DOE25'!L359+'DOE25'!L360+'DOE25'!L361-'DOE25'!I368-F29-G29-H29</f>
        <v>303524.50000000006</v>
      </c>
      <c r="E29" s="243"/>
      <c r="F29" s="244"/>
      <c r="G29" s="53">
        <f>'DOE25'!J359+'DOE25'!J360+'DOE25'!J361</f>
        <v>6000</v>
      </c>
      <c r="H29" s="53">
        <f>'DOE25'!K359+'DOE25'!K360+'DOE25'!K361</f>
        <v>1456.36</v>
      </c>
      <c r="I29" s="256"/>
    </row>
    <row r="30" spans="1:9" x14ac:dyDescent="0.2">
      <c r="A30" s="32"/>
      <c r="C30" s="277"/>
      <c r="D30" s="20"/>
      <c r="E30" s="281"/>
      <c r="F30" s="271"/>
      <c r="G30" s="53"/>
      <c r="H30" s="53"/>
      <c r="I30" s="256"/>
    </row>
    <row r="31" spans="1:9" x14ac:dyDescent="0.2">
      <c r="A31" s="32" t="s">
        <v>818</v>
      </c>
      <c r="B31" t="s">
        <v>817</v>
      </c>
      <c r="C31" s="276">
        <f>SUM(D31:I31)</f>
        <v>569451.45000000007</v>
      </c>
      <c r="D31" s="20">
        <f>'DOE25'!L291+'DOE25'!L310+'DOE25'!L329+'DOE25'!L334+'DOE25'!L335+'DOE25'!L336-F31-G31-H31</f>
        <v>541481.13</v>
      </c>
      <c r="E31" s="243"/>
      <c r="F31" s="244"/>
      <c r="G31" s="53">
        <f>'DOE25'!J291+'DOE25'!J310+'DOE25'!J329+'DOE25'!J334+'DOE25'!J335+'DOE25'!J336</f>
        <v>22233.149999999998</v>
      </c>
      <c r="H31" s="53">
        <f>'DOE25'!K291+'DOE25'!K310+'DOE25'!K329+'DOE25'!K334+'DOE25'!K335+'DOE25'!K336</f>
        <v>5737.17</v>
      </c>
      <c r="I31" s="256"/>
    </row>
    <row r="32" spans="1:9" ht="12" thickBot="1" x14ac:dyDescent="0.25">
      <c r="C32" s="277"/>
      <c r="G32" s="251"/>
      <c r="H32" s="251"/>
      <c r="I32" s="258"/>
    </row>
    <row r="33" spans="1:9" ht="12" thickTop="1" x14ac:dyDescent="0.2">
      <c r="B33" t="s">
        <v>809</v>
      </c>
      <c r="D33" s="245">
        <f t="shared" ref="D33:I33" si="1">SUM(D5:D31)</f>
        <v>19063261.149999999</v>
      </c>
      <c r="E33" s="245">
        <f t="shared" si="1"/>
        <v>1196320.8500000001</v>
      </c>
      <c r="F33" s="245">
        <f t="shared" si="1"/>
        <v>902727.85</v>
      </c>
      <c r="G33" s="245">
        <f t="shared" si="1"/>
        <v>540803.23</v>
      </c>
      <c r="H33" s="245">
        <f t="shared" si="1"/>
        <v>86909.959999999992</v>
      </c>
      <c r="I33" s="245">
        <f t="shared" si="1"/>
        <v>0</v>
      </c>
    </row>
    <row r="35" spans="1:9" ht="12" thickBot="1" x14ac:dyDescent="0.25">
      <c r="B35" s="251" t="s">
        <v>831</v>
      </c>
      <c r="D35" s="252">
        <f>E33</f>
        <v>1196320.8500000001</v>
      </c>
      <c r="E35" s="248"/>
    </row>
    <row r="36" spans="1:9" ht="12" thickTop="1" x14ac:dyDescent="0.2">
      <c r="B36" t="s">
        <v>810</v>
      </c>
      <c r="D36" s="20">
        <f>D33</f>
        <v>19063261.149999999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Litchfield School District</v>
      </c>
      <c r="B2" s="126">
        <f>'DOE25'!B2</f>
        <v>315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7326623.8699999992</v>
      </c>
      <c r="G4" s="303">
        <f>'DOE25'!L212+'DOE25'!L291</f>
        <v>7326623.8699999992</v>
      </c>
      <c r="H4" s="337">
        <f>F4-G4</f>
        <v>0</v>
      </c>
      <c r="I4" s="309" t="str">
        <f>IF(H4=0,"","Does not match DOE25 page 7 and 11 Totals!!")</f>
        <v/>
      </c>
      <c r="N4"/>
    </row>
    <row r="5" spans="1:18" x14ac:dyDescent="0.2">
      <c r="A5" s="21" t="s">
        <v>1197</v>
      </c>
      <c r="B5" s="304">
        <f>IFERROR(VLOOKUP(A5,'School Tables'!$C$3:$D$365,2,FALSE),"")</f>
        <v>21095</v>
      </c>
      <c r="C5" s="297" t="str">
        <f>IFERROR(INDEX('School Tables'!$B$3:$B$365,MATCH('School Level Expenditures'!B5,'School Tables'!$D$3:$D$365,0)),"")</f>
        <v>Litchfield</v>
      </c>
      <c r="D5" s="294">
        <v>7109175.0099999988</v>
      </c>
      <c r="E5" s="294">
        <v>217448.86000000002</v>
      </c>
      <c r="F5" s="312">
        <f>D5+E5</f>
        <v>7326623.8699999992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6712907.6199999992</v>
      </c>
      <c r="G24" s="303">
        <f>'DOE25'!L230+'DOE25'!L310</f>
        <v>6712907.6199999992</v>
      </c>
      <c r="H24" s="337">
        <f>F24-G24</f>
        <v>0</v>
      </c>
      <c r="I24" s="309" t="str">
        <f>IF(H24=0,"","Does not match DOE25 page 8 and 12 Totals!!")</f>
        <v/>
      </c>
      <c r="N24"/>
    </row>
    <row r="25" spans="1:14" x14ac:dyDescent="0.2">
      <c r="A25" s="21" t="s">
        <v>1199</v>
      </c>
      <c r="B25" s="304">
        <f>IFERROR(VLOOKUP(A25,'School Tables'!$I$3:$J$80,2,FALSE),"")</f>
        <v>26640</v>
      </c>
      <c r="C25" s="297" t="str">
        <f t="array" ref="C25">IFERROR(INDEX('School Tables'!$H$3:$H$80,MATCH('School Level Expenditures'!B25,'School Tables'!$J$3:$J$80,0)),"")</f>
        <v>Litchfield</v>
      </c>
      <c r="D25" s="294">
        <v>6520164.5999999996</v>
      </c>
      <c r="E25" s="294">
        <v>192743.02000000002</v>
      </c>
      <c r="F25" s="307">
        <f>D25+E25</f>
        <v>6712907.6199999992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7344650.4900000002</v>
      </c>
      <c r="G36" s="303">
        <f>'DOE25'!L248+'DOE25'!L329</f>
        <v>7344650.4900000002</v>
      </c>
      <c r="H36" s="337">
        <f>F36-G36</f>
        <v>0</v>
      </c>
      <c r="I36" s="309" t="str">
        <f>IF(H36=0,"","Does not match DOE25 page 9 and 13 Totals!!")</f>
        <v/>
      </c>
      <c r="N36"/>
    </row>
    <row r="37" spans="1:14" x14ac:dyDescent="0.2">
      <c r="A37" s="21" t="s">
        <v>1198</v>
      </c>
      <c r="B37" s="304">
        <f>IFERROR(VLOOKUP(A37,'School Tables'!$O$3:$P$118,2,FALSE),"")</f>
        <v>27715</v>
      </c>
      <c r="C37" s="297" t="str">
        <f t="array" ref="C37">IFERROR(INDEX('School Tables'!$N$3:$N$118,MATCH('School Level Expenditures'!B37,'School Tables'!$P$3:$P$118,0)),"")</f>
        <v>Litchfield</v>
      </c>
      <c r="D37" s="294">
        <v>7289060.3500000006</v>
      </c>
      <c r="E37" s="294">
        <v>55590.14</v>
      </c>
      <c r="F37" s="307">
        <f t="shared" ref="F37:F42" si="2">D37+E37</f>
        <v>7344650.4900000002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si="2"/>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si="2"/>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3" sqref="A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Litchfield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1625558.19</v>
      </c>
      <c r="D8" s="95">
        <f>'DOE25'!G9</f>
        <v>-161707.20000000001</v>
      </c>
      <c r="E8" s="95">
        <f>'DOE25'!H9</f>
        <v>-20853.52</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61533.65</v>
      </c>
      <c r="D11" s="95">
        <f>'DOE25'!G12</f>
        <v>194510.39</v>
      </c>
      <c r="E11" s="95">
        <f>'DOE25'!H12</f>
        <v>0</v>
      </c>
      <c r="F11" s="95">
        <f>'DOE25'!I12</f>
        <v>0</v>
      </c>
      <c r="G11" s="95">
        <f>'DOE25'!J12</f>
        <v>0</v>
      </c>
      <c r="H11" s="124"/>
      <c r="I11" s="124"/>
    </row>
    <row r="12" spans="1:9" x14ac:dyDescent="0.2">
      <c r="A12" s="1" t="s">
        <v>143</v>
      </c>
      <c r="B12" s="6">
        <v>140</v>
      </c>
      <c r="C12" s="95">
        <f>'DOE25'!F13</f>
        <v>394123</v>
      </c>
      <c r="D12" s="95">
        <f>'DOE25'!G13</f>
        <v>2782</v>
      </c>
      <c r="E12" s="95">
        <f>'DOE25'!H13</f>
        <v>92483.75</v>
      </c>
      <c r="F12" s="95">
        <f>'DOE25'!I13</f>
        <v>0</v>
      </c>
      <c r="G12" s="95">
        <f>'DOE25'!J13</f>
        <v>472697.98</v>
      </c>
      <c r="H12" s="124"/>
      <c r="I12" s="124"/>
    </row>
    <row r="13" spans="1:9" x14ac:dyDescent="0.2">
      <c r="A13" s="1" t="s">
        <v>144</v>
      </c>
      <c r="B13" s="6">
        <v>150</v>
      </c>
      <c r="C13" s="95">
        <f>'DOE25'!F14</f>
        <v>4932.8599999999997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2086147.7</v>
      </c>
      <c r="D18" s="41">
        <f>SUM(D8:D17)</f>
        <v>35585.19</v>
      </c>
      <c r="E18" s="41">
        <f>SUM(E8:E17)</f>
        <v>71630.23</v>
      </c>
      <c r="F18" s="41">
        <f>SUM(F8:F17)</f>
        <v>0</v>
      </c>
      <c r="G18" s="41">
        <f>SUM(G8:G17)</f>
        <v>472697.98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196154.75</v>
      </c>
      <c r="D21" s="95">
        <f>'DOE25'!G22</f>
        <v>0</v>
      </c>
      <c r="E21" s="95">
        <f>'DOE25'!H22</f>
        <v>59890.29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53224.53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542308.81000000006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11120.93</v>
      </c>
      <c r="D29" s="95">
        <f>'DOE25'!G30</f>
        <v>35585.19</v>
      </c>
      <c r="E29" s="95">
        <f>'DOE25'!H30</f>
        <v>11739.94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802809.02000000014</v>
      </c>
      <c r="D31" s="41">
        <f>SUM(D21:D30)</f>
        <v>35585.19</v>
      </c>
      <c r="E31" s="41">
        <f>SUM(E21:E30)</f>
        <v>71630.23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219000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472697.98</v>
      </c>
      <c r="H47" s="124"/>
      <c r="I47" s="124"/>
    </row>
    <row r="48" spans="1:9" x14ac:dyDescent="0.2">
      <c r="A48" s="1" t="s">
        <v>882</v>
      </c>
      <c r="B48" s="6">
        <v>753</v>
      </c>
      <c r="C48" s="95">
        <f>'DOE25'!F49</f>
        <v>355562.01</v>
      </c>
      <c r="D48" s="95">
        <f>'DOE25'!G49</f>
        <v>0</v>
      </c>
      <c r="E48" s="95">
        <f>'DOE25'!H49</f>
        <v>0</v>
      </c>
      <c r="F48" s="95">
        <f>'DOE25'!I49</f>
        <v>0</v>
      </c>
      <c r="G48" s="95">
        <f>'DOE25'!J49</f>
        <v>0</v>
      </c>
      <c r="H48" s="124"/>
      <c r="I48" s="124"/>
    </row>
    <row r="49" spans="1:9" ht="12" thickBot="1" x14ac:dyDescent="0.25">
      <c r="A49" s="29" t="s">
        <v>883</v>
      </c>
      <c r="B49" s="71">
        <v>770</v>
      </c>
      <c r="C49" s="95">
        <f>'DOE25'!F50</f>
        <v>708776.67</v>
      </c>
      <c r="D49" s="24" t="s">
        <v>288</v>
      </c>
      <c r="E49" s="24" t="s">
        <v>288</v>
      </c>
      <c r="F49" s="24" t="s">
        <v>288</v>
      </c>
      <c r="G49" s="24" t="s">
        <v>288</v>
      </c>
      <c r="H49" s="124"/>
      <c r="I49" s="124"/>
    </row>
    <row r="50" spans="1:9" ht="12.75" thickTop="1" thickBot="1" x14ac:dyDescent="0.25">
      <c r="A50" s="38" t="s">
        <v>884</v>
      </c>
      <c r="B50" s="48"/>
      <c r="C50" s="41">
        <f>SUM(C34:C49)</f>
        <v>1283338.6800000002</v>
      </c>
      <c r="D50" s="41">
        <f>SUM(D34:D49)</f>
        <v>0</v>
      </c>
      <c r="E50" s="41">
        <f>SUM(E34:E49)</f>
        <v>0</v>
      </c>
      <c r="F50" s="41">
        <f>SUM(F34:F49)</f>
        <v>0</v>
      </c>
      <c r="G50" s="41">
        <f>SUM(G34:G49)</f>
        <v>472697.98</v>
      </c>
      <c r="H50" s="124"/>
      <c r="I50" s="124"/>
    </row>
    <row r="51" spans="1:9" ht="12" thickTop="1" x14ac:dyDescent="0.2">
      <c r="A51" s="38" t="s">
        <v>885</v>
      </c>
      <c r="B51" s="2"/>
      <c r="C51" s="41">
        <f>C50+C31</f>
        <v>2086147.7000000002</v>
      </c>
      <c r="D51" s="41">
        <f>D50+D31</f>
        <v>35585.19</v>
      </c>
      <c r="E51" s="41">
        <f>E50+E31</f>
        <v>71630.23</v>
      </c>
      <c r="F51" s="41">
        <f>F50+F31</f>
        <v>0</v>
      </c>
      <c r="G51" s="41">
        <f>G50+G31</f>
        <v>472697.98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14034770</v>
      </c>
      <c r="D56" s="95">
        <f>'DOE25'!G60</f>
        <v>0</v>
      </c>
      <c r="E56" s="95">
        <f>'DOE25'!H60</f>
        <v>0</v>
      </c>
      <c r="F56" s="95">
        <f>'DOE25'!I60</f>
        <v>0</v>
      </c>
      <c r="G56" s="95">
        <f>'DOE25'!J60</f>
        <v>0</v>
      </c>
      <c r="H56"/>
      <c r="I56"/>
    </row>
    <row r="57" spans="1:9" x14ac:dyDescent="0.2">
      <c r="A57" s="1" t="s">
        <v>164</v>
      </c>
      <c r="B57" s="6" t="s">
        <v>165</v>
      </c>
      <c r="C57" s="95">
        <f>'DOE25'!F79</f>
        <v>42750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2253.35</v>
      </c>
      <c r="D59" s="95">
        <f>'DOE25'!G96</f>
        <v>0</v>
      </c>
      <c r="E59" s="95">
        <f>'DOE25'!H96</f>
        <v>0</v>
      </c>
      <c r="F59" s="95">
        <f>'DOE25'!I96</f>
        <v>0</v>
      </c>
      <c r="G59" s="95">
        <f>'DOE25'!J96</f>
        <v>2141.0700000000002</v>
      </c>
      <c r="H59"/>
      <c r="I59"/>
    </row>
    <row r="60" spans="1:9" x14ac:dyDescent="0.2">
      <c r="A60" s="1" t="s">
        <v>170</v>
      </c>
      <c r="B60" s="118" t="s">
        <v>171</v>
      </c>
      <c r="C60" s="24" t="s">
        <v>288</v>
      </c>
      <c r="D60" s="95">
        <f>'DOE25'!G97</f>
        <v>224133.5</v>
      </c>
      <c r="E60" s="24" t="s">
        <v>288</v>
      </c>
      <c r="F60" s="24" t="s">
        <v>288</v>
      </c>
      <c r="G60" s="24" t="s">
        <v>288</v>
      </c>
      <c r="H60"/>
      <c r="I60"/>
    </row>
    <row r="61" spans="1:9" ht="12" thickBot="1" x14ac:dyDescent="0.25">
      <c r="A61" s="1" t="s">
        <v>172</v>
      </c>
      <c r="B61" s="118" t="s">
        <v>173</v>
      </c>
      <c r="C61" s="95">
        <f>SUM('DOE25'!F98:F110)</f>
        <v>43465.31</v>
      </c>
      <c r="D61" s="95">
        <f>SUM('DOE25'!G98:G110)</f>
        <v>0</v>
      </c>
      <c r="E61" s="95">
        <f>SUM('DOE25'!H98:H110)</f>
        <v>63172.800000000003</v>
      </c>
      <c r="F61" s="95">
        <f>SUM('DOE25'!I98:I110)</f>
        <v>0</v>
      </c>
      <c r="G61" s="95">
        <f>SUM('DOE25'!J98:J110)</f>
        <v>0</v>
      </c>
      <c r="H61"/>
      <c r="I61"/>
    </row>
    <row r="62" spans="1:9" ht="12.75" thickTop="1" thickBot="1" x14ac:dyDescent="0.25">
      <c r="A62" s="29" t="s">
        <v>174</v>
      </c>
      <c r="B62" s="6"/>
      <c r="C62" s="130">
        <f>SUM(C57:C61)</f>
        <v>88468.66</v>
      </c>
      <c r="D62" s="130">
        <f>SUM(D57:D61)</f>
        <v>224133.5</v>
      </c>
      <c r="E62" s="130">
        <f>SUM(E57:E61)</f>
        <v>63172.800000000003</v>
      </c>
      <c r="F62" s="130">
        <f>SUM(F57:F61)</f>
        <v>0</v>
      </c>
      <c r="G62" s="130">
        <f>SUM(G57:G61)</f>
        <v>2141.0700000000002</v>
      </c>
      <c r="H62"/>
      <c r="I62"/>
    </row>
    <row r="63" spans="1:9" ht="12" thickTop="1" x14ac:dyDescent="0.2">
      <c r="A63" s="29" t="s">
        <v>175</v>
      </c>
      <c r="B63" s="6"/>
      <c r="C63" s="22">
        <f>C56+C62</f>
        <v>14123238.66</v>
      </c>
      <c r="D63" s="22">
        <f>D56+D62</f>
        <v>224133.5</v>
      </c>
      <c r="E63" s="22">
        <f>E56+E62</f>
        <v>63172.800000000003</v>
      </c>
      <c r="F63" s="22">
        <f>F56+F62</f>
        <v>0</v>
      </c>
      <c r="G63" s="22">
        <f>G56+G62</f>
        <v>2141.0700000000002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5551369.5099999998</v>
      </c>
      <c r="D66" s="24" t="s">
        <v>288</v>
      </c>
      <c r="E66" s="24" t="s">
        <v>288</v>
      </c>
      <c r="F66" s="24" t="s">
        <v>288</v>
      </c>
      <c r="G66" s="24" t="s">
        <v>288</v>
      </c>
      <c r="H66"/>
      <c r="I66"/>
    </row>
    <row r="67" spans="1:9" x14ac:dyDescent="0.2">
      <c r="A67" s="1" t="s">
        <v>770</v>
      </c>
      <c r="B67" s="6">
        <v>3112</v>
      </c>
      <c r="C67" s="95">
        <f>'DOE25'!F118</f>
        <v>2005996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2923.18</v>
      </c>
      <c r="D69" s="95">
        <f>'DOE25'!G120</f>
        <v>0</v>
      </c>
      <c r="E69" s="95">
        <f>'DOE25'!H120</f>
        <v>0</v>
      </c>
      <c r="F69" s="95">
        <f>'DOE25'!I120</f>
        <v>0</v>
      </c>
      <c r="G69" s="95">
        <f>'DOE25'!J120</f>
        <v>0</v>
      </c>
      <c r="H69"/>
      <c r="I69"/>
    </row>
    <row r="70" spans="1:9" ht="12" thickTop="1" x14ac:dyDescent="0.2">
      <c r="A70" s="29" t="s">
        <v>252</v>
      </c>
      <c r="B70" s="2"/>
      <c r="C70" s="139">
        <f>SUM(C66:C69)</f>
        <v>7560288.6899999995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143891.54</v>
      </c>
      <c r="D75" s="24" t="s">
        <v>288</v>
      </c>
      <c r="E75" s="24" t="s">
        <v>288</v>
      </c>
      <c r="F75" s="24" t="s">
        <v>288</v>
      </c>
      <c r="G75" s="24" t="s">
        <v>288</v>
      </c>
      <c r="H75"/>
      <c r="I75"/>
    </row>
    <row r="76" spans="1:9" x14ac:dyDescent="0.2">
      <c r="A76" s="1" t="s">
        <v>257</v>
      </c>
      <c r="B76" s="6" t="s">
        <v>179</v>
      </c>
      <c r="C76" s="95">
        <f>SUM('DOE25'!F127:F130)</f>
        <v>11760.97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5645.67</v>
      </c>
      <c r="E77" s="95">
        <f>SUM('DOE25'!H131:H135)</f>
        <v>44183.199999999997</v>
      </c>
      <c r="F77" s="95">
        <f>SUM('DOE25'!I131:I135)</f>
        <v>0</v>
      </c>
      <c r="G77" s="95">
        <f>SUM('DOE25'!J131:J135)</f>
        <v>0</v>
      </c>
      <c r="H77"/>
      <c r="I77"/>
    </row>
    <row r="78" spans="1:9" ht="12.75" thickTop="1" thickBot="1" x14ac:dyDescent="0.25">
      <c r="A78" s="29" t="s">
        <v>259</v>
      </c>
      <c r="B78" s="6"/>
      <c r="C78" s="130">
        <f>SUM(C72:C77)</f>
        <v>155652.51</v>
      </c>
      <c r="D78" s="130">
        <f>SUM(D72:D77)</f>
        <v>5645.67</v>
      </c>
      <c r="E78" s="130">
        <f>SUM(E72:E77)</f>
        <v>44183.199999999997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7715941.1999999993</v>
      </c>
      <c r="D81" s="130">
        <f>SUM(D79:D80)+D78+D70</f>
        <v>5645.67</v>
      </c>
      <c r="E81" s="130">
        <f>SUM(E79:E80)+E78+E70</f>
        <v>44183.199999999997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22377.55</v>
      </c>
      <c r="D88" s="341">
        <f>SUM('DOE25'!G153:G162)</f>
        <v>102950.36</v>
      </c>
      <c r="E88" s="341">
        <f>SUM('DOE25'!H153:H162)</f>
        <v>506278.65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22377.55</v>
      </c>
      <c r="D91" s="131">
        <f>SUM(D85:D90)</f>
        <v>102950.36</v>
      </c>
      <c r="E91" s="131">
        <f>SUM(E85:E90)</f>
        <v>506278.65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154159.75</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154159.75</v>
      </c>
      <c r="E103" s="86">
        <f>SUM(E93:E102)</f>
        <v>0</v>
      </c>
      <c r="F103" s="86">
        <f>SUM(F93:F102)</f>
        <v>0</v>
      </c>
      <c r="G103" s="86">
        <f>SUM(G93:G102)</f>
        <v>100000</v>
      </c>
    </row>
    <row r="104" spans="1:7" ht="12.75" thickTop="1" thickBot="1" x14ac:dyDescent="0.25">
      <c r="A104" s="33" t="s">
        <v>761</v>
      </c>
      <c r="C104" s="86">
        <f>C63+C81+C91+C103</f>
        <v>21861557.41</v>
      </c>
      <c r="D104" s="86">
        <f>D63+D81+D91+D103</f>
        <v>486889.28</v>
      </c>
      <c r="E104" s="86">
        <f>E63+E81+E91+E103</f>
        <v>613634.65</v>
      </c>
      <c r="F104" s="86">
        <f>F63+F81+F91+F103</f>
        <v>0</v>
      </c>
      <c r="G104" s="86">
        <f>G63+G81+G103</f>
        <v>102141.07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8548608.709999999</v>
      </c>
      <c r="D109" s="24" t="s">
        <v>288</v>
      </c>
      <c r="E109" s="95">
        <f>('DOE25'!L277)+('DOE25'!L296)+('DOE25'!L315)</f>
        <v>92883.459999999992</v>
      </c>
      <c r="F109" s="24" t="s">
        <v>288</v>
      </c>
      <c r="G109" s="24" t="s">
        <v>288</v>
      </c>
    </row>
    <row r="110" spans="1:7" x14ac:dyDescent="0.2">
      <c r="A110" t="s">
        <v>198</v>
      </c>
      <c r="B110" s="32" t="s">
        <v>199</v>
      </c>
      <c r="C110" s="95">
        <f>('DOE25'!L199)+('DOE25'!L217)+('DOE25'!L235)</f>
        <v>3170404.6999999997</v>
      </c>
      <c r="D110" s="24" t="s">
        <v>288</v>
      </c>
      <c r="E110" s="95">
        <f>('DOE25'!L278)+('DOE25'!L297)+('DOE25'!L316)</f>
        <v>176824.16</v>
      </c>
      <c r="F110" s="24" t="s">
        <v>288</v>
      </c>
      <c r="G110" s="24" t="s">
        <v>288</v>
      </c>
    </row>
    <row r="111" spans="1:7" x14ac:dyDescent="0.2">
      <c r="A111" t="s">
        <v>200</v>
      </c>
      <c r="B111" s="32" t="s">
        <v>165</v>
      </c>
      <c r="C111" s="95">
        <f>('DOE25'!L200)+('DOE25'!L218)+('DOE25'!L236)</f>
        <v>57398.01</v>
      </c>
      <c r="D111" s="24" t="s">
        <v>288</v>
      </c>
      <c r="E111" s="95">
        <f>('DOE25'!L279)+('DOE25'!L298)+('DOE25'!L317)</f>
        <v>0</v>
      </c>
      <c r="F111" s="24" t="s">
        <v>288</v>
      </c>
      <c r="G111" s="24" t="s">
        <v>288</v>
      </c>
    </row>
    <row r="112" spans="1:7" x14ac:dyDescent="0.2">
      <c r="A112" t="s">
        <v>201</v>
      </c>
      <c r="B112" s="32" t="s">
        <v>167</v>
      </c>
      <c r="C112" s="95">
        <f>('DOE25'!L201)+('DOE25'!L219)+('DOE25'!L237)</f>
        <v>545782.62</v>
      </c>
      <c r="D112" s="24" t="s">
        <v>288</v>
      </c>
      <c r="E112" s="95">
        <f>+('DOE25'!L280)+('DOE25'!L299)+('DOE25'!L318)</f>
        <v>3234.65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12322194.039999997</v>
      </c>
      <c r="D115" s="86">
        <f>SUM(D109:D114)</f>
        <v>0</v>
      </c>
      <c r="E115" s="86">
        <f>SUM(E109:E114)</f>
        <v>272942.27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1754111.38</v>
      </c>
      <c r="D118" s="24" t="s">
        <v>288</v>
      </c>
      <c r="E118" s="95">
        <f>+('DOE25'!L282)+('DOE25'!L301)+('DOE25'!L320)</f>
        <v>205023.35</v>
      </c>
      <c r="F118" s="24" t="s">
        <v>288</v>
      </c>
      <c r="G118" s="24" t="s">
        <v>288</v>
      </c>
    </row>
    <row r="119" spans="1:7" x14ac:dyDescent="0.2">
      <c r="A119" t="s">
        <v>208</v>
      </c>
      <c r="B119" s="32" t="s">
        <v>209</v>
      </c>
      <c r="C119" s="95">
        <f>('DOE25'!L204)+('DOE25'!L222)+('DOE25'!L240)</f>
        <v>692875.53</v>
      </c>
      <c r="D119" s="24" t="s">
        <v>288</v>
      </c>
      <c r="E119" s="95">
        <f>+('DOE25'!L283)+('DOE25'!L302)+('DOE25'!L321)</f>
        <v>43659.920000000006</v>
      </c>
      <c r="F119" s="24" t="s">
        <v>288</v>
      </c>
      <c r="G119" s="24" t="s">
        <v>288</v>
      </c>
    </row>
    <row r="120" spans="1:7" x14ac:dyDescent="0.2">
      <c r="A120" t="s">
        <v>210</v>
      </c>
      <c r="B120" s="32" t="s">
        <v>211</v>
      </c>
      <c r="C120" s="95">
        <f>('DOE25'!L205)+('DOE25'!L223)+('DOE25'!L241)</f>
        <v>695872.14999999991</v>
      </c>
      <c r="D120" s="24" t="s">
        <v>288</v>
      </c>
      <c r="E120" s="95">
        <f>+('DOE25'!L284)+('DOE25'!L303)+('DOE25'!L322)</f>
        <v>0</v>
      </c>
      <c r="F120" s="24" t="s">
        <v>288</v>
      </c>
      <c r="G120" s="24" t="s">
        <v>288</v>
      </c>
    </row>
    <row r="121" spans="1:7" x14ac:dyDescent="0.2">
      <c r="A121" t="s">
        <v>212</v>
      </c>
      <c r="B121" s="32" t="s">
        <v>213</v>
      </c>
      <c r="C121" s="95">
        <f>('DOE25'!L206)+('DOE25'!L224)+('DOE25'!L242)</f>
        <v>1296689.1099999999</v>
      </c>
      <c r="D121" s="24" t="s">
        <v>288</v>
      </c>
      <c r="E121" s="95">
        <f>+('DOE25'!L285)+('DOE25'!L304)+('DOE25'!L323)</f>
        <v>0</v>
      </c>
      <c r="F121" s="24" t="s">
        <v>288</v>
      </c>
      <c r="G121" s="24" t="s">
        <v>288</v>
      </c>
    </row>
    <row r="122" spans="1:7" x14ac:dyDescent="0.2">
      <c r="A122" t="s">
        <v>214</v>
      </c>
      <c r="B122" s="32" t="s">
        <v>215</v>
      </c>
      <c r="C122" s="95">
        <f>('DOE25'!L207)+('DOE25'!L225)+('DOE25'!L243)</f>
        <v>344262.92</v>
      </c>
      <c r="D122" s="24" t="s">
        <v>288</v>
      </c>
      <c r="E122" s="95">
        <f>+('DOE25'!L286)+('DOE25'!L305)+('DOE25'!L324)</f>
        <v>0</v>
      </c>
      <c r="F122" s="24" t="s">
        <v>288</v>
      </c>
      <c r="G122" s="24" t="s">
        <v>288</v>
      </c>
    </row>
    <row r="123" spans="1:7" x14ac:dyDescent="0.2">
      <c r="A123" t="s">
        <v>216</v>
      </c>
      <c r="B123" s="32" t="s">
        <v>217</v>
      </c>
      <c r="C123" s="95">
        <f>('DOE25'!L208)+('DOE25'!L226)+('DOE25'!L244)</f>
        <v>1997318.96</v>
      </c>
      <c r="D123" s="24" t="s">
        <v>288</v>
      </c>
      <c r="E123" s="95">
        <f>+('DOE25'!L287)+('DOE25'!L306)+('DOE25'!L325)</f>
        <v>0</v>
      </c>
      <c r="F123" s="24" t="s">
        <v>288</v>
      </c>
      <c r="G123" s="24" t="s">
        <v>288</v>
      </c>
    </row>
    <row r="124" spans="1:7" x14ac:dyDescent="0.2">
      <c r="A124" t="s">
        <v>218</v>
      </c>
      <c r="B124" s="32" t="s">
        <v>219</v>
      </c>
      <c r="C124" s="95">
        <f>('DOE25'!L209)+('DOE25'!L227)+('DOE25'!L245+'DOE25'!L255)</f>
        <v>927727.85</v>
      </c>
      <c r="D124" s="24" t="s">
        <v>288</v>
      </c>
      <c r="E124" s="95">
        <f>+('DOE25'!L288)+('DOE25'!L307)+('DOE25'!L326)</f>
        <v>937.35</v>
      </c>
      <c r="F124" s="24" t="s">
        <v>288</v>
      </c>
      <c r="G124" s="24" t="s">
        <v>288</v>
      </c>
    </row>
    <row r="125" spans="1:7" x14ac:dyDescent="0.2">
      <c r="A125" t="s">
        <v>220</v>
      </c>
      <c r="B125" s="32" t="s">
        <v>221</v>
      </c>
      <c r="C125" s="95">
        <f>('DOE25'!L210)+('DOE25'!L228)+('DOE25'!L246)</f>
        <v>783678.59000000008</v>
      </c>
      <c r="D125" s="24" t="s">
        <v>288</v>
      </c>
      <c r="E125" s="95">
        <f>+('DOE25'!L289)+('DOE25'!L308)+('DOE25'!L327)</f>
        <v>46888.56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486889.28</v>
      </c>
      <c r="E127" s="24" t="s">
        <v>288</v>
      </c>
      <c r="F127" s="24" t="s">
        <v>288</v>
      </c>
      <c r="G127" s="24" t="s">
        <v>288</v>
      </c>
    </row>
    <row r="128" spans="1:7" ht="12.75" thickTop="1" thickBot="1" x14ac:dyDescent="0.25">
      <c r="A128" s="33" t="s">
        <v>226</v>
      </c>
      <c r="C128" s="86">
        <f>SUM(C118:C127)</f>
        <v>8492536.4900000002</v>
      </c>
      <c r="D128" s="86">
        <f>SUM(D118:D127)</f>
        <v>486889.28</v>
      </c>
      <c r="E128" s="86">
        <f>SUM(E118:E127)</f>
        <v>296509.18000000005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36252</v>
      </c>
      <c r="D130" s="24" t="s">
        <v>288</v>
      </c>
      <c r="E130" s="129">
        <f>'DOE25'!L337</f>
        <v>44183.199999999997</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154159.75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102141.07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-2141.070000000007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290411.75</v>
      </c>
      <c r="D144" s="141">
        <f>SUM(D130:D143)</f>
        <v>0</v>
      </c>
      <c r="E144" s="141">
        <f>SUM(E130:E143)</f>
        <v>44183.199999999997</v>
      </c>
      <c r="F144" s="141">
        <f>SUM(F130:F143)</f>
        <v>0</v>
      </c>
      <c r="G144" s="141">
        <f>SUM(G130:G143)</f>
        <v>0</v>
      </c>
    </row>
    <row r="145" spans="1:9" ht="12.75" thickTop="1" thickBot="1" x14ac:dyDescent="0.25">
      <c r="A145" s="33" t="s">
        <v>244</v>
      </c>
      <c r="C145" s="86">
        <f>(C115+C128+C144)</f>
        <v>21105142.279999997</v>
      </c>
      <c r="D145" s="86">
        <f>(D115+D128+D144)</f>
        <v>486889.28</v>
      </c>
      <c r="E145" s="86">
        <f>(E115+E128+E144)</f>
        <v>613634.65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Litchfield School District</v>
      </c>
    </row>
    <row r="3" spans="1:4" x14ac:dyDescent="0.2">
      <c r="B3" s="188" t="s">
        <v>1587</v>
      </c>
    </row>
    <row r="4" spans="1:4" x14ac:dyDescent="0.2">
      <c r="B4" t="s">
        <v>61</v>
      </c>
      <c r="C4" s="179">
        <f>IF('DOE25'!F666+'DOE25'!F671=0,0,ROUND('DOE25'!F673,0))</f>
        <v>15636</v>
      </c>
    </row>
    <row r="5" spans="1:4" x14ac:dyDescent="0.2">
      <c r="B5" t="s">
        <v>700</v>
      </c>
      <c r="C5" s="179">
        <f>IF('DOE25'!G666+'DOE25'!G671=0,0,ROUND('DOE25'!G673,0))</f>
        <v>15818</v>
      </c>
    </row>
    <row r="6" spans="1:4" x14ac:dyDescent="0.2">
      <c r="B6" t="s">
        <v>62</v>
      </c>
      <c r="C6" s="179">
        <f>IF('DOE25'!H666+'DOE25'!H671=0,0,ROUND('DOE25'!H673,0))</f>
        <v>16181</v>
      </c>
    </row>
    <row r="7" spans="1:4" x14ac:dyDescent="0.2">
      <c r="B7" t="s">
        <v>701</v>
      </c>
      <c r="C7" s="179">
        <f>IF('DOE25'!I666+'DOE25'!I671=0,0,ROUND('DOE25'!I673,0))</f>
        <v>15871</v>
      </c>
    </row>
    <row r="9" spans="1:4" x14ac:dyDescent="0.2">
      <c r="A9" s="187" t="s">
        <v>94</v>
      </c>
      <c r="B9" s="188" t="s">
        <v>1588</v>
      </c>
      <c r="C9" s="181" t="s">
        <v>720</v>
      </c>
      <c r="D9" s="181" t="s">
        <v>721</v>
      </c>
    </row>
    <row r="10" spans="1:4" x14ac:dyDescent="0.2">
      <c r="A10">
        <v>1100</v>
      </c>
      <c r="B10" t="s">
        <v>702</v>
      </c>
      <c r="C10" s="179">
        <f>ROUND('DOE25'!L198+'DOE25'!L216+'DOE25'!L234+'DOE25'!L277+'DOE25'!L296+'DOE25'!L315,0)</f>
        <v>8641492</v>
      </c>
      <c r="D10" s="182">
        <f>ROUND((C10/$C$28)*100,1)</f>
        <v>39.9</v>
      </c>
    </row>
    <row r="11" spans="1:4" x14ac:dyDescent="0.2">
      <c r="A11">
        <v>1200</v>
      </c>
      <c r="B11" t="s">
        <v>703</v>
      </c>
      <c r="C11" s="179">
        <f>ROUND('DOE25'!L199+'DOE25'!L217+'DOE25'!L235+'DOE25'!L278+'DOE25'!L297+'DOE25'!L316,0)</f>
        <v>3347229</v>
      </c>
      <c r="D11" s="182">
        <f>ROUND((C11/$C$28)*100,1)</f>
        <v>15.5</v>
      </c>
    </row>
    <row r="12" spans="1:4" x14ac:dyDescent="0.2">
      <c r="A12">
        <v>1300</v>
      </c>
      <c r="B12" t="s">
        <v>704</v>
      </c>
      <c r="C12" s="179">
        <f>ROUND('DOE25'!L200+'DOE25'!L218+'DOE25'!L236+'DOE25'!L279+'DOE25'!L298+'DOE25'!L317,0)</f>
        <v>57398</v>
      </c>
      <c r="D12" s="182">
        <f>ROUND((C12/$C$28)*100,1)</f>
        <v>0.3</v>
      </c>
    </row>
    <row r="13" spans="1:4" x14ac:dyDescent="0.2">
      <c r="A13">
        <v>1400</v>
      </c>
      <c r="B13" t="s">
        <v>705</v>
      </c>
      <c r="C13" s="179">
        <f>ROUND('DOE25'!L201+'DOE25'!L219+'DOE25'!L237+'DOE25'!L280+'DOE25'!L299+'DOE25'!L318,0)</f>
        <v>549017</v>
      </c>
      <c r="D13" s="182">
        <f>ROUND((C13/$C$28)*100,1)</f>
        <v>2.5</v>
      </c>
    </row>
    <row r="14" spans="1:4" x14ac:dyDescent="0.2">
      <c r="D14" s="182"/>
    </row>
    <row r="15" spans="1:4" x14ac:dyDescent="0.2">
      <c r="A15">
        <v>2100</v>
      </c>
      <c r="B15" t="s">
        <v>706</v>
      </c>
      <c r="C15" s="179">
        <f>ROUND('DOE25'!L203+'DOE25'!L221+'DOE25'!L239+'DOE25'!L282+'DOE25'!L301+'DOE25'!L320,0)</f>
        <v>1959135</v>
      </c>
      <c r="D15" s="182">
        <f t="shared" ref="D15:D27" si="0">ROUND((C15/$C$28)*100,1)</f>
        <v>9.1</v>
      </c>
    </row>
    <row r="16" spans="1:4" x14ac:dyDescent="0.2">
      <c r="A16">
        <v>2200</v>
      </c>
      <c r="B16" t="s">
        <v>707</v>
      </c>
      <c r="C16" s="179">
        <f>ROUND('DOE25'!L204+'DOE25'!L222+'DOE25'!L240+'DOE25'!L283+'DOE25'!L302+'DOE25'!L321,0)</f>
        <v>736535</v>
      </c>
      <c r="D16" s="182">
        <f t="shared" si="0"/>
        <v>3.4</v>
      </c>
    </row>
    <row r="17" spans="1:4" x14ac:dyDescent="0.2">
      <c r="A17" s="183" t="s">
        <v>723</v>
      </c>
      <c r="B17" t="s">
        <v>738</v>
      </c>
      <c r="C17" s="179">
        <f>ROUND('DOE25'!L205+'DOE25'!L210+'DOE25'!L223+'DOE25'!L228+'DOE25'!L241+'DOE25'!L246+'DOE25'!L284+'DOE25'!L289+'DOE25'!L303+'DOE25'!L308+'DOE25'!L322+'DOE25'!L327,0)</f>
        <v>1526439</v>
      </c>
      <c r="D17" s="182">
        <f t="shared" si="0"/>
        <v>7.1</v>
      </c>
    </row>
    <row r="18" spans="1:4" x14ac:dyDescent="0.2">
      <c r="A18">
        <v>2400</v>
      </c>
      <c r="B18" t="s">
        <v>711</v>
      </c>
      <c r="C18" s="179">
        <f>ROUND('DOE25'!L206+'DOE25'!L224+'DOE25'!L242+'DOE25'!L285+'DOE25'!L304+'DOE25'!L323,0)</f>
        <v>1296689</v>
      </c>
      <c r="D18" s="182">
        <f t="shared" si="0"/>
        <v>6</v>
      </c>
    </row>
    <row r="19" spans="1:4" x14ac:dyDescent="0.2">
      <c r="A19">
        <v>2500</v>
      </c>
      <c r="B19" t="s">
        <v>708</v>
      </c>
      <c r="C19" s="179">
        <f>ROUND('DOE25'!L207+'DOE25'!L225+'DOE25'!L243+'DOE25'!L286+'DOE25'!L305+'DOE25'!L324,0)</f>
        <v>344263</v>
      </c>
      <c r="D19" s="182">
        <f t="shared" si="0"/>
        <v>1.6</v>
      </c>
    </row>
    <row r="20" spans="1:4" x14ac:dyDescent="0.2">
      <c r="A20">
        <v>2600</v>
      </c>
      <c r="B20" t="s">
        <v>709</v>
      </c>
      <c r="C20" s="179">
        <f>ROUND('DOE25'!L208+'DOE25'!L226+'DOE25'!L244+'DOE25'!L287+'DOE25'!L306+'DOE25'!L325,0)</f>
        <v>1997319</v>
      </c>
      <c r="D20" s="182">
        <f t="shared" si="0"/>
        <v>9.1999999999999993</v>
      </c>
    </row>
    <row r="21" spans="1:4" x14ac:dyDescent="0.2">
      <c r="A21">
        <v>2700</v>
      </c>
      <c r="B21" t="s">
        <v>710</v>
      </c>
      <c r="C21" s="179">
        <f>ROUND('DOE25'!L209+'DOE25'!L227+'DOE25'!L245+'DOE25'!L288+'DOE25'!L307+'DOE25'!L326,0)</f>
        <v>928665</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262755.5</v>
      </c>
      <c r="D27" s="182">
        <f t="shared" si="0"/>
        <v>1.2</v>
      </c>
    </row>
    <row r="28" spans="1:4" x14ac:dyDescent="0.2">
      <c r="B28" s="187" t="s">
        <v>719</v>
      </c>
      <c r="C28" s="180">
        <f>SUM(C10:C27)</f>
        <v>21646936.5</v>
      </c>
      <c r="D28" s="184">
        <f>ROUND(SUM(D10:D27),0)</f>
        <v>100</v>
      </c>
    </row>
    <row r="29" spans="1:4" x14ac:dyDescent="0.2">
      <c r="A29">
        <v>4000</v>
      </c>
      <c r="B29" t="s">
        <v>724</v>
      </c>
      <c r="C29" s="179">
        <f>ROUND('DOE25'!L256+'DOE25'!L337+'DOE25'!L375+'DOE25'!L376+'DOE25'!L377+'DOE25'!L378+'DOE25'!L379+'DOE25'!L380+'DOE25'!L381,0)</f>
        <v>80435</v>
      </c>
    </row>
    <row r="30" spans="1:4" x14ac:dyDescent="0.2">
      <c r="B30" s="187" t="s">
        <v>725</v>
      </c>
      <c r="C30" s="180">
        <f>SUM(C28:C29)</f>
        <v>21727371.5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14034770</v>
      </c>
      <c r="D35" s="182">
        <f t="shared" ref="D35:D40" si="1">ROUND((C35/$C$41)*100,1)</f>
        <v>62.1</v>
      </c>
    </row>
    <row r="36" spans="1:4" x14ac:dyDescent="0.2">
      <c r="B36" s="185" t="s">
        <v>739</v>
      </c>
      <c r="C36" s="179">
        <f>SUM('DOE25'!F112:J112)-SUM('DOE25'!G97:G110)+('DOE25'!F175+'DOE25'!F176+'DOE25'!I175+'DOE25'!I176)-C35</f>
        <v>153782.53000000119</v>
      </c>
      <c r="D36" s="182">
        <f t="shared" si="1"/>
        <v>0.7</v>
      </c>
    </row>
    <row r="37" spans="1:4" x14ac:dyDescent="0.2">
      <c r="A37" s="183" t="s">
        <v>835</v>
      </c>
      <c r="B37" s="185" t="s">
        <v>728</v>
      </c>
      <c r="C37" s="179">
        <f>ROUND('DOE25'!F117+'DOE25'!F118,0)</f>
        <v>7557366</v>
      </c>
      <c r="D37" s="182">
        <f t="shared" si="1"/>
        <v>33.5</v>
      </c>
    </row>
    <row r="38" spans="1:4" x14ac:dyDescent="0.2">
      <c r="A38" s="183" t="s">
        <v>734</v>
      </c>
      <c r="B38" s="185" t="s">
        <v>729</v>
      </c>
      <c r="C38" s="179">
        <f>ROUND(SUM('DOE25'!F140:J140)-SUM('DOE25'!F117:F119),0)</f>
        <v>208405</v>
      </c>
      <c r="D38" s="182">
        <f t="shared" si="1"/>
        <v>0.9</v>
      </c>
    </row>
    <row r="39" spans="1:4" x14ac:dyDescent="0.2">
      <c r="A39">
        <v>4000</v>
      </c>
      <c r="B39" s="185" t="s">
        <v>730</v>
      </c>
      <c r="C39" s="179">
        <f>ROUND('DOE25'!F170+'DOE25'!G170+'DOE25'!H170+'DOE25'!I170,0)</f>
        <v>631607</v>
      </c>
      <c r="D39" s="182">
        <f t="shared" si="1"/>
        <v>2.8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22585930.530000001</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Litchfield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2020-11-20T13:22:33Z</cp:lastPrinted>
  <dcterms:created xsi:type="dcterms:W3CDTF">1997-12-04T19:04:30Z</dcterms:created>
  <dcterms:modified xsi:type="dcterms:W3CDTF">2020-12-11T16:10:25Z</dcterms:modified>
</cp:coreProperties>
</file>