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D8" i="14" l="1"/>
  <c r="D7" i="14"/>
  <c r="D6" i="14"/>
  <c r="D5" i="14"/>
  <c r="E8" i="14" l="1"/>
  <c r="E7" i="14"/>
  <c r="E6" i="14"/>
  <c r="E5" i="14"/>
  <c r="C21" i="12" l="1"/>
  <c r="C19" i="12"/>
  <c r="C37" i="12"/>
  <c r="C39" i="12"/>
  <c r="C20" i="12"/>
  <c r="C12" i="12"/>
  <c r="C10" i="12"/>
  <c r="C11" i="12"/>
  <c r="B39" i="12" l="1"/>
  <c r="B19" i="12"/>
  <c r="B21" i="12"/>
  <c r="B20" i="12"/>
  <c r="B10" i="12"/>
  <c r="B12" i="12"/>
  <c r="B11" i="12"/>
  <c r="G97" i="1" l="1"/>
  <c r="J605" i="1"/>
  <c r="I605" i="1"/>
  <c r="H605" i="1"/>
  <c r="G613" i="1"/>
  <c r="G614" i="1"/>
  <c r="G612" i="1"/>
  <c r="F612" i="1"/>
  <c r="F614" i="1"/>
  <c r="J592" i="1"/>
  <c r="J596" i="1"/>
  <c r="H583" i="1" l="1"/>
  <c r="G564" i="1"/>
  <c r="G565" i="1"/>
  <c r="G563" i="1"/>
  <c r="I563" i="1"/>
  <c r="I565" i="1"/>
  <c r="I564" i="1"/>
  <c r="G569" i="1"/>
  <c r="G568" i="1"/>
  <c r="I569" i="1"/>
  <c r="F569" i="1"/>
  <c r="F568" i="1"/>
  <c r="K569" i="1"/>
  <c r="K568" i="1"/>
  <c r="I568" i="1"/>
  <c r="G533" i="1"/>
  <c r="G534" i="1"/>
  <c r="G532" i="1"/>
  <c r="G528" i="1"/>
  <c r="G529" i="1"/>
  <c r="G527" i="1"/>
  <c r="G523" i="1"/>
  <c r="G524" i="1"/>
  <c r="G522" i="1"/>
  <c r="H522" i="1"/>
  <c r="F522" i="1"/>
  <c r="I529" i="1"/>
  <c r="I528" i="1"/>
  <c r="I527" i="1"/>
  <c r="H529" i="1"/>
  <c r="H528" i="1"/>
  <c r="H527" i="1"/>
  <c r="F529" i="1"/>
  <c r="F528" i="1"/>
  <c r="F527" i="1"/>
  <c r="J522" i="1"/>
  <c r="I524" i="1"/>
  <c r="I523" i="1"/>
  <c r="I522" i="1"/>
  <c r="H524" i="1"/>
  <c r="H523" i="1"/>
  <c r="F524" i="1"/>
  <c r="F523" i="1"/>
  <c r="H534" i="1"/>
  <c r="H533" i="1"/>
  <c r="H532" i="1"/>
  <c r="F534" i="1"/>
  <c r="F533" i="1"/>
  <c r="F532" i="1"/>
  <c r="J524" i="1"/>
  <c r="J523" i="1"/>
  <c r="K522" i="1"/>
  <c r="G240" i="1" l="1"/>
  <c r="G222" i="1"/>
  <c r="G204" i="1"/>
  <c r="H235" i="1" l="1"/>
  <c r="H246" i="1" l="1"/>
  <c r="H228" i="1"/>
  <c r="H210" i="1"/>
  <c r="F277" i="1" l="1"/>
  <c r="H217" i="1" l="1"/>
  <c r="H199" i="1"/>
  <c r="I198" i="1"/>
  <c r="I240" i="1"/>
  <c r="I222" i="1"/>
  <c r="I204" i="1"/>
  <c r="I235" i="1"/>
  <c r="I217" i="1"/>
  <c r="I199" i="1"/>
  <c r="K262" i="1" l="1"/>
  <c r="I234" i="1"/>
  <c r="J246" i="1"/>
  <c r="I246" i="1"/>
  <c r="H245" i="1"/>
  <c r="K244" i="1"/>
  <c r="J244" i="1"/>
  <c r="I244" i="1"/>
  <c r="H244" i="1"/>
  <c r="H243" i="1"/>
  <c r="H242" i="1"/>
  <c r="K241" i="1"/>
  <c r="J241" i="1"/>
  <c r="I241" i="1"/>
  <c r="H241" i="1"/>
  <c r="H240" i="1"/>
  <c r="I239" i="1"/>
  <c r="H239" i="1"/>
  <c r="J252" i="1"/>
  <c r="J237" i="1"/>
  <c r="I237" i="1"/>
  <c r="J234" i="1"/>
  <c r="H234" i="1"/>
  <c r="I216" i="1"/>
  <c r="J228" i="1"/>
  <c r="I228" i="1"/>
  <c r="H227" i="1"/>
  <c r="K226" i="1"/>
  <c r="J226" i="1"/>
  <c r="I226" i="1"/>
  <c r="H226" i="1"/>
  <c r="H225" i="1"/>
  <c r="H224" i="1"/>
  <c r="K223" i="1"/>
  <c r="J223" i="1"/>
  <c r="I223" i="1"/>
  <c r="H223" i="1"/>
  <c r="H222" i="1"/>
  <c r="I221" i="1"/>
  <c r="H221" i="1"/>
  <c r="J219" i="1"/>
  <c r="I219" i="1"/>
  <c r="K217" i="1"/>
  <c r="J216" i="1"/>
  <c r="H216" i="1"/>
  <c r="J210" i="1"/>
  <c r="I210" i="1"/>
  <c r="H209" i="1"/>
  <c r="K208" i="1"/>
  <c r="J208" i="1"/>
  <c r="I208" i="1"/>
  <c r="H208" i="1"/>
  <c r="H207" i="1"/>
  <c r="H206" i="1"/>
  <c r="K205" i="1"/>
  <c r="J205" i="1"/>
  <c r="I205" i="1"/>
  <c r="H205" i="1"/>
  <c r="H204" i="1"/>
  <c r="I203" i="1"/>
  <c r="H203" i="1"/>
  <c r="I201" i="1"/>
  <c r="K199" i="1"/>
  <c r="J198" i="1"/>
  <c r="I242" i="1"/>
  <c r="K242" i="1"/>
  <c r="K240" i="1" l="1"/>
  <c r="K239" i="1"/>
  <c r="I252" i="1"/>
  <c r="K237" i="1"/>
  <c r="H237" i="1"/>
  <c r="J235" i="1"/>
  <c r="K234" i="1"/>
  <c r="K224" i="1" l="1"/>
  <c r="I224" i="1"/>
  <c r="K222" i="1"/>
  <c r="K219" i="1"/>
  <c r="H219" i="1"/>
  <c r="J217" i="1"/>
  <c r="K206" i="1"/>
  <c r="I206" i="1"/>
  <c r="K204" i="1"/>
  <c r="J199" i="1"/>
  <c r="H198" i="1"/>
  <c r="F216" i="1" l="1"/>
  <c r="F244" i="1"/>
  <c r="F226" i="1"/>
  <c r="F208" i="1"/>
  <c r="F246" i="1" l="1"/>
  <c r="F243" i="1"/>
  <c r="F242" i="1"/>
  <c r="F241" i="1"/>
  <c r="F240" i="1"/>
  <c r="F239" i="1"/>
  <c r="F237" i="1"/>
  <c r="F235" i="1"/>
  <c r="F234" i="1"/>
  <c r="F228" i="1"/>
  <c r="F225" i="1"/>
  <c r="F223" i="1"/>
  <c r="F222" i="1"/>
  <c r="F221" i="1"/>
  <c r="F219" i="1"/>
  <c r="F217" i="1"/>
  <c r="F210" i="1"/>
  <c r="F207" i="1"/>
  <c r="F205" i="1"/>
  <c r="F204" i="1"/>
  <c r="F203" i="1"/>
  <c r="F201" i="1"/>
  <c r="F199" i="1"/>
  <c r="F198" i="1"/>
  <c r="F252" i="1"/>
  <c r="F224" i="1"/>
  <c r="F206" i="1"/>
  <c r="K361" i="1" l="1"/>
  <c r="K360" i="1"/>
  <c r="K359" i="1"/>
  <c r="I361" i="1"/>
  <c r="I360" i="1"/>
  <c r="I359" i="1"/>
  <c r="H361" i="1"/>
  <c r="H360" i="1"/>
  <c r="H359" i="1"/>
  <c r="G359" i="1"/>
  <c r="G360" i="1"/>
  <c r="G361" i="1"/>
  <c r="F361" i="1"/>
  <c r="F360" i="1"/>
  <c r="F359" i="1"/>
  <c r="J321" i="1" l="1"/>
  <c r="J302" i="1"/>
  <c r="J283" i="1"/>
  <c r="I321" i="1"/>
  <c r="I302" i="1"/>
  <c r="I283" i="1"/>
  <c r="H321" i="1"/>
  <c r="H302" i="1"/>
  <c r="H283" i="1"/>
  <c r="I320" i="1"/>
  <c r="I301" i="1"/>
  <c r="I282" i="1"/>
  <c r="G334" i="1"/>
  <c r="J334" i="1"/>
  <c r="I334" i="1"/>
  <c r="I318" i="1"/>
  <c r="J278" i="1"/>
  <c r="I278" i="1"/>
  <c r="I277" i="1"/>
  <c r="F320" i="1" l="1"/>
  <c r="F318" i="1"/>
  <c r="F316" i="1"/>
  <c r="F297" i="1"/>
  <c r="F282" i="1"/>
  <c r="F278" i="1"/>
  <c r="F9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0" i="14"/>
  <c r="C11" i="14"/>
  <c r="C12" i="14"/>
  <c r="C13" i="14"/>
  <c r="C14" i="14"/>
  <c r="C15" i="14"/>
  <c r="C16" i="14"/>
  <c r="C17" i="14"/>
  <c r="C18" i="14"/>
  <c r="C19" i="14"/>
  <c r="C20" i="14"/>
  <c r="B6" i="14"/>
  <c r="C6" i="14" s="1"/>
  <c r="B7" i="14"/>
  <c r="C7" i="14" s="1"/>
  <c r="B8" i="14"/>
  <c r="C8" i="14" s="1"/>
  <c r="B9" i="14"/>
  <c r="C9" i="14" s="1"/>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3" i="2"/>
  <c r="E124"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F230" i="1" s="1"/>
  <c r="G212" i="1"/>
  <c r="H212" i="1"/>
  <c r="I212" i="1"/>
  <c r="J212" i="1"/>
  <c r="K212"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A40" i="12" l="1"/>
  <c r="D15" i="13"/>
  <c r="C15" i="13" s="1"/>
  <c r="C119" i="2"/>
  <c r="C11" i="10"/>
  <c r="A31" i="12"/>
  <c r="C20" i="10"/>
  <c r="D6" i="13"/>
  <c r="C6" i="13" s="1"/>
  <c r="E13" i="13"/>
  <c r="C13" i="13" s="1"/>
  <c r="I409" i="1"/>
  <c r="C121" i="2"/>
  <c r="C32" i="10"/>
  <c r="C120" i="2"/>
  <c r="E120" i="2"/>
  <c r="E85" i="2"/>
  <c r="E91" i="2" s="1"/>
  <c r="C85" i="2"/>
  <c r="C125" i="2"/>
  <c r="G339" i="1"/>
  <c r="G353" i="1" s="1"/>
  <c r="J258" i="1"/>
  <c r="J272" i="1" s="1"/>
  <c r="E125" i="2"/>
  <c r="E121" i="2"/>
  <c r="J652" i="1"/>
  <c r="J572" i="1"/>
  <c r="G553" i="1"/>
  <c r="C12" i="10"/>
  <c r="C131" i="2"/>
  <c r="F258" i="1"/>
  <c r="F272" i="1" s="1"/>
  <c r="C91" i="2"/>
  <c r="H112" i="1"/>
  <c r="L402" i="1"/>
  <c r="C139" i="2" s="1"/>
  <c r="C110" i="2"/>
  <c r="G646" i="1"/>
  <c r="J646" i="1" s="1"/>
  <c r="H462" i="1"/>
  <c r="H642" i="1" s="1"/>
  <c r="J642" i="1" s="1"/>
  <c r="K339" i="1"/>
  <c r="K353" i="1" s="1"/>
  <c r="L257" i="1"/>
  <c r="H193" i="1"/>
  <c r="H477" i="1"/>
  <c r="H625" i="1" s="1"/>
  <c r="J625" i="1" s="1"/>
  <c r="G477" i="1"/>
  <c r="H624" i="1" s="1"/>
  <c r="J624" i="1" s="1"/>
  <c r="H409" i="1"/>
  <c r="H645" i="1" s="1"/>
  <c r="J645" i="1" s="1"/>
  <c r="G662" i="1"/>
  <c r="C13" i="10"/>
  <c r="E112" i="2"/>
  <c r="J656" i="1"/>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94" i="1" l="1"/>
  <c r="G630" i="1" s="1"/>
  <c r="J630" i="1" s="1"/>
  <c r="D51" i="2"/>
  <c r="E51" i="2"/>
  <c r="L572" i="1"/>
  <c r="H661" i="1"/>
  <c r="H665" i="1" s="1"/>
  <c r="H668" i="1" s="1"/>
  <c r="C141" i="2"/>
  <c r="C144" i="2" s="1"/>
  <c r="E128" i="2"/>
  <c r="B33" i="16"/>
  <c r="H649" i="1"/>
  <c r="J649" i="1" s="1"/>
  <c r="E115" i="2"/>
  <c r="G36" i="14"/>
  <c r="H36" i="14" s="1"/>
  <c r="I36" i="14" s="1"/>
  <c r="G24" i="14"/>
  <c r="H24" i="14" s="1"/>
  <c r="I24" i="14" s="1"/>
  <c r="F661" i="1"/>
  <c r="F665" i="1" s="1"/>
  <c r="F668" i="1" s="1"/>
  <c r="F194" i="1"/>
  <c r="G628" i="1" s="1"/>
  <c r="J628" i="1" s="1"/>
  <c r="C8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<sst xmlns="http://schemas.openxmlformats.org/spreadsheetml/2006/main" count="5560" uniqueCount="1652">
  <si>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</si>
  <si>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</si>
  <si>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</si>
  <si>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</si>
  <si>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</si>
  <si>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</si>
  <si>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</si>
  <si>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</si>
  <si>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</si>
  <si>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</si>
  <si>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</si>
  <si>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</si>
  <si>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</si>
  <si>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</si>
  <si>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</si>
  <si>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</si>
  <si>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</si>
  <si>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</si>
  <si>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</si>
  <si>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</si>
  <si>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</si>
  <si>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</si>
  <si>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</si>
  <si>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</si>
  <si>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</si>
  <si>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</si>
  <si>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</si>
  <si>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</si>
  <si>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</si>
  <si>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</si>
  <si>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</si>
  <si>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</si>
  <si>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</si>
  <si>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</si>
  <si>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</si>
  <si>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</si>
  <si>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</si>
  <si>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</si>
  <si>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</si>
  <si>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</si>
  <si>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</si>
  <si>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</si>
  <si>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</si>
  <si>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</si>
  <si>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</si>
  <si>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</si>
  <si>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</si>
  <si>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</si>
  <si>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</si>
  <si>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</si>
  <si>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</si>
  <si>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</si>
  <si>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</si>
  <si>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</si>
  <si>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</si>
  <si>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</si>
  <si>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</si>
  <si>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</si>
  <si>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</si>
  <si>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</si>
  <si>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</si>
  <si>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</si>
  <si>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</si>
  <si>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</si>
  <si>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</si>
  <si>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</si>
  <si>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</si>
  <si>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</si>
  <si>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</si>
  <si>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</si>
  <si>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</si>
  <si>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</si>
  <si>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</si>
  <si>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</si>
  <si>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</si>
  <si>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</si>
  <si>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</si>
  <si>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</si>
  <si>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</si>
  <si>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</si>
  <si>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</si>
  <si>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</si>
  <si>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</si>
  <si>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</si>
  <si>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</si>
  <si>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</si>
  <si>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</si>
  <si>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</si>
  <si>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</si>
  <si>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</si>
  <si>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</si>
  <si>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</si>
  <si>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</si>
  <si>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</si>
  <si>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</si>
  <si>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</si>
  <si>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</si>
  <si>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</si>
  <si>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</si>
  <si>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</si>
  <si>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</si>
  <si>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</si>
  <si>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</si>
  <si>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</si>
  <si>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</si>
  <si>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</si>
  <si>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</si>
  <si>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</si>
  <si>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</si>
  <si>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</si>
  <si>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</si>
  <si>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</si>
  <si>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</si>
  <si>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</si>
  <si>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</si>
  <si>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</si>
  <si>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</si>
  <si>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</si>
  <si>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</si>
  <si>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</si>
  <si>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</si>
  <si>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</si>
  <si>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</si>
  <si>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</si>
  <si>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</si>
  <si>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</si>
  <si>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</si>
  <si>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</si>
  <si>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</si>
  <si>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</si>
  <si>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</si>
  <si>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</si>
  <si>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</si>
  <si>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</si>
  <si>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</si>
  <si>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</si>
  <si>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</si>
  <si>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</si>
  <si>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</si>
  <si>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</si>
  <si>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</si>
  <si>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</si>
  <si>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</si>
  <si>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</si>
  <si>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</si>
  <si>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</si>
  <si>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</si>
  <si>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</si>
  <si>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</si>
  <si>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</si>
  <si>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</si>
  <si>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</si>
  <si>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</si>
  <si>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</si>
  <si>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</si>
  <si>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</si>
  <si>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</si>
  <si>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</si>
  <si>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</si>
  <si>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</si>
  <si>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</si>
  <si>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</si>
  <si>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</si>
  <si>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</si>
  <si>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</si>
  <si>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</si>
  <si>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</si>
  <si>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</si>
  <si>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</si>
  <si>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</si>
  <si>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</si>
  <si>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</si>
  <si>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</si>
  <si>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</si>
  <si>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</si>
  <si>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</si>
  <si>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</si>
  <si>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</si>
  <si>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</si>
  <si>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</si>
  <si>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</si>
  <si>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</si>
  <si>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</si>
  <si>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</si>
  <si>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</si>
  <si>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</si>
  <si>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</si>
  <si>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</si>
  <si>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</si>
  <si>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</si>
  <si>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</si>
  <si>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</si>
  <si>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</si>
  <si>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</si>
  <si>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</si>
  <si>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</si>
  <si>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</si>
  <si>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</si>
  <si>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</si>
  <si>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</si>
  <si>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</si>
  <si>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</si>
  <si>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</si>
  <si>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</si>
  <si>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</si>
  <si>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</si>
  <si>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</si>
  <si>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</si>
  <si>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</si>
  <si>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</si>
  <si>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</si>
  <si>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</si>
  <si>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</si>
  <si>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</si>
  <si>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</si>
  <si>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</si>
  <si>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</si>
  <si>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</si>
  <si>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</si>
  <si>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</si>
  <si>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</si>
  <si>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</si>
  <si>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</si>
  <si>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</si>
  <si>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</si>
  <si>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</si>
  <si>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</si>
  <si>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</si>
  <si>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</si>
  <si>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</si>
  <si>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</si>
  <si>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</si>
  <si>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</si>
  <si>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</si>
  <si>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</si>
  <si>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</si>
  <si>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</si>
  <si>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</si>
  <si>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</si>
  <si>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</si>
  <si>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</si>
  <si>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</si>
  <si>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</si>
  <si>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</si>
  <si>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</si>
  <si>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</si>
  <si>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</si>
  <si>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</si>
  <si>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</si>
  <si>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</si>
  <si>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</si>
  <si>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</si>
  <si>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</si>
  <si>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</si>
  <si>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</si>
  <si>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</si>
  <si>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</si>
  <si>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</si>
  <si>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</si>
  <si>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</si>
  <si>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</si>
  <si>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</si>
  <si>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</si>
  <si>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</si>
  <si>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</si>
  <si>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</si>
  <si>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</si>
  <si>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</si>
  <si>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</si>
  <si>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</si>
  <si>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</si>
  <si>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</si>
  <si>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</si>
  <si>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</si>
  <si>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</si>
  <si>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</si>
  <si>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</si>
  <si>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</si>
  <si>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</si>
  <si>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</si>
  <si>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</si>
  <si>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</si>
  <si>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</si>
  <si>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</si>
  <si>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</si>
  <si>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</si>
  <si>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</si>
  <si>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</si>
  <si>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</si>
  <si>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</si>
  <si>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</si>
  <si>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</si>
  <si>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</si>
  <si>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</si>
  <si>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</si>
  <si>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</si>
  <si>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</si>
  <si>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</si>
  <si>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</si>
  <si>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</si>
  <si>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</si>
  <si>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</si>
  <si>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</si>
  <si>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</si>
  <si>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</si>
  <si>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</si>
  <si>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</si>
  <si>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</si>
  <si>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</si>
  <si>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</si>
  <si>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</si>
  <si>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</si>
  <si>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</si>
  <si>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</si>
  <si>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</si>
  <si>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</si>
  <si>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</si>
  <si>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</si>
  <si>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</si>
  <si>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</si>
  <si>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</si>
  <si>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</si>
  <si>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</si>
  <si>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</si>
  <si>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</si>
  <si>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</si>
  <si>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</si>
  <si>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</si>
  <si>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</si>
  <si>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</si>
  <si>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</si>
  <si>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</si>
  <si>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</si>
  <si>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</si>
  <si>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</si>
  <si>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</si>
  <si>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</si>
  <si>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</si>
  <si>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</si>
  <si>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</si>
  <si>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</si>
  <si>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</si>
  <si>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</si>
  <si>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</si>
  <si>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</si>
  <si>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</si>
  <si>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</si>
  <si>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</si>
  <si>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</si>
  <si>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</si>
  <si>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</si>
  <si>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</si>
  <si>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</si>
  <si>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</si>
  <si>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</si>
  <si>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</si>
  <si>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</si>
  <si>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</si>
  <si>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</si>
  <si>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</si>
  <si>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</si>
  <si>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</si>
  <si>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</si>
  <si>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</si>
  <si>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</si>
  <si>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</si>
  <si>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</si>
  <si>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</si>
  <si>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</si>
  <si>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</si>
  <si>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</si>
  <si>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</si>
  <si>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</si>
  <si>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</si>
  <si>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</si>
  <si>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</si>
  <si>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</si>
  <si>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</si>
  <si>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</si>
  <si>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</si>
  <si>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</si>
  <si>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</si>
  <si>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</si>
  <si>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</si>
  <si>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</si>
  <si>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</si>
  <si>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</si>
  <si>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</si>
  <si>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</si>
  <si>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</si>
  <si>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</si>
  <si>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</si>
  <si>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</si>
  <si>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</si>
  <si>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</si>
  <si>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</si>
  <si>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</si>
  <si>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</si>
  <si>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</si>
  <si>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</si>
  <si>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</si>
  <si>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</si>
  <si>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</si>
  <si>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</si>
  <si>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</si>
  <si>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</si>
  <si>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</si>
  <si>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</si>
  <si>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</si>
  <si>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</si>
  <si>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</si>
  <si>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</si>
  <si>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</si>
  <si>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</si>
  <si>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</si>
  <si>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</si>
  <si>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</si>
  <si>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</si>
  <si>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</si>
  <si>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</si>
  <si>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</si>
  <si>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</si>
  <si>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</si>
  <si>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</si>
  <si>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</si>
  <si>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</si>
  <si>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</si>
  <si>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</si>
  <si>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</si>
  <si>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</si>
  <si>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</si>
  <si>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</si>
  <si>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</si>
  <si>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</si>
  <si>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</si>
  <si>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</si>
  <si>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</si>
  <si>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</si>
  <si>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</si>
  <si>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</si>
  <si>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</si>
  <si>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</si>
  <si>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</si>
  <si>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</si>
  <si>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</si>
  <si>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</si>
  <si>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</si>
  <si>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</si>
  <si>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</si>
  <si>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</si>
  <si>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</si>
  <si>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</si>
  <si>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</si>
  <si>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</si>
  <si>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</si>
  <si>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</si>
  <si>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</si>
  <si>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</si>
  <si>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</si>
  <si>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</si>
  <si>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</si>
  <si>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</si>
  <si>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</si>
  <si>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</si>
  <si>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</si>
  <si>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</si>
  <si>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</si>
  <si>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</si>
  <si>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</si>
  <si>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</si>
  <si>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</si>
  <si>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</si>
  <si>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</si>
  <si>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</si>
  <si>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</si>
  <si>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</si>
  <si>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</si>
  <si>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</si>
  <si>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</si>
  <si>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</si>
  <si>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</si>
  <si>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</si>
  <si>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</si>
  <si>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</si>
  <si>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</si>
  <si>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</si>
  <si>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</si>
  <si>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</si>
  <si>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</si>
  <si>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</si>
  <si>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</si>
  <si>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</si>
  <si>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</si>
  <si>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</si>
  <si>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</si>
  <si>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</si>
  <si>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</si>
  <si>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</si>
  <si>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</si>
  <si>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</si>
  <si>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</si>
  <si>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</si>
  <si>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</si>
  <si>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</si>
  <si>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</si>
  <si>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</si>
  <si>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</si>
  <si>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</si>
  <si>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</si>
  <si>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</si>
  <si>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</si>
  <si>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</si>
  <si>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</si>
  <si>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</si>
  <si>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</si>
  <si>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</si>
  <si>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</si>
  <si>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</si>
  <si>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</si>
  <si>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</si>
  <si>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</si>
  <si>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</si>
  <si>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</si>
  <si>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</si>
  <si>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</si>
  <si>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</si>
  <si>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</si>
  <si>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</si>
  <si>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</si>
  <si>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</si>
  <si>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</si>
  <si>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</si>
  <si>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</si>
  <si>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</si>
  <si>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</si>
  <si>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</si>
  <si>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</si>
  <si>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</si>
  <si>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</si>
  <si>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</si>
  <si>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</si>
  <si>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</si>
  <si>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</si>
  <si>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</si>
  <si>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</si>
  <si>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</si>
  <si>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</si>
  <si>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</si>
  <si>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</si>
  <si>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</si>
  <si>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</si>
  <si>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</si>
  <si>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</si>
  <si>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</si>
  <si>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</si>
  <si>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</si>
  <si>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</si>
  <si>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</si>
  <si>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</si>
  <si>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</si>
  <si>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</si>
  <si>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</si>
  <si>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</si>
  <si>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</si>
  <si>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</si>
  <si>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</si>
  <si>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</si>
  <si>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</si>
  <si>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</si>
  <si>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</si>
  <si>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</si>
  <si>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</si>
  <si>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</si>
  <si>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</si>
  <si>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</si>
  <si>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</si>
  <si>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</si>
  <si>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</si>
  <si>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</si>
  <si>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</si>
  <si>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</si>
  <si>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</si>
  <si>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</si>
  <si>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</si>
  <si>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</si>
  <si>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</si>
  <si>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</si>
  <si>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</si>
  <si>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</si>
  <si>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</si>
  <si>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</si>
  <si>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</si>
  <si>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</si>
  <si>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</si>
  <si>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</si>
  <si>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</si>
  <si>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</si>
  <si>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</si>
  <si>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</si>
  <si>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</si>
  <si>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</si>
  <si>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</si>
  <si>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</si>
  <si>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</si>
  <si>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</si>
  <si>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</si>
  <si>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</si>
  <si>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</si>
  <si>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</si>
  <si>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</si>
  <si>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</si>
  <si>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</si>
  <si>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</si>
  <si>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</si>
  <si>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</si>
  <si>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</si>
  <si>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</si>
  <si>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</si>
  <si>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</si>
  <si>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</si>
  <si>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</si>
  <si>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</si>
  <si>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</si>
  <si>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</si>
  <si>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</si>
  <si>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</si>
  <si>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</si>
  <si>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</si>
  <si>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</si>
  <si>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</si>
  <si>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</si>
  <si>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</si>
  <si>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</si>
  <si>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</si>
  <si>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</si>
  <si>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</si>
  <si>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</si>
  <si>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</si>
  <si>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</si>
  <si>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</si>
  <si>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</si>
  <si>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</si>
  <si>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</si>
  <si>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</si>
  <si>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</si>
  <si>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</si>
  <si>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</si>
  <si>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</si>
  <si>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</si>
  <si>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</si>
  <si>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</si>
  <si>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</si>
  <si>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</si>
  <si>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</si>
  <si>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</si>
  <si>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</si>
  <si>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</si>
  <si>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</si>
  <si>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</si>
  <si>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</si>
  <si>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</si>
  <si>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</si>
  <si>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</si>
  <si>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</si>
  <si>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</si>
  <si>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</si>
  <si>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</si>
  <si>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</si>
  <si>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</si>
  <si>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</si>
  <si>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</si>
  <si>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</si>
  <si>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</si>
  <si>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</si>
  <si>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</si>
  <si>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</si>
  <si>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</si>
  <si>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</si>
  <si>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</si>
  <si>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</si>
  <si>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</si>
  <si>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</si>
  <si>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</si>
  <si>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</si>
  <si>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</si>
  <si>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</si>
  <si>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</si>
  <si>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</si>
  <si>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</si>
  <si>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</si>
  <si>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</si>
  <si>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</si>
  <si>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</si>
  <si>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</si>
  <si>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</si>
  <si>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</si>
  <si>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</si>
  <si>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</si>
  <si>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</si>
  <si>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</si>
  <si>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</si>
  <si>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</si>
  <si>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</si>
  <si>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</si>
  <si>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</si>
  <si>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</si>
  <si>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</si>
  <si>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</si>
  <si>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</si>
  <si>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</si>
  <si>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</si>
  <si>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</si>
  <si>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</si>
  <si>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</si>
  <si>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</si>
  <si>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</si>
  <si>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</si>
  <si>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</si>
  <si>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</si>
  <si>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</si>
  <si>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</si>
  <si>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</si>
  <si>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</si>
  <si>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</si>
  <si>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</si>
  <si>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</si>
  <si>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</si>
  <si>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</si>
  <si>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</si>
  <si>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</si>
  <si>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</si>
  <si>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</si>
  <si>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</si>
  <si>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</si>
  <si>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</si>
  <si>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</si>
  <si>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</si>
  <si>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</si>
  <si>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</si>
  <si>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</si>
  <si>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</si>
  <si>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</si>
  <si>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</si>
  <si>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</si>
  <si>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</si>
  <si>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</si>
  <si>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</si>
  <si>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</si>
  <si>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</si>
  <si>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</si>
  <si>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</si>
  <si>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</si>
  <si>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</si>
  <si>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</si>
  <si>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</si>
  <si>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</si>
  <si>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</si>
  <si>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</si>
  <si>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</si>
  <si>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</si>
  <si>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</si>
  <si>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</si>
  <si>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</si>
  <si>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</si>
  <si>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</si>
  <si>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</si>
  <si>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</si>
  <si>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</si>
  <si>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</si>
  <si>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</si>
  <si>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</si>
  <si>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</si>
  <si>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</si>
  <si>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</si>
  <si>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</si>
  <si>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</si>
  <si>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</si>
  <si>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</si>
  <si>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</si>
  <si>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</si>
  <si>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</si>
  <si>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</si>
  <si>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</si>
  <si>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</si>
  <si>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</si>
  <si>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</si>
  <si>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</si>
  <si>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</si>
  <si>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</si>
  <si>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</si>
  <si>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</si>
  <si>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</si>
  <si>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</si>
  <si>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</si>
  <si>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</si>
  <si>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</si>
  <si>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</si>
  <si>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</si>
  <si>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</si>
  <si>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</si>
  <si>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</si>
  <si>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</si>
  <si>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</si>
  <si>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</si>
  <si>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</si>
  <si>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</si>
  <si>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</si>
  <si>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</si>
  <si>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</si>
  <si>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</si>
  <si>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</si>
  <si>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</si>
  <si>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</si>
  <si>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</si>
  <si>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</si>
  <si>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</si>
  <si>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</si>
  <si>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</si>
  <si>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</si>
  <si>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</si>
  <si>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</si>
  <si>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</si>
  <si>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</si>
  <si>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</si>
  <si>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</si>
  <si>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</si>
  <si>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</si>
  <si>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</si>
  <si>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</si>
  <si>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</si>
  <si>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</si>
  <si>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</si>
  <si>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</si>
  <si>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</si>
  <si>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</si>
  <si>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</si>
  <si>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</si>
  <si>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</si>
  <si>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</si>
  <si>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</si>
  <si>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</si>
  <si>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</si>
  <si>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</si>
  <si>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</si>
  <si>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</si>
  <si>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</si>
  <si>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</si>
  <si>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</si>
  <si>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</si>
  <si>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</si>
  <si>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</si>
  <si>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</si>
  <si>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</si>
  <si>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</si>
  <si>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</si>
  <si>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</si>
  <si>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</si>
  <si>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</si>
  <si>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</si>
  <si>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</si>
  <si>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</si>
  <si>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</si>
  <si>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</si>
  <si>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</si>
  <si>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</si>
  <si>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</si>
  <si>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</si>
  <si>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</si>
  <si>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</si>
  <si>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</si>
  <si>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</si>
  <si>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</si>
  <si>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</si>
  <si>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</si>
  <si>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</si>
  <si>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</si>
  <si>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</si>
  <si>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</si>
  <si>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</si>
  <si>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</si>
  <si>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</si>
  <si>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</si>
  <si>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</si>
  <si>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</si>
  <si>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</si>
  <si>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</si>
  <si>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</si>
  <si>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</si>
  <si>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</si>
  <si>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</si>
  <si>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</si>
  <si>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</si>
  <si>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</si>
  <si>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</si>
  <si>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</si>
  <si>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</si>
  <si>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</si>
  <si>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</si>
  <si>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</si>
  <si>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</si>
  <si>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</si>
  <si>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</si>
  <si>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</si>
  <si>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</si>
  <si>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</si>
  <si>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</si>
  <si>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</si>
  <si>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</si>
  <si>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</si>
  <si>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</si>
  <si>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</si>
  <si>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</si>
  <si>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</si>
  <si>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</si>
  <si>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</si>
  <si>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</si>
  <si>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</si>
  <si>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</si>
  <si>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</si>
  <si>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</si>
  <si>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</si>
  <si>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</si>
  <si>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</si>
  <si>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</si>
  <si>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</si>
  <si>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</si>
  <si>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</si>
  <si>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</si>
  <si>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</si>
  <si>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</si>
  <si>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</si>
  <si>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</si>
  <si>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</si>
  <si>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</si>
  <si>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</si>
  <si>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</si>
  <si>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</si>
  <si>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</si>
  <si>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</si>
  <si>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</si>
  <si>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</si>
  <si>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</si>
  <si>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</si>
  <si>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</si>
  <si>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</si>
  <si>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</si>
  <si>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</si>
  <si>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</si>
  <si>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</si>
  <si>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</si>
  <si>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</si>
  <si>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</si>
  <si>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</si>
  <si>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</si>
  <si>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</si>
  <si>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</si>
  <si>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</si>
  <si>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</si>
  <si>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</si>
  <si>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</si>
  <si>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</si>
  <si>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</si>
  <si>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</si>
  <si>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</si>
  <si>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</si>
  <si>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</si>
  <si>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</si>
  <si>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</si>
  <si>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</si>
  <si>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</si>
  <si>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</si>
  <si>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</si>
  <si>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</si>
  <si>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</si>
  <si>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</si>
  <si>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</si>
  <si>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</si>
  <si>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</si>
  <si>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</si>
  <si>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</si>
  <si>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</si>
  <si>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</si>
  <si>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</si>
  <si>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</si>
  <si>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</si>
  <si>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</si>
  <si>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</si>
  <si>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</si>
  <si>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</si>
  <si>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</si>
  <si>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</si>
  <si>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</si>
  <si>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</si>
  <si>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</si>
  <si>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</si>
  <si>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</si>
  <si>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</si>
  <si>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</si>
  <si>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</si>
  <si>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</si>
  <si>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</si>
  <si>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</si>
  <si>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</si>
  <si>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</si>
  <si>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</si>
  <si>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</si>
  <si>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</si>
  <si>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</si>
  <si>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</si>
  <si>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</si>
  <si>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</si>
  <si>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</si>
  <si>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</si>
  <si>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</si>
  <si>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</si>
  <si>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</si>
  <si>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</si>
  <si>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</si>
  <si>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</si>
  <si>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</si>
  <si>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</si>
  <si>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</si>
  <si>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</si>
  <si>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</si>
  <si>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</si>
  <si>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</si>
  <si>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</si>
  <si>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</si>
  <si>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</si>
  <si>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</si>
  <si>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</si>
  <si>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</si>
  <si>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</si>
  <si>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</si>
  <si>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</si>
  <si>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</si>
  <si>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</si>
  <si>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</si>
  <si>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</si>
  <si>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</si>
  <si>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</si>
  <si>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</si>
  <si>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</si>
  <si>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</si>
  <si>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</si>
  <si>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</si>
  <si>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</si>
  <si>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</si>
  <si>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</si>
  <si>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</si>
  <si>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</si>
  <si>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</si>
  <si>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</si>
  <si>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</si>
  <si>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</si>
  <si>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</si>
  <si>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</si>
  <si>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</si>
  <si>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</si>
  <si>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</si>
  <si>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</si>
  <si>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</si>
  <si>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</si>
  <si>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</si>
  <si>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</si>
  <si>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</si>
  <si>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</si>
  <si>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</si>
  <si>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</si>
  <si>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</si>
  <si>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</si>
  <si>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</si>
  <si>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</si>
  <si>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</si>
  <si>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</si>
  <si>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</si>
  <si>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</si>
  <si>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</si>
  <si>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</si>
  <si>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</si>
  <si>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</si>
  <si>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</si>
  <si>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</si>
  <si>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</si>
  <si>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</si>
  <si>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</si>
  <si>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</si>
  <si>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</si>
  <si>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</si>
  <si>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</si>
  <si>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</si>
  <si>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</si>
  <si>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</si>
  <si>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</si>
  <si>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</si>
  <si>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</si>
  <si>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</si>
  <si>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</si>
  <si>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</si>
  <si>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</si>
  <si>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</si>
  <si>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</si>
  <si>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</si>
  <si>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</si>
  <si>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</si>
  <si>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</si>
  <si>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</si>
  <si>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</si>
  <si>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</si>
  <si>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</si>
  <si>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</si>
  <si>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</si>
  <si>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</si>
  <si>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</si>
  <si>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</si>
  <si>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</si>
  <si>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</si>
  <si>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</si>
  <si>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</si>
  <si>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</si>
  <si>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</si>
  <si>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</si>
  <si>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</si>
  <si>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</si>
  <si>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</si>
  <si>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</si>
  <si>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</si>
  <si>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</si>
  <si>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</si>
  <si>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</si>
  <si>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</si>
  <si>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</si>
  <si>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</si>
  <si>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</si>
  <si>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</si>
  <si>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</si>
  <si>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</si>
  <si>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</si>
  <si>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</si>
  <si>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</si>
  <si>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</si>
  <si>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</si>
  <si>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</si>
  <si>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</si>
  <si>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</si>
  <si>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</si>
  <si>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</si>
  <si>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</si>
  <si>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</si>
  <si>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</si>
  <si>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</si>
  <si>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</si>
  <si>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</si>
  <si>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</si>
  <si>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</si>
  <si>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</si>
  <si>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</si>
  <si>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</si>
  <si>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</si>
  <si>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</si>
  <si>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</si>
  <si>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</si>
  <si>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</si>
  <si>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</si>
  <si>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</si>
  <si>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</si>
  <si>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</si>
  <si>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</si>
  <si>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</si>
  <si>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</si>
  <si>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</si>
  <si>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</si>
  <si>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</si>
  <si>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</si>
  <si>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</si>
  <si>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</si>
  <si>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</si>
  <si>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</si>
  <si>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</si>
  <si>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</si>
  <si>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</si>
  <si>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</si>
  <si>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</si>
  <si>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</si>
  <si>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</si>
  <si>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</si>
  <si>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</si>
  <si>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</si>
  <si>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</si>
  <si>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</si>
  <si>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</si>
  <si>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</si>
  <si>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</si>
  <si>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</si>
  <si>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</si>
  <si>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</si>
  <si>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</si>
  <si>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</si>
  <si>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</si>
  <si>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</si>
  <si>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</si>
  <si>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</si>
  <si>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</si>
  <si>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</si>
  <si>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</si>
  <si>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</si>
  <si>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</si>
  <si>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</si>
  <si>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</si>
  <si>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</si>
  <si>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</si>
  <si>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</si>
  <si>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</si>
  <si>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</si>
  <si>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</si>
  <si>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</si>
  <si>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</si>
  <si>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</si>
  <si>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</si>
  <si>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</si>
  <si>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</si>
  <si>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</si>
  <si>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</si>
  <si>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</si>
  <si>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</si>
  <si>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</si>
  <si>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</si>
  <si>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</si>
  <si>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</si>
  <si>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</si>
  <si>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</si>
  <si>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</si>
  <si>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</si>
  <si>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</si>
  <si>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</si>
  <si>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</si>
  <si>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</si>
  <si>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</si>
  <si>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</si>
  <si>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</si>
  <si>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</si>
  <si>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</si>
  <si>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</si>
  <si>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</si>
  <si>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</si>
  <si>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</si>
  <si>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</si>
  <si>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</si>
  <si>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</si>
  <si>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</si>
  <si>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</si>
  <si>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</si>
  <si>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</si>
  <si>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</si>
  <si>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</si>
  <si>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</si>
  <si>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</si>
  <si>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</si>
  <si>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</si>
  <si>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</si>
  <si>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</si>
  <si>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</si>
  <si>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</si>
  <si>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</si>
  <si>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</si>
  <si>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</si>
  <si>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</si>
  <si>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</si>
  <si>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</si>
  <si>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</si>
  <si>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</si>
  <si>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</si>
  <si>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</si>
  <si>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</si>
  <si>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</si>
  <si>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</si>
  <si>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</si>
  <si>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</si>
  <si>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</si>
  <si>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</si>
  <si>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</si>
  <si>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</si>
  <si>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</si>
  <si>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</si>
  <si>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</si>
  <si>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</si>
  <si>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</si>
  <si>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</si>
  <si>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</si>
  <si>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</si>
  <si>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</si>
  <si>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</si>
  <si>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</si>
  <si>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</si>
  <si>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</si>
  <si>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</si>
  <si>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</si>
  <si>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</si>
  <si>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</si>
  <si>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</si>
  <si>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</si>
  <si>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</si>
  <si>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</si>
  <si>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</si>
  <si>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</si>
  <si>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</si>
  <si>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</si>
  <si>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</si>
  <si>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</si>
  <si>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</si>
  <si>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</si>
  <si>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</si>
  <si>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</si>
  <si>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</si>
  <si>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</si>
  <si>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</si>
  <si>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</si>
  <si>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</si>
  <si>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</si>
  <si>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</si>
  <si>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</si>
  <si>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</si>
  <si>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</si>
  <si>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</si>
  <si>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</si>
  <si>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</si>
  <si>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</si>
  <si>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</si>
  <si>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</si>
  <si>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</si>
  <si>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</si>
  <si>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</si>
  <si>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</si>
  <si>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</si>
  <si>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</si>
  <si>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</si>
  <si>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</si>
  <si>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</si>
  <si>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</si>
  <si>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</si>
  <si>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</si>
  <si>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</si>
  <si>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</si>
  <si>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</si>
  <si>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</si>
  <si>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</si>
  <si>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</si>
  <si>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</si>
  <si>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</si>
  <si>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</si>
  <si>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</si>
  <si>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</si>
  <si>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</si>
  <si>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</si>
  <si>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</si>
  <si>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</si>
  <si>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</si>
  <si>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</si>
  <si>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</si>
  <si>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</si>
  <si>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</si>
  <si>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</si>
  <si>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</si>
  <si>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</si>
  <si>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</si>
  <si>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</si>
  <si>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</si>
  <si>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</si>
  <si>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</si>
  <si>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</si>
  <si>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</si>
  <si>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</si>
  <si>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</si>
  <si>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</si>
  <si>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</si>
  <si>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</si>
  <si>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</si>
  <si>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</si>
  <si>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</si>
  <si>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</si>
  <si>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</si>
  <si>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</si>
  <si>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</si>
  <si>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</si>
  <si>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</si>
  <si>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</si>
  <si>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</si>
  <si>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</si>
  <si>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</si>
  <si>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</si>
  <si>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</si>
  <si>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</si>
  <si>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</si>
  <si>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</si>
  <si>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</si>
  <si>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</si>
  <si>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</si>
  <si>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</si>
  <si>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</si>
  <si>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</si>
  <si>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</si>
  <si>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</si>
  <si>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</si>
  <si>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</si>
  <si>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</si>
  <si>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</si>
  <si>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</si>
  <si>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</si>
  <si>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</si>
  <si>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</si>
  <si>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</si>
  <si>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</si>
  <si>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</si>
  <si>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</si>
  <si>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</si>
  <si>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</si>
  <si>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</si>
  <si>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</si>
  <si>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</si>
  <si>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</si>
  <si>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</si>
  <si>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</si>
  <si>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</si>
  <si>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</si>
  <si>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</si>
  <si>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</si>
  <si>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</si>
  <si>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</si>
  <si>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</si>
  <si>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</si>
  <si>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</si>
  <si>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</si>
  <si>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</si>
  <si>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</si>
  <si>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</si>
  <si>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</si>
  <si>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</si>
  <si>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</si>
  <si>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</si>
  <si>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</si>
  <si>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</si>
  <si>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</si>
  <si>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</si>
  <si>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</si>
  <si>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</si>
  <si>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</si>
  <si>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</si>
  <si>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</si>
  <si>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</si>
  <si>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</si>
  <si>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</si>
  <si>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</si>
  <si>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</si>
  <si>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</si>
  <si>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</si>
  <si>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</si>
  <si>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</si>
  <si>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</si>
  <si>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</si>
  <si>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</si>
  <si>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</si>
  <si>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</si>
  <si>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</si>
  <si>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</si>
  <si>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</si>
  <si>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</si>
  <si>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</si>
  <si>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</si>
  <si>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</si>
  <si>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</si>
  <si>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</si>
  <si>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</si>
  <si>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</si>
  <si>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</si>
  <si>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</si>
  <si>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</si>
  <si>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</si>
  <si>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</si>
  <si>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</si>
  <si>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</si>
  <si>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</si>
  <si>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</si>
  <si>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</si>
  <si>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</si>
  <si>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</si>
  <si>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</si>
  <si>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</si>
  <si>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</si>
  <si>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</si>
  <si>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</si>
  <si>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</si>
  <si>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</si>
  <si>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</si>
  <si>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</si>
  <si>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</si>
  <si>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</si>
  <si>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</si>
  <si>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</si>
  <si>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</si>
  <si>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</si>
  <si>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</si>
  <si>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</si>
  <si>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</si>
  <si>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</si>
  <si>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</si>
  <si>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</si>
  <si>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</si>
  <si>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</si>
  <si>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</si>
  <si>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</si>
  <si>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</si>
  <si>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</si>
  <si>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</si>
  <si>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</si>
  <si>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</si>
  <si>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</si>
  <si>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</si>
  <si>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</si>
  <si>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</si>
  <si>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</si>
  <si>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</si>
  <si>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</si>
  <si>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</si>
  <si>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</si>
  <si>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</si>
  <si>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</si>
  <si>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</si>
  <si>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</si>
  <si>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</si>
  <si>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</si>
  <si>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</si>
  <si>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</si>
  <si>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</si>
  <si>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</si>
  <si>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</si>
  <si>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</si>
  <si>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</si>
  <si>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</si>
  <si>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</si>
  <si>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</si>
  <si>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</si>
  <si>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</si>
  <si>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</si>
  <si>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</si>
  <si>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</si>
  <si>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</si>
  <si>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</si>
  <si>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</si>
  <si>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</si>
  <si>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</si>
  <si>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</si>
  <si>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</si>
  <si>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</si>
  <si>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</si>
  <si>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</si>
  <si>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</si>
  <si>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</si>
  <si>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</si>
  <si>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</si>
  <si>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</si>
  <si>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</si>
  <si>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</si>
  <si>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</si>
  <si>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</si>
  <si>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</si>
  <si>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</si>
  <si>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</si>
  <si>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</si>
  <si>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</si>
  <si>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</si>
  <si>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</si>
  <si>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</si>
  <si>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</si>
  <si>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</si>
  <si>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</si>
  <si>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</si>
  <si>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</si>
  <si>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</si>
  <si>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</si>
  <si>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</si>
  <si>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</si>
  <si>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</si>
  <si>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</si>
  <si>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</si>
  <si>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</si>
  <si>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</si>
  <si>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</si>
  <si>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</si>
  <si>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</si>
  <si>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</si>
  <si>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</si>
  <si>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</si>
  <si>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</si>
  <si>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</si>
  <si>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</si>
  <si>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</si>
  <si>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</si>
  <si>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</si>
  <si>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</si>
  <si>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</si>
  <si>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</si>
  <si>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</si>
  <si>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</si>
  <si>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</si>
  <si>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</si>
  <si>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</si>
  <si>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</si>
  <si>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</si>
  <si>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</si>
  <si>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</si>
  <si>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</si>
  <si>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</si>
  <si>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</si>
  <si>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</si>
  <si>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</si>
  <si>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</si>
  <si>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</si>
  <si>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</si>
  <si>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</si>
  <si>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</si>
  <si>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</si>
  <si>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</si>
  <si>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</si>
  <si>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</si>
  <si>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</si>
  <si>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</si>
  <si>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</si>
  <si>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</si>
  <si>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</si>
  <si>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</si>
  <si>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</si>
  <si>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</si>
  <si>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</si>
  <si>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</si>
  <si>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</si>
  <si>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</si>
  <si>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</si>
  <si>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</si>
  <si>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</si>
  <si>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</si>
  <si>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</si>
  <si>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</si>
  <si>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04/02</t>
  </si>
  <si>
    <t>07/22</t>
  </si>
  <si>
    <t>05/2017</t>
  </si>
  <si>
    <t>07/2028</t>
  </si>
  <si>
    <t>08/25</t>
  </si>
  <si>
    <t>05/14</t>
  </si>
  <si>
    <t>07/14</t>
  </si>
  <si>
    <t>07/24</t>
  </si>
  <si>
    <t>LONDONDERRY SCHOOL DISTRICT</t>
  </si>
  <si>
    <t>Not requesting Indirect Cost Rate for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</si>
</sst>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1650</v>
      </c>
      <c r="B2" s="21">
        <v>319</v>
      </c>
      <c r="C2" s="21">
        <v>319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3484661.11</v>
      </c>
      <c r="G9" s="18">
        <v>5900</v>
      </c>
      <c r="H9" s="18"/>
      <c r="I9" s="18"/>
      <c r="J9" s="67">
        <f>SUM(I440)</f>
        <v>480250.87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540459.09</v>
      </c>
      <c r="G12" s="18"/>
      <c r="H12" s="18">
        <v>374319.23</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185955.43</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67255.56</v>
      </c>
      <c r="G14" s="18">
        <v>20882.580000000002</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43974.34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31833.4</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4124209.1599999997</v>
      </c>
      <c r="G19" s="41">
        <f>SUM(G9:G18)</f>
        <v>256712.35</v>
      </c>
      <c r="H19" s="41">
        <f>SUM(H9:H18)</f>
        <v>374319.23</v>
      </c>
      <c r="I19" s="41">
        <f>SUM(I9:I18)</f>
        <v>0</v>
      </c>
      <c r="J19" s="41">
        <f>SUM(J9:J18)</f>
        <v>480250.87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69264.89</v>
      </c>
      <c r="H22" s="18">
        <v>283932.2</v>
      </c>
      <c r="I22" s="18"/>
      <c r="J22" s="67">
        <f>SUM(I449)</f>
        <v>187262</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1615597.36</v>
      </c>
      <c r="G24" s="18">
        <v>88860.13</v>
      </c>
      <c r="H24" s="18">
        <v>227.83</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474787.4</v>
      </c>
      <c r="G28" s="18">
        <v>4612.99</v>
      </c>
      <c r="H28" s="18">
        <v>6219.74</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189911.15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8629</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v>60170.5</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2288924.91</v>
      </c>
      <c r="G32" s="41">
        <f>SUM(G22:G31)</f>
        <v>162738.01</v>
      </c>
      <c r="H32" s="41">
        <f>SUM(H22:H31)</f>
        <v>350550.27</v>
      </c>
      <c r="I32" s="41">
        <f>SUM(I22:I31)</f>
        <v>0</v>
      </c>
      <c r="J32" s="41">
        <f>SUM(J22:J31)</f>
        <v>187262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43974.34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31833.4</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50000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v>23768.959999999999</v>
      </c>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1159403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292988.87</v>
      </c>
      <c r="K48" s="24" t="s">
        <v>288</v>
      </c>
      <c r="L48" s="24" t="s">
        <v>288</v>
      </c>
      <c r="M48" s="8"/>
      <c r="N48" s="266"/>
    </row>
    <row r="49" spans="1:14" s="3" customFormat="1" ht="12.2" customHeight="1" x14ac:dyDescent="0.15">
      <c r="A49" s="1" t="s">
        <v>859</v>
      </c>
      <c r="B49" s="2" t="s">
        <v>289</v>
      </c>
      <c r="C49" s="6">
        <v>34</v>
      </c>
      <c r="D49" s="2"/>
      <c r="E49" s="6">
        <v>753</v>
      </c>
      <c r="F49" s="18">
        <v>35050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458997.85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1835284.25</v>
      </c>
      <c r="G51" s="41">
        <f>SUM(G35:G50)</f>
        <v>93974.34</v>
      </c>
      <c r="H51" s="41">
        <f>SUM(H35:H50)</f>
        <v>23768.959999999999</v>
      </c>
      <c r="I51" s="41">
        <f>SUM(I35:I50)</f>
        <v>0</v>
      </c>
      <c r="J51" s="41">
        <f>SUM(J35:J50)</f>
        <v>292988.87</v>
      </c>
      <c r="K51" s="45" t="s">
        <v>288</v>
      </c>
      <c r="L51" s="45" t="s">
        <v>288</v>
      </c>
      <c r="N51" s="264"/>
    </row>
    <row r="52" spans="1:14" s="3" customFormat="1" ht="12.2" customHeight="1" thickTop="1" x14ac:dyDescent="0.15">
      <c r="A52" s="38" t="s">
        <v>455</v>
      </c>
      <c r="B52" s="39" t="s">
        <v>289</v>
      </c>
      <c r="C52" s="6">
        <v>37</v>
      </c>
      <c r="D52" s="39" t="s">
        <v>653</v>
      </c>
      <c r="E52" s="39"/>
      <c r="F52" s="41">
        <f>F51+F32</f>
        <v>4124209.16</v>
      </c>
      <c r="G52" s="41">
        <f>G51+G32</f>
        <v>256712.35</v>
      </c>
      <c r="H52" s="41">
        <f>H51+H32</f>
        <v>374319.23000000004</v>
      </c>
      <c r="I52" s="41">
        <f>I51+I32</f>
        <v>0</v>
      </c>
      <c r="J52" s="41">
        <f>J51+J32</f>
        <v>480250.87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55911934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55911934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107875.4</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22605.5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11748.5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1425192.94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98243.3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1665665.64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12115.42+8901.58</f>
        <v>21017</v>
      </c>
      <c r="G96" s="18">
        <v>6.81</v>
      </c>
      <c r="H96" s="18"/>
      <c r="I96" s="18"/>
      <c r="J96" s="18">
        <v>21873.45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795779.7-1270.85</f>
        <v>794508.85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9256.58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21930.5</v>
      </c>
      <c r="G99" s="18">
        <v>29258.240000000002</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19104.490000000002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1200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10362.709999999999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63766.79</v>
      </c>
      <c r="G111" s="41">
        <f>SUM(G96:G110)</f>
        <v>823773.9</v>
      </c>
      <c r="H111" s="41">
        <f>SUM(H96:H110)</f>
        <v>19104.490000000002</v>
      </c>
      <c r="I111" s="41">
        <f>SUM(I96:I110)</f>
        <v>0</v>
      </c>
      <c r="J111" s="41">
        <f>SUM(J96:J110)</f>
        <v>21873.45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57641366.43</v>
      </c>
      <c r="G112" s="41">
        <f>G60+G111</f>
        <v>823773.9</v>
      </c>
      <c r="H112" s="41">
        <f>H60+H79+H94+H111</f>
        <v>19104.490000000002</v>
      </c>
      <c r="I112" s="41">
        <f>I60+I111</f>
        <v>0</v>
      </c>
      <c r="J112" s="41">
        <f>J60+J111</f>
        <v>21873.45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10919704.24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7371549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8324.92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18299578.160000004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476694.49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287939.77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10125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18298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10797.62</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14377.21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48000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841057.26</v>
      </c>
      <c r="G136" s="41">
        <f>SUM(G123:G135)</f>
        <v>14377.21</v>
      </c>
      <c r="H136" s="41">
        <f>SUM(H123:H135)</f>
        <v>10797.62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19140635.420000006</v>
      </c>
      <c r="G140" s="41">
        <f>G121+SUM(G136:G137)</f>
        <v>14377.21</v>
      </c>
      <c r="H140" s="41">
        <f>H121+SUM(H136:H139)</f>
        <v>10797.62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198513.94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131750.98000000001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27306.77</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360445.95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1146194.29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108083.42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33064.910000000003</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6116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108083.42</v>
      </c>
      <c r="G163" s="41">
        <f>SUM(G150:G162)</f>
        <v>393510.86</v>
      </c>
      <c r="H163" s="41">
        <f>SUM(H150:H162)</f>
        <v>1509881.98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108083.42</v>
      </c>
      <c r="G170" s="41">
        <f>G147+G163+SUM(G164:G169)</f>
        <v>393510.86</v>
      </c>
      <c r="H170" s="41">
        <f>H147+H163+SUM(H164:H169)</f>
        <v>1509881.98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96342.95</v>
      </c>
      <c r="H180" s="18"/>
      <c r="I180" s="18"/>
      <c r="J180" s="18">
        <v>1100000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96342.95</v>
      </c>
      <c r="H184" s="41">
        <f>SUM(H180:H183)</f>
        <v>0</v>
      </c>
      <c r="I184" s="41">
        <f>SUM(I180:I183)</f>
        <v>0</v>
      </c>
      <c r="J184" s="41">
        <f>SUM(J180:J183)</f>
        <v>1100000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388883.13</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698869.67</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1087752.8</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135483.95000000001</v>
      </c>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1223236.75</v>
      </c>
      <c r="G193" s="41">
        <f>G184+SUM(G189:G192)</f>
        <v>96342.95</v>
      </c>
      <c r="H193" s="41">
        <f>+H184+SUM(H189:H192)</f>
        <v>0</v>
      </c>
      <c r="I193" s="41">
        <f>I178+I184+SUM(I189:I192)</f>
        <v>0</v>
      </c>
      <c r="J193" s="41">
        <f>J184</f>
        <v>1100000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78113322.020000011</v>
      </c>
      <c r="G194" s="47">
        <f>G112+G140+G170+G193</f>
        <v>1328004.92</v>
      </c>
      <c r="H194" s="47">
        <f>H112+H140+H170+H193</f>
        <v>1539784.09</v>
      </c>
      <c r="I194" s="47">
        <f>I112+I140+I170+I193</f>
        <v>0</v>
      </c>
      <c r="J194" s="47">
        <f>J112+J140+J193</f>
        <v>1121873.45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6893039.2+126659.27</f>
        <v>7019698.4699999997</v>
      </c>
      <c r="G198" s="18">
        <v>3745336.42</v>
      </c>
      <c r="H198" s="18">
        <f>2646.6+483+473.65+199+48.72</f>
        <v>3850.97</v>
      </c>
      <c r="I198" s="18">
        <f>10243.51+25297.68+26217.48+26415.2+20627.53+2857.04+27513.43+81.88+2329+23852.36+1547.82+28498+1221.18+2302.94+17092.25+3115.68+23857.57+1195.64+2633.81+23894.77+11364.8+88931.22+11899.77-0.05</f>
        <v>382990.51000000007</v>
      </c>
      <c r="J198" s="18">
        <f>2347.55+1200+3181.89+284.92+1749+2928.24</f>
        <v>11691.6</v>
      </c>
      <c r="K198" s="18"/>
      <c r="L198" s="19">
        <f>SUM(F198:K198)</f>
        <v>11163567.970000001</v>
      </c>
      <c r="M198" s="8"/>
      <c r="N198" s="266"/>
    </row>
    <row r="199" spans="1:14" s="3" customFormat="1" ht="12.2" customHeight="1" x14ac:dyDescent="0.15">
      <c r="A199" s="1" t="s">
        <v>439</v>
      </c>
      <c r="B199" s="2" t="s">
        <v>341</v>
      </c>
      <c r="C199" s="2" t="s">
        <v>291</v>
      </c>
      <c r="D199" s="2" t="s">
        <v>431</v>
      </c>
      <c r="E199" s="6">
        <v>1200</v>
      </c>
      <c r="F199" s="18">
        <f>4705799.99+165723.3</f>
        <v>4871523.29</v>
      </c>
      <c r="G199" s="18">
        <v>2748202.69</v>
      </c>
      <c r="H199" s="18">
        <f>21837.85+874037.21</f>
        <v>895875.05999999994</v>
      </c>
      <c r="I199" s="18">
        <f>8455.91+4885.5+1422.46+3766.51+1234.94+2659.14+68.83+9575.61</f>
        <v>32068.899999999998</v>
      </c>
      <c r="J199" s="18">
        <f>466.5+9418.77</f>
        <v>9885.27</v>
      </c>
      <c r="K199" s="18">
        <f>682.49+230+205+205+371.25</f>
        <v>1693.74</v>
      </c>
      <c r="L199" s="19">
        <f>SUM(F199:K199)</f>
        <v>8559248.9500000011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91719.16+81778.97</f>
        <v>173498.13</v>
      </c>
      <c r="G201" s="18">
        <v>87663.81</v>
      </c>
      <c r="H201" s="18"/>
      <c r="I201" s="18">
        <f>504.7</f>
        <v>504.7</v>
      </c>
      <c r="J201" s="18"/>
      <c r="K201" s="18"/>
      <c r="L201" s="19">
        <f>SUM(F201:K201)</f>
        <v>261666.64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1339798.25+788535.04</f>
        <v>2128333.29</v>
      </c>
      <c r="G203" s="18">
        <v>1268083.78</v>
      </c>
      <c r="H203" s="18">
        <f>210+70127.52</f>
        <v>70337.52</v>
      </c>
      <c r="I203" s="18">
        <f>204.26+407.16+560.01+1384.91+1439.16+1064.64+3301.51+14224.65</f>
        <v>22586.300000000003</v>
      </c>
      <c r="J203" s="18"/>
      <c r="K203" s="18"/>
      <c r="L203" s="19">
        <f>SUM(F203:K203)</f>
        <v>3489340.89</v>
      </c>
      <c r="M203" s="8"/>
      <c r="N203" s="266"/>
    </row>
    <row r="204" spans="1:14" s="3" customFormat="1" ht="12.2" customHeight="1" x14ac:dyDescent="0.15">
      <c r="A204" s="1" t="s">
        <v>443</v>
      </c>
      <c r="B204" s="2" t="s">
        <v>341</v>
      </c>
      <c r="C204" s="2" t="s">
        <v>295</v>
      </c>
      <c r="D204" s="2" t="s">
        <v>431</v>
      </c>
      <c r="E204" s="6">
        <v>2200</v>
      </c>
      <c r="F204" s="18">
        <f>323226+48800.99</f>
        <v>372026.99</v>
      </c>
      <c r="G204" s="18">
        <f>124104.15+1472.87+187703.69</f>
        <v>313280.70999999996</v>
      </c>
      <c r="H204" s="18">
        <f>7193.62+23083.64</f>
        <v>30277.26</v>
      </c>
      <c r="I204" s="18">
        <f>410.78+2387.63+1464.14+1935.16+3633.6+14455.67+14184.32+12069.66+2737+9063.89</f>
        <v>62341.850000000006</v>
      </c>
      <c r="J204" s="18"/>
      <c r="K204" s="18">
        <f>245+220</f>
        <v>465</v>
      </c>
      <c r="L204" s="19">
        <f>SUM(F204:K204)</f>
        <v>778391.80999999994</v>
      </c>
      <c r="M204" s="8"/>
      <c r="N204" s="266"/>
    </row>
    <row r="205" spans="1:14" s="3" customFormat="1" ht="12.2" customHeight="1" x14ac:dyDescent="0.15">
      <c r="A205" s="1" t="s">
        <v>444</v>
      </c>
      <c r="B205" s="2" t="s">
        <v>341</v>
      </c>
      <c r="C205" s="2" t="s">
        <v>296</v>
      </c>
      <c r="D205" s="2" t="s">
        <v>431</v>
      </c>
      <c r="E205" s="6">
        <v>2300</v>
      </c>
      <c r="F205" s="18">
        <f>157962.2</f>
        <v>157962.20000000001</v>
      </c>
      <c r="G205" s="18">
        <v>86219.37</v>
      </c>
      <c r="H205" s="18">
        <f>261048.8</f>
        <v>261048.8</v>
      </c>
      <c r="I205" s="18">
        <f>19079.83</f>
        <v>19079.830000000002</v>
      </c>
      <c r="J205" s="18">
        <f>603.9</f>
        <v>603.9</v>
      </c>
      <c r="K205" s="18">
        <f>8817.49</f>
        <v>8817.49</v>
      </c>
      <c r="L205" s="19">
        <f t="shared" ref="L205:L209" si="0">SUM(F205:K205)</f>
        <v>533731.59</v>
      </c>
      <c r="M205" s="8"/>
      <c r="N205" s="266"/>
    </row>
    <row r="206" spans="1:14" s="3" customFormat="1" ht="12.2" customHeight="1" x14ac:dyDescent="0.15">
      <c r="A206" s="1" t="s">
        <v>445</v>
      </c>
      <c r="B206" s="2" t="s">
        <v>341</v>
      </c>
      <c r="C206" s="2" t="s">
        <v>297</v>
      </c>
      <c r="D206" s="2" t="s">
        <v>431</v>
      </c>
      <c r="E206" s="6">
        <v>2400</v>
      </c>
      <c r="F206" s="18">
        <f>928897.04</f>
        <v>928897.04</v>
      </c>
      <c r="G206" s="18">
        <v>523807.59</v>
      </c>
      <c r="H206" s="18">
        <f>3205.28+2886.78+3244.48+2968.28+233.4+1205.07+964.98+400+484.06+199+1123.63+2416.63</f>
        <v>19331.59</v>
      </c>
      <c r="I206" s="18">
        <f>1602.89+1036.5+144.47</f>
        <v>2783.86</v>
      </c>
      <c r="J206" s="18"/>
      <c r="K206" s="18">
        <f>1846.46+1749+1854+1829</f>
        <v>7278.46</v>
      </c>
      <c r="L206" s="19">
        <f>SUM(F206:K206)</f>
        <v>1482098.5400000003</v>
      </c>
      <c r="M206" s="8"/>
      <c r="N206" s="266"/>
    </row>
    <row r="207" spans="1:14" s="3" customFormat="1" ht="12.2" customHeight="1" x14ac:dyDescent="0.15">
      <c r="A207" s="1" t="s">
        <v>446</v>
      </c>
      <c r="B207" s="2" t="s">
        <v>341</v>
      </c>
      <c r="C207" s="2" t="s">
        <v>298</v>
      </c>
      <c r="D207" s="2" t="s">
        <v>431</v>
      </c>
      <c r="E207" s="6">
        <v>2500</v>
      </c>
      <c r="F207" s="18">
        <f>287687.23</f>
        <v>287687.23</v>
      </c>
      <c r="G207" s="18">
        <v>159160.51999999999</v>
      </c>
      <c r="H207" s="18">
        <f>2876.39</f>
        <v>2876.39</v>
      </c>
      <c r="I207" s="18"/>
      <c r="J207" s="18"/>
      <c r="K207" s="18"/>
      <c r="L207" s="19">
        <f t="shared" si="0"/>
        <v>449724.14</v>
      </c>
      <c r="M207" s="8"/>
      <c r="N207" s="266"/>
    </row>
    <row r="208" spans="1:14" s="3" customFormat="1" ht="12.2" customHeight="1" x14ac:dyDescent="0.15">
      <c r="A208" s="1" t="s">
        <v>447</v>
      </c>
      <c r="B208" s="2" t="s">
        <v>341</v>
      </c>
      <c r="C208" s="2" t="s">
        <v>299</v>
      </c>
      <c r="D208" s="2" t="s">
        <v>431</v>
      </c>
      <c r="E208" s="6">
        <v>2600</v>
      </c>
      <c r="F208" s="18">
        <f>747726.09+312049.31</f>
        <v>1059775.3999999999</v>
      </c>
      <c r="G208" s="18">
        <v>573269.75</v>
      </c>
      <c r="H208" s="18">
        <f>75.09+1224.3+563.79+37200+1000.26+9.33+530.45+1245.62+1048.77+4726.97+456.13+5043.88+6468.07+9300.53+4468.89+11029.41+600+1864.8+1713.6+2100+18597.54+25246.01+20313.98+33055.66+6993.5+8060+8421.5+9670+608799.34</f>
        <v>829827.42</v>
      </c>
      <c r="I208" s="18">
        <f>8317.74+15596.33+11249.07+15998.12+820+1398.04+820+820+14634.43+24820.92+22752.51+26450.84+53088.06+42471.69+54243.07+43579.21+28746.01</f>
        <v>365806.04000000004</v>
      </c>
      <c r="J208" s="18">
        <f>260+60583.69</f>
        <v>60843.69</v>
      </c>
      <c r="K208" s="18">
        <f>294.8</f>
        <v>294.8</v>
      </c>
      <c r="L208" s="19">
        <f>SUM(F208:K208)</f>
        <v>2889817.0999999996</v>
      </c>
      <c r="M208" s="8"/>
      <c r="N208" s="266"/>
    </row>
    <row r="209" spans="1:14" s="3" customFormat="1" ht="12.2" customHeight="1" x14ac:dyDescent="0.15">
      <c r="A209" s="1" t="s">
        <v>448</v>
      </c>
      <c r="B209" s="2" t="s">
        <v>341</v>
      </c>
      <c r="C209" s="2" t="s">
        <v>300</v>
      </c>
      <c r="D209" s="2" t="s">
        <v>431</v>
      </c>
      <c r="E209" s="6">
        <v>2700</v>
      </c>
      <c r="F209" s="18"/>
      <c r="G209" s="18"/>
      <c r="H209" s="18">
        <f>2021866.26</f>
        <v>2021866.26</v>
      </c>
      <c r="I209" s="18"/>
      <c r="J209" s="18"/>
      <c r="K209" s="18"/>
      <c r="L209" s="19">
        <f t="shared" si="0"/>
        <v>2021866.26</v>
      </c>
      <c r="M209" s="8"/>
      <c r="N209" s="266"/>
    </row>
    <row r="210" spans="1:14" s="3" customFormat="1" ht="12.2" customHeight="1" x14ac:dyDescent="0.15">
      <c r="A210" s="1" t="s">
        <v>449</v>
      </c>
      <c r="B210" s="2" t="s">
        <v>341</v>
      </c>
      <c r="C210" s="2" t="s">
        <v>343</v>
      </c>
      <c r="D210" s="2" t="s">
        <v>431</v>
      </c>
      <c r="E210" s="6">
        <v>2800</v>
      </c>
      <c r="F210" s="18">
        <f>223715.87</f>
        <v>223715.87</v>
      </c>
      <c r="G210" s="18">
        <v>114727.12</v>
      </c>
      <c r="H210" s="18">
        <f>190664.48</f>
        <v>190664.48</v>
      </c>
      <c r="I210" s="18">
        <f>106404.17</f>
        <v>106404.17</v>
      </c>
      <c r="J210" s="18">
        <f>207741.88</f>
        <v>207741.88</v>
      </c>
      <c r="K210" s="18"/>
      <c r="L210" s="19">
        <f>SUM(F210:K210)</f>
        <v>843253.52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SUM(F198:F211)</f>
        <v>17223117.91</v>
      </c>
      <c r="G212" s="41">
        <f t="shared" ref="G212:L212" si="1">SUM(G198:G211)</f>
        <v>9619751.7599999979</v>
      </c>
      <c r="H212" s="41">
        <f t="shared" si="1"/>
        <v>4325955.75</v>
      </c>
      <c r="I212" s="41">
        <f t="shared" si="1"/>
        <v>994566.16000000027</v>
      </c>
      <c r="J212" s="41">
        <f t="shared" si="1"/>
        <v>290766.34000000003</v>
      </c>
      <c r="K212" s="41">
        <f t="shared" si="1"/>
        <v>18549.489999999998</v>
      </c>
      <c r="L212" s="41">
        <f t="shared" si="1"/>
        <v>32472707.410000004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4536905.73+64449.76</f>
        <v>4601355.49</v>
      </c>
      <c r="G216" s="18">
        <v>2322509.35</v>
      </c>
      <c r="H216" s="18">
        <f>3352.36+6341.35+1005+1230.81</f>
        <v>11929.52</v>
      </c>
      <c r="I216" s="18">
        <f>10542.45+4066.74+649.63+806.14+2158.56+3271.6+4432.24+22309.96+11244.17+4165.21+1153.2+940.62+26736.19+16969.78+332.7+251.17+700.05+683.5+19765.13+13409.14+0.01</f>
        <v>144588.19</v>
      </c>
      <c r="J216" s="18">
        <f>4510.18</f>
        <v>4510.18</v>
      </c>
      <c r="K216" s="18"/>
      <c r="L216" s="19">
        <f>SUM(F216:K216)</f>
        <v>7084892.7299999995</v>
      </c>
      <c r="M216" s="8"/>
      <c r="N216" s="266"/>
    </row>
    <row r="217" spans="1:14" s="3" customFormat="1" ht="12.2" customHeight="1" x14ac:dyDescent="0.15">
      <c r="A217" s="1" t="s">
        <v>439</v>
      </c>
      <c r="B217" s="2" t="s">
        <v>346</v>
      </c>
      <c r="C217" s="2" t="s">
        <v>291</v>
      </c>
      <c r="D217" s="2" t="s">
        <v>431</v>
      </c>
      <c r="E217" s="6">
        <v>1200</v>
      </c>
      <c r="F217" s="18">
        <f>127787.99+1432387.43+133746.2+107825.15</f>
        <v>1801746.7699999998</v>
      </c>
      <c r="G217" s="18">
        <v>974864.87</v>
      </c>
      <c r="H217" s="18">
        <f>10918.92+158362.06</f>
        <v>169280.98</v>
      </c>
      <c r="I217" s="18">
        <f>4814.62+2623.34+4960.82</f>
        <v>12398.779999999999</v>
      </c>
      <c r="J217" s="18">
        <f>179</f>
        <v>179</v>
      </c>
      <c r="K217" s="18">
        <f>371.25</f>
        <v>371.25</v>
      </c>
      <c r="L217" s="19">
        <f>SUM(F217:K217)</f>
        <v>2958841.6499999994</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53465+1968+74207.91+4960+34178.8</f>
        <v>168779.71000000002</v>
      </c>
      <c r="G219" s="18">
        <v>85188.6</v>
      </c>
      <c r="H219" s="18">
        <f>8026</f>
        <v>8026</v>
      </c>
      <c r="I219" s="18">
        <f>235+3237.11+85.27</f>
        <v>3557.38</v>
      </c>
      <c r="J219" s="18">
        <f>3853.2</f>
        <v>3853.2</v>
      </c>
      <c r="K219" s="18">
        <f>1835</f>
        <v>1835</v>
      </c>
      <c r="L219" s="19">
        <f>SUM(F219:K219)</f>
        <v>271239.89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43450.14+259266.19+90344.02+115322.44+224397.86</f>
        <v>732780.65</v>
      </c>
      <c r="G221" s="18">
        <v>372144.88</v>
      </c>
      <c r="H221" s="18">
        <f>120779.52</f>
        <v>120779.52</v>
      </c>
      <c r="I221" s="18">
        <f>1066.44+13479.95+352.55+2945.35+7112.33</f>
        <v>24956.620000000003</v>
      </c>
      <c r="J221" s="18"/>
      <c r="K221" s="18"/>
      <c r="L221" s="19">
        <f t="shared" ref="L221:L227" si="2">SUM(F221:K221)</f>
        <v>1250661.6700000002</v>
      </c>
      <c r="M221" s="8"/>
      <c r="N221" s="266"/>
    </row>
    <row r="222" spans="1:14" s="3" customFormat="1" ht="12.2" customHeight="1" x14ac:dyDescent="0.15">
      <c r="A222" s="1" t="s">
        <v>443</v>
      </c>
      <c r="B222" s="2" t="s">
        <v>346</v>
      </c>
      <c r="C222" s="2" t="s">
        <v>295</v>
      </c>
      <c r="D222" s="2" t="s">
        <v>431</v>
      </c>
      <c r="E222" s="6">
        <v>2200</v>
      </c>
      <c r="F222" s="18">
        <f>13012.5+178961.31+24400.49</f>
        <v>216374.3</v>
      </c>
      <c r="G222" s="18">
        <f>66798.08+736.43+109115.66</f>
        <v>176650.16999999998</v>
      </c>
      <c r="H222" s="18">
        <f>12805.25+11541.82</f>
        <v>24347.07</v>
      </c>
      <c r="I222" s="18">
        <f>5093.32+27750.79+741+4531.94</f>
        <v>38117.050000000003</v>
      </c>
      <c r="J222" s="18"/>
      <c r="K222" s="18">
        <f>310</f>
        <v>310</v>
      </c>
      <c r="L222" s="19">
        <f t="shared" si="2"/>
        <v>455798.58999999997</v>
      </c>
      <c r="M222" s="8"/>
      <c r="N222" s="266"/>
    </row>
    <row r="223" spans="1:14" s="3" customFormat="1" ht="12.2" customHeight="1" x14ac:dyDescent="0.15">
      <c r="A223" s="1" t="s">
        <v>444</v>
      </c>
      <c r="B223" s="2" t="s">
        <v>346</v>
      </c>
      <c r="C223" s="2" t="s">
        <v>296</v>
      </c>
      <c r="D223" s="2" t="s">
        <v>431</v>
      </c>
      <c r="E223" s="6">
        <v>2300</v>
      </c>
      <c r="F223" s="18">
        <f>78981.1</f>
        <v>78981.100000000006</v>
      </c>
      <c r="G223" s="18">
        <v>43109.68</v>
      </c>
      <c r="H223" s="18">
        <f>130524.4</f>
        <v>130524.4</v>
      </c>
      <c r="I223" s="18">
        <f>9539.91</f>
        <v>9539.91</v>
      </c>
      <c r="J223" s="18">
        <f>301.95</f>
        <v>301.95</v>
      </c>
      <c r="K223" s="18">
        <f>4408.74</f>
        <v>4408.74</v>
      </c>
      <c r="L223" s="19">
        <f t="shared" si="2"/>
        <v>266865.77999999997</v>
      </c>
      <c r="M223" s="8"/>
      <c r="N223" s="266"/>
    </row>
    <row r="224" spans="1:14" s="3" customFormat="1" ht="12.2" customHeight="1" x14ac:dyDescent="0.15">
      <c r="A224" s="1" t="s">
        <v>445</v>
      </c>
      <c r="B224" s="2" t="s">
        <v>346</v>
      </c>
      <c r="C224" s="2" t="s">
        <v>297</v>
      </c>
      <c r="D224" s="2" t="s">
        <v>431</v>
      </c>
      <c r="E224" s="6">
        <v>2400</v>
      </c>
      <c r="F224" s="18">
        <f>446259.87</f>
        <v>446259.87</v>
      </c>
      <c r="G224" s="18">
        <v>258396.75</v>
      </c>
      <c r="H224" s="18">
        <f>1420.45+5932.74+1208.31</f>
        <v>8561.5</v>
      </c>
      <c r="I224" s="18">
        <f>550.74</f>
        <v>550.74</v>
      </c>
      <c r="J224" s="18"/>
      <c r="K224" s="18">
        <f>4815.76</f>
        <v>4815.76</v>
      </c>
      <c r="L224" s="19">
        <f t="shared" si="2"/>
        <v>718584.62</v>
      </c>
      <c r="M224" s="8"/>
      <c r="N224" s="266"/>
    </row>
    <row r="225" spans="1:14" s="3" customFormat="1" ht="12.2" customHeight="1" x14ac:dyDescent="0.15">
      <c r="A225" s="1" t="s">
        <v>446</v>
      </c>
      <c r="B225" s="2" t="s">
        <v>346</v>
      </c>
      <c r="C225" s="2" t="s">
        <v>298</v>
      </c>
      <c r="D225" s="2" t="s">
        <v>431</v>
      </c>
      <c r="E225" s="6">
        <v>2500</v>
      </c>
      <c r="F225" s="18">
        <f>143843.62</f>
        <v>143843.62</v>
      </c>
      <c r="G225" s="18">
        <v>79580.259999999995</v>
      </c>
      <c r="H225" s="18">
        <f>1438.19</f>
        <v>1438.19</v>
      </c>
      <c r="I225" s="18"/>
      <c r="J225" s="18"/>
      <c r="K225" s="18"/>
      <c r="L225" s="19">
        <f t="shared" si="2"/>
        <v>224862.07</v>
      </c>
      <c r="M225" s="8"/>
      <c r="N225" s="266"/>
    </row>
    <row r="226" spans="1:14" s="3" customFormat="1" ht="12.2" customHeight="1" x14ac:dyDescent="0.15">
      <c r="A226" s="1" t="s">
        <v>447</v>
      </c>
      <c r="B226" s="2" t="s">
        <v>346</v>
      </c>
      <c r="C226" s="2" t="s">
        <v>299</v>
      </c>
      <c r="D226" s="2" t="s">
        <v>431</v>
      </c>
      <c r="E226" s="6">
        <v>2600</v>
      </c>
      <c r="F226" s="18">
        <f>486522.94+204907.69</f>
        <v>691430.63</v>
      </c>
      <c r="G226" s="18">
        <v>368260.65</v>
      </c>
      <c r="H226" s="18">
        <f>244.4+1112.5+12412.75+2746.8+41714.15+12724.23+314288.19</f>
        <v>385243.02</v>
      </c>
      <c r="I226" s="18">
        <f>28188.61+2334.43+37423.27+88711.17+17350.39</f>
        <v>174007.87</v>
      </c>
      <c r="J226" s="18">
        <f>595+31604.19</f>
        <v>32199.19</v>
      </c>
      <c r="K226" s="18">
        <f>147.4</f>
        <v>147.4</v>
      </c>
      <c r="L226" s="19">
        <f t="shared" si="2"/>
        <v>1651288.7599999998</v>
      </c>
      <c r="M226" s="8"/>
      <c r="N226" s="266"/>
    </row>
    <row r="227" spans="1:14" s="3" customFormat="1" ht="12.2" customHeight="1" x14ac:dyDescent="0.15">
      <c r="A227" s="1" t="s">
        <v>448</v>
      </c>
      <c r="B227" s="2" t="s">
        <v>346</v>
      </c>
      <c r="C227" s="2" t="s">
        <v>300</v>
      </c>
      <c r="D227" s="2" t="s">
        <v>431</v>
      </c>
      <c r="E227" s="6">
        <v>2700</v>
      </c>
      <c r="F227" s="18"/>
      <c r="G227" s="18"/>
      <c r="H227" s="18">
        <f>17111.6+275+884929.72</f>
        <v>902316.32</v>
      </c>
      <c r="I227" s="18"/>
      <c r="J227" s="18"/>
      <c r="K227" s="18"/>
      <c r="L227" s="19">
        <f t="shared" si="2"/>
        <v>902316.32</v>
      </c>
      <c r="M227" s="8"/>
      <c r="N227" s="266"/>
    </row>
    <row r="228" spans="1:14" s="3" customFormat="1" ht="12.2" customHeight="1" x14ac:dyDescent="0.15">
      <c r="A228" s="1" t="s">
        <v>449</v>
      </c>
      <c r="B228" s="2" t="s">
        <v>346</v>
      </c>
      <c r="C228" s="2" t="s">
        <v>343</v>
      </c>
      <c r="D228" s="2" t="s">
        <v>431</v>
      </c>
      <c r="E228" s="6">
        <v>2800</v>
      </c>
      <c r="F228" s="18">
        <f>111857.94</f>
        <v>111857.94</v>
      </c>
      <c r="G228" s="18">
        <v>56892.69</v>
      </c>
      <c r="H228" s="18">
        <f>95332.24</f>
        <v>95332.24</v>
      </c>
      <c r="I228" s="18">
        <f>53202.08</f>
        <v>53202.080000000002</v>
      </c>
      <c r="J228" s="18">
        <f>114646.09</f>
        <v>114646.09</v>
      </c>
      <c r="K228" s="18"/>
      <c r="L228" s="19">
        <f>SUM(F228:K228)</f>
        <v>431931.04000000004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SUM(F216:F229)</f>
        <v>8993410.0800000001</v>
      </c>
      <c r="G230" s="41">
        <f>SUM(G216:G229)</f>
        <v>4737597.9000000013</v>
      </c>
      <c r="H230" s="41">
        <f>SUM(H216:H229)</f>
        <v>1857778.76</v>
      </c>
      <c r="I230" s="41">
        <f>SUM(I216:I229)</f>
        <v>460918.62000000005</v>
      </c>
      <c r="J230" s="41">
        <f>SUM(J216:J229)</f>
        <v>155689.60999999999</v>
      </c>
      <c r="K230" s="41">
        <f t="shared" ref="K230:L230" si="3">SUM(K216:K229)</f>
        <v>11888.15</v>
      </c>
      <c r="L230" s="41">
        <f t="shared" si="3"/>
        <v>16217283.119999997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6828508.6+209545.99</f>
        <v>7038054.5899999999</v>
      </c>
      <c r="G234" s="18">
        <v>3657695.34</v>
      </c>
      <c r="H234" s="18">
        <f>1081.34+5627.35+3239.88+1295+5123.8</f>
        <v>16367.369999999999</v>
      </c>
      <c r="I234" s="18">
        <f>17355.96+2011.75+4050.38+1141+1980.43+2964.53+5604.6+26199.75+941.22+15538.53+37225.24+1046.93+1091.55+44874.13+2592.78+8013.61+963.74+119.65+39.98+49.5+11584.5+300.43+2071.94+1197.94+13330+48510.09+0.01</f>
        <v>250800.16999999998</v>
      </c>
      <c r="J234" s="18">
        <f>1266.05+445+46196.47</f>
        <v>47907.520000000004</v>
      </c>
      <c r="K234" s="18">
        <f>1522.56+1900</f>
        <v>3422.56</v>
      </c>
      <c r="L234" s="19">
        <f>SUM(F234:K234)</f>
        <v>11014247.549999999</v>
      </c>
      <c r="M234" s="8"/>
      <c r="N234" s="266"/>
    </row>
    <row r="235" spans="1:14" s="3" customFormat="1" ht="12.2" customHeight="1" x14ac:dyDescent="0.15">
      <c r="A235" s="1" t="s">
        <v>439</v>
      </c>
      <c r="B235" s="2" t="s">
        <v>350</v>
      </c>
      <c r="C235" s="2" t="s">
        <v>291</v>
      </c>
      <c r="D235" s="2" t="s">
        <v>431</v>
      </c>
      <c r="E235" s="6">
        <v>1200</v>
      </c>
      <c r="F235" s="18">
        <f>113157.26+1479063.45+69210.93</f>
        <v>1661431.64</v>
      </c>
      <c r="G235" s="18">
        <v>1078867.1399999999</v>
      </c>
      <c r="H235" s="18">
        <f>16874.7+11985+17778.43+639683.48+2456.42</f>
        <v>688778.03</v>
      </c>
      <c r="I235" s="18">
        <f>7848.34+6970.7</f>
        <v>14819.04</v>
      </c>
      <c r="J235" s="18">
        <f>8054.76</f>
        <v>8054.76</v>
      </c>
      <c r="K235" s="18"/>
      <c r="L235" s="19">
        <f>SUM(F235:K235)</f>
        <v>3451950.6099999994</v>
      </c>
      <c r="M235" s="8"/>
      <c r="N235" s="266"/>
    </row>
    <row r="236" spans="1:14" s="3" customFormat="1" ht="12.2" customHeight="1" x14ac:dyDescent="0.15">
      <c r="A236" s="1" t="s">
        <v>440</v>
      </c>
      <c r="B236" s="2" t="s">
        <v>350</v>
      </c>
      <c r="C236" s="2" t="s">
        <v>292</v>
      </c>
      <c r="D236" s="2" t="s">
        <v>431</v>
      </c>
      <c r="E236" s="6">
        <v>1300</v>
      </c>
      <c r="F236" s="18"/>
      <c r="G236" s="18"/>
      <c r="H236" s="18">
        <v>101700.35</v>
      </c>
      <c r="I236" s="18"/>
      <c r="J236" s="18"/>
      <c r="K236" s="18"/>
      <c r="L236" s="19">
        <f>SUM(F236:K236)</f>
        <v>101700.35</v>
      </c>
      <c r="M236" s="8"/>
      <c r="N236" s="266"/>
    </row>
    <row r="237" spans="1:14" s="3" customFormat="1" ht="12.2" customHeight="1" x14ac:dyDescent="0.15">
      <c r="A237" s="1" t="s">
        <v>441</v>
      </c>
      <c r="B237" s="2" t="s">
        <v>350</v>
      </c>
      <c r="C237" s="2" t="s">
        <v>293</v>
      </c>
      <c r="D237" s="2" t="s">
        <v>431</v>
      </c>
      <c r="E237" s="6">
        <v>1400</v>
      </c>
      <c r="F237" s="18">
        <f>85025+407850.85+21537.88+33104</f>
        <v>547517.73</v>
      </c>
      <c r="G237" s="18">
        <v>285105.39</v>
      </c>
      <c r="H237" s="18">
        <f>957.82+36317.28+11353.33+48098.13</f>
        <v>96726.56</v>
      </c>
      <c r="I237" s="18">
        <f>6957.76+29940.62+7527.3+426.36</f>
        <v>44852.04</v>
      </c>
      <c r="J237" s="18">
        <f>7284.47+16306.18+41549.83</f>
        <v>65140.480000000003</v>
      </c>
      <c r="K237" s="18">
        <f>1397.95+45352.7</f>
        <v>46750.649999999994</v>
      </c>
      <c r="L237" s="19">
        <f>SUM(F237:K237)</f>
        <v>1086092.8499999999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152958.71+598768.89+114484.78+75346.18+299157.89</f>
        <v>1240716.4500000002</v>
      </c>
      <c r="G239" s="18">
        <v>724221</v>
      </c>
      <c r="H239" s="18">
        <f>149820.93</f>
        <v>149820.93</v>
      </c>
      <c r="I239" s="18">
        <f>5677.17+314.84+5527.57+10991.78</f>
        <v>22511.360000000001</v>
      </c>
      <c r="J239" s="18"/>
      <c r="K239" s="18">
        <f>680+2000</f>
        <v>2680</v>
      </c>
      <c r="L239" s="19">
        <f t="shared" ref="L239:L245" si="4">SUM(F239:K239)</f>
        <v>2139949.7400000002</v>
      </c>
      <c r="M239" s="8"/>
      <c r="N239" s="266"/>
    </row>
    <row r="240" spans="1:14" s="3" customFormat="1" ht="12.2" customHeight="1" x14ac:dyDescent="0.15">
      <c r="A240" s="1" t="s">
        <v>443</v>
      </c>
      <c r="B240" s="2" t="s">
        <v>350</v>
      </c>
      <c r="C240" s="2" t="s">
        <v>295</v>
      </c>
      <c r="D240" s="2" t="s">
        <v>431</v>
      </c>
      <c r="E240" s="6">
        <v>2200</v>
      </c>
      <c r="F240" s="18">
        <f>12862.5+197771.57+37709.86</f>
        <v>248343.93</v>
      </c>
      <c r="G240" s="18">
        <f>81038.12+1138.13+125204.55</f>
        <v>207380.8</v>
      </c>
      <c r="H240" s="18">
        <f>1128.56+17837.36</f>
        <v>18965.920000000002</v>
      </c>
      <c r="I240" s="18">
        <f>3895.85+63907.85+895+7003.91</f>
        <v>75702.61</v>
      </c>
      <c r="J240" s="18"/>
      <c r="K240" s="18">
        <f>454</f>
        <v>454</v>
      </c>
      <c r="L240" s="19">
        <f t="shared" si="4"/>
        <v>550847.26</v>
      </c>
      <c r="M240" s="8"/>
      <c r="N240" s="266"/>
    </row>
    <row r="241" spans="1:14" s="3" customFormat="1" ht="12.2" customHeight="1" x14ac:dyDescent="0.15">
      <c r="A241" s="1" t="s">
        <v>444</v>
      </c>
      <c r="B241" s="2" t="s">
        <v>350</v>
      </c>
      <c r="C241" s="2" t="s">
        <v>296</v>
      </c>
      <c r="D241" s="2" t="s">
        <v>431</v>
      </c>
      <c r="E241" s="6">
        <v>2300</v>
      </c>
      <c r="F241" s="18">
        <f>122061.7</f>
        <v>122061.7</v>
      </c>
      <c r="G241" s="18">
        <v>66567.8</v>
      </c>
      <c r="H241" s="18">
        <f>201719.52</f>
        <v>201719.52</v>
      </c>
      <c r="I241" s="18">
        <f>14743.5</f>
        <v>14743.5</v>
      </c>
      <c r="J241" s="18">
        <f>466.65</f>
        <v>466.65</v>
      </c>
      <c r="K241" s="18">
        <f>6813.51</f>
        <v>6813.51</v>
      </c>
      <c r="L241" s="19">
        <f t="shared" si="4"/>
        <v>412372.68000000005</v>
      </c>
      <c r="M241" s="8"/>
      <c r="N241" s="266"/>
    </row>
    <row r="242" spans="1:14" s="3" customFormat="1" ht="12.2" customHeight="1" x14ac:dyDescent="0.15">
      <c r="A242" s="1" t="s">
        <v>445</v>
      </c>
      <c r="B242" s="2" t="s">
        <v>350</v>
      </c>
      <c r="C242" s="2" t="s">
        <v>297</v>
      </c>
      <c r="D242" s="2" t="s">
        <v>431</v>
      </c>
      <c r="E242" s="6">
        <v>2400</v>
      </c>
      <c r="F242" s="18">
        <f>934253.21+10576</f>
        <v>944829.21</v>
      </c>
      <c r="G242" s="18">
        <v>532164.6</v>
      </c>
      <c r="H242" s="18">
        <f>6481.91+7021.74+1156.58+28970.5+1867.39</f>
        <v>45498.119999999995</v>
      </c>
      <c r="I242" s="18">
        <f>379.98+20374.88</f>
        <v>20754.86</v>
      </c>
      <c r="J242" s="18"/>
      <c r="K242" s="18">
        <f>4308</f>
        <v>4308</v>
      </c>
      <c r="L242" s="19">
        <f t="shared" si="4"/>
        <v>1547554.7900000003</v>
      </c>
      <c r="M242" s="8"/>
      <c r="N242" s="266"/>
    </row>
    <row r="243" spans="1:14" s="3" customFormat="1" ht="12.2" customHeight="1" x14ac:dyDescent="0.15">
      <c r="A243" s="1" t="s">
        <v>446</v>
      </c>
      <c r="B243" s="2" t="s">
        <v>350</v>
      </c>
      <c r="C243" s="2" t="s">
        <v>298</v>
      </c>
      <c r="D243" s="2" t="s">
        <v>431</v>
      </c>
      <c r="E243" s="6">
        <v>2500</v>
      </c>
      <c r="F243" s="18">
        <f>222303.77</f>
        <v>222303.77</v>
      </c>
      <c r="G243" s="18">
        <v>122987.68</v>
      </c>
      <c r="H243" s="18">
        <f>2222.66</f>
        <v>2222.66</v>
      </c>
      <c r="I243" s="18"/>
      <c r="J243" s="18"/>
      <c r="K243" s="18"/>
      <c r="L243" s="19">
        <f t="shared" si="4"/>
        <v>347514.10999999993</v>
      </c>
      <c r="M243" s="8"/>
      <c r="N243" s="266"/>
    </row>
    <row r="244" spans="1:14" s="3" customFormat="1" ht="12.2" customHeight="1" x14ac:dyDescent="0.15">
      <c r="A244" s="1" t="s">
        <v>447</v>
      </c>
      <c r="B244" s="2" t="s">
        <v>350</v>
      </c>
      <c r="C244" s="2" t="s">
        <v>299</v>
      </c>
      <c r="D244" s="2" t="s">
        <v>431</v>
      </c>
      <c r="E244" s="6">
        <v>2600</v>
      </c>
      <c r="F244" s="18">
        <f>678705.55+326428.39</f>
        <v>1005133.9400000001</v>
      </c>
      <c r="G244" s="18">
        <v>541984.64</v>
      </c>
      <c r="H244" s="18">
        <f>4759.85+214.05+23188.5+26880.93+5644.8+120924.4+18860+969582.91</f>
        <v>1170055.44</v>
      </c>
      <c r="I244" s="18">
        <f>60921.34+25479.11+96921.42+228282.39+24074.58</f>
        <v>435678.84</v>
      </c>
      <c r="J244" s="18">
        <f>1190+73583.08</f>
        <v>74773.08</v>
      </c>
      <c r="K244" s="18">
        <f>227.8</f>
        <v>227.8</v>
      </c>
      <c r="L244" s="19">
        <f t="shared" si="4"/>
        <v>3227853.7399999998</v>
      </c>
      <c r="M244" s="8"/>
      <c r="N244" s="266"/>
    </row>
    <row r="245" spans="1:14" s="3" customFormat="1" ht="12.2" customHeight="1" x14ac:dyDescent="0.15">
      <c r="A245" s="1" t="s">
        <v>448</v>
      </c>
      <c r="B245" s="2" t="s">
        <v>350</v>
      </c>
      <c r="C245" s="2" t="s">
        <v>300</v>
      </c>
      <c r="D245" s="2" t="s">
        <v>431</v>
      </c>
      <c r="E245" s="6">
        <v>2700</v>
      </c>
      <c r="F245" s="18"/>
      <c r="G245" s="18"/>
      <c r="H245" s="18">
        <f>64908.14+273.91+13203.38+953196.74</f>
        <v>1031582.17</v>
      </c>
      <c r="I245" s="18"/>
      <c r="J245" s="18"/>
      <c r="K245" s="18"/>
      <c r="L245" s="19">
        <f t="shared" si="4"/>
        <v>1031582.17</v>
      </c>
      <c r="M245" s="8"/>
      <c r="N245" s="266"/>
    </row>
    <row r="246" spans="1:14" s="3" customFormat="1" ht="12.2" customHeight="1" x14ac:dyDescent="0.15">
      <c r="A246" s="1" t="s">
        <v>449</v>
      </c>
      <c r="B246" s="2" t="s">
        <v>350</v>
      </c>
      <c r="C246" s="2" t="s">
        <v>343</v>
      </c>
      <c r="D246" s="2" t="s">
        <v>431</v>
      </c>
      <c r="E246" s="6">
        <v>2800</v>
      </c>
      <c r="F246" s="18">
        <f>172871.35</f>
        <v>172871.35</v>
      </c>
      <c r="G246" s="18">
        <v>90707.81</v>
      </c>
      <c r="H246" s="18">
        <f>147331.65</f>
        <v>147331.65</v>
      </c>
      <c r="I246" s="18">
        <f>82221.4</f>
        <v>82221.399999999994</v>
      </c>
      <c r="J246" s="18">
        <f>191924.76</f>
        <v>191924.76</v>
      </c>
      <c r="K246" s="18"/>
      <c r="L246" s="19">
        <f>SUM(F246:K246)</f>
        <v>685056.97000000009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13203264.309999999</v>
      </c>
      <c r="G248" s="41">
        <f t="shared" si="5"/>
        <v>7307682.1999999974</v>
      </c>
      <c r="H248" s="41">
        <f t="shared" si="5"/>
        <v>3670768.7199999993</v>
      </c>
      <c r="I248" s="41">
        <f t="shared" si="5"/>
        <v>962083.82</v>
      </c>
      <c r="J248" s="41">
        <f t="shared" si="5"/>
        <v>388267.25</v>
      </c>
      <c r="K248" s="41">
        <f t="shared" si="5"/>
        <v>64656.52</v>
      </c>
      <c r="L248" s="41">
        <f t="shared" si="5"/>
        <v>25596722.819999997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f>38184.37</f>
        <v>38184.370000000003</v>
      </c>
      <c r="G252" s="18">
        <v>25577.21</v>
      </c>
      <c r="H252" s="18"/>
      <c r="I252" s="18">
        <f>557.63</f>
        <v>557.63</v>
      </c>
      <c r="J252" s="18">
        <f>531.66</f>
        <v>531.66</v>
      </c>
      <c r="K252" s="18"/>
      <c r="L252" s="19">
        <f t="shared" si="6"/>
        <v>64850.87</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38184.370000000003</v>
      </c>
      <c r="G257" s="41">
        <f t="shared" si="7"/>
        <v>25577.21</v>
      </c>
      <c r="H257" s="41">
        <f t="shared" si="7"/>
        <v>0</v>
      </c>
      <c r="I257" s="41">
        <f t="shared" si="7"/>
        <v>557.63</v>
      </c>
      <c r="J257" s="41">
        <f t="shared" si="7"/>
        <v>531.66</v>
      </c>
      <c r="K257" s="41">
        <f t="shared" si="7"/>
        <v>0</v>
      </c>
      <c r="L257" s="41">
        <f>SUM(F257:K257)</f>
        <v>64850.87</v>
      </c>
      <c r="M257" s="8"/>
      <c r="N257" s="266"/>
    </row>
    <row r="258" spans="1:14" s="3" customFormat="1" ht="12.2" customHeight="1" thickTop="1" x14ac:dyDescent="0.15">
      <c r="A258" s="38" t="s">
        <v>462</v>
      </c>
      <c r="B258" s="40">
        <v>10</v>
      </c>
      <c r="C258" s="40">
        <v>8</v>
      </c>
      <c r="D258" s="39" t="s">
        <v>431</v>
      </c>
      <c r="E258" s="40"/>
      <c r="F258" s="41">
        <f t="shared" ref="F258:L258" si="8">F212+F230+F248+F257</f>
        <v>39457976.669999994</v>
      </c>
      <c r="G258" s="41">
        <f t="shared" si="8"/>
        <v>21690609.07</v>
      </c>
      <c r="H258" s="41">
        <f t="shared" si="8"/>
        <v>9854503.2299999986</v>
      </c>
      <c r="I258" s="41">
        <f t="shared" si="8"/>
        <v>2418126.23</v>
      </c>
      <c r="J258" s="41">
        <f t="shared" si="8"/>
        <v>835254.86</v>
      </c>
      <c r="K258" s="41">
        <f t="shared" si="8"/>
        <v>95094.16</v>
      </c>
      <c r="L258" s="41">
        <f t="shared" si="8"/>
        <v>74351564.219999999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1625000</v>
      </c>
      <c r="L261" s="19">
        <f>SUM(F261:K261)</f>
        <v>1625000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134019.44+287428.79</f>
        <v>421448.23</v>
      </c>
      <c r="L262" s="19">
        <f>SUM(F262:K262)</f>
        <v>421448.23</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96342.95</v>
      </c>
      <c r="L264" s="19">
        <f>SUM(F264:K264)</f>
        <v>96342.95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1100000</v>
      </c>
      <c r="L267" s="19">
        <f t="shared" si="9"/>
        <v>1100000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3242791.18</v>
      </c>
      <c r="L271" s="41">
        <f t="shared" si="9"/>
        <v>3242791.18</v>
      </c>
      <c r="M271" s="8"/>
      <c r="N271" s="266"/>
    </row>
    <row r="272" spans="1:14" s="34" customFormat="1" ht="12.2" customHeight="1" thickTop="1" x14ac:dyDescent="0.2">
      <c r="A272" s="43" t="s">
        <v>464</v>
      </c>
      <c r="B272" s="40">
        <v>10</v>
      </c>
      <c r="C272" s="40">
        <v>18</v>
      </c>
      <c r="D272" s="39" t="s">
        <v>431</v>
      </c>
      <c r="E272" s="40"/>
      <c r="F272" s="42">
        <f t="shared" ref="F272:L272" si="11">F258+F271</f>
        <v>39457976.669999994</v>
      </c>
      <c r="G272" s="42">
        <f t="shared" si="11"/>
        <v>21690609.07</v>
      </c>
      <c r="H272" s="42">
        <f t="shared" si="11"/>
        <v>9854503.2299999986</v>
      </c>
      <c r="I272" s="42">
        <f t="shared" si="11"/>
        <v>2418126.23</v>
      </c>
      <c r="J272" s="42">
        <f t="shared" si="11"/>
        <v>835254.86</v>
      </c>
      <c r="K272" s="42">
        <f t="shared" si="11"/>
        <v>3337885.3400000003</v>
      </c>
      <c r="L272" s="42">
        <f t="shared" si="11"/>
        <v>77594355.400000006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7536.96+5603.34+7140+84419.25+30646.36+166520.4+6725.25</f>
        <v>308591.56</v>
      </c>
      <c r="G277" s="18"/>
      <c r="H277" s="18"/>
      <c r="I277" s="18">
        <f>794.51+1147.23+16199.1</f>
        <v>18140.84</v>
      </c>
      <c r="J277" s="18"/>
      <c r="K277" s="18"/>
      <c r="L277" s="19">
        <f>SUM(F277:K277)</f>
        <v>326732.40000000002</v>
      </c>
      <c r="M277" s="8"/>
      <c r="N277" s="266"/>
    </row>
    <row r="278" spans="1:14" s="3" customFormat="1" ht="12.2" customHeight="1" x14ac:dyDescent="0.15">
      <c r="A278" s="1" t="s">
        <v>439</v>
      </c>
      <c r="B278" s="2" t="s">
        <v>357</v>
      </c>
      <c r="C278" s="2" t="s">
        <v>291</v>
      </c>
      <c r="D278" s="2" t="s">
        <v>431</v>
      </c>
      <c r="E278" s="6">
        <v>1200</v>
      </c>
      <c r="F278" s="18">
        <f>70334.35+98636.73+58993.41+11640.81+110655.62+24841.27+17713.33+19250.95</f>
        <v>412066.47000000009</v>
      </c>
      <c r="G278" s="18"/>
      <c r="H278" s="18"/>
      <c r="I278" s="18">
        <f>1377.18+397.51</f>
        <v>1774.69</v>
      </c>
      <c r="J278" s="18">
        <f>1521.71+1468.29</f>
        <v>2990</v>
      </c>
      <c r="K278" s="18"/>
      <c r="L278" s="19">
        <f>SUM(F278:K278)</f>
        <v>416831.16000000009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256</v>
      </c>
      <c r="G280" s="18"/>
      <c r="H280" s="18"/>
      <c r="I280" s="18"/>
      <c r="J280" s="18"/>
      <c r="K280" s="18"/>
      <c r="L280" s="19">
        <f>SUM(F280:K280)</f>
        <v>256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15710.01+76530.72+17130.74+30101.19</f>
        <v>139472.66</v>
      </c>
      <c r="G282" s="18"/>
      <c r="H282" s="18"/>
      <c r="I282" s="18">
        <f>11167.2</f>
        <v>11167.2</v>
      </c>
      <c r="J282" s="18"/>
      <c r="K282" s="18"/>
      <c r="L282" s="19">
        <f t="shared" ref="L282:L288" si="12">SUM(F282:K282)</f>
        <v>150639.86000000002</v>
      </c>
      <c r="M282" s="8"/>
      <c r="N282" s="266"/>
    </row>
    <row r="283" spans="1:14" s="3" customFormat="1" ht="12.2" customHeight="1" x14ac:dyDescent="0.15">
      <c r="A283" s="1" t="s">
        <v>443</v>
      </c>
      <c r="B283" s="2" t="s">
        <v>357</v>
      </c>
      <c r="C283" s="2" t="s">
        <v>295</v>
      </c>
      <c r="D283" s="2" t="s">
        <v>431</v>
      </c>
      <c r="E283" s="6">
        <v>2200</v>
      </c>
      <c r="F283" s="18"/>
      <c r="G283" s="18"/>
      <c r="H283" s="18">
        <f>169.4</f>
        <v>169.4</v>
      </c>
      <c r="I283" s="18">
        <f>4889.03+191.49+6600</f>
        <v>11680.52</v>
      </c>
      <c r="J283" s="18">
        <f>3222.67</f>
        <v>3222.67</v>
      </c>
      <c r="K283" s="18"/>
      <c r="L283" s="19">
        <f t="shared" si="12"/>
        <v>15072.59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860386.69000000006</v>
      </c>
      <c r="G291" s="42">
        <f t="shared" si="13"/>
        <v>0</v>
      </c>
      <c r="H291" s="42">
        <f t="shared" si="13"/>
        <v>169.4</v>
      </c>
      <c r="I291" s="42">
        <f t="shared" si="13"/>
        <v>42763.25</v>
      </c>
      <c r="J291" s="42">
        <f t="shared" si="13"/>
        <v>6212.67</v>
      </c>
      <c r="K291" s="42">
        <f t="shared" si="13"/>
        <v>0</v>
      </c>
      <c r="L291" s="41">
        <f t="shared" si="13"/>
        <v>909532.01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f>91955.49+28483.1</f>
        <v>120438.59</v>
      </c>
      <c r="G297" s="18"/>
      <c r="H297" s="18"/>
      <c r="I297" s="18"/>
      <c r="J297" s="18"/>
      <c r="K297" s="18"/>
      <c r="L297" s="19">
        <f>SUM(F297:K297)</f>
        <v>120438.59</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f>5583.6</f>
        <v>5583.6</v>
      </c>
      <c r="J301" s="18"/>
      <c r="K301" s="18"/>
      <c r="L301" s="19">
        <f t="shared" ref="L301:L307" si="14">SUM(F301:K301)</f>
        <v>5583.6</v>
      </c>
      <c r="M301" s="8"/>
      <c r="N301" s="266"/>
    </row>
    <row r="302" spans="1:14" s="3" customFormat="1" ht="12.2" customHeight="1" x14ac:dyDescent="0.15">
      <c r="A302" s="1" t="s">
        <v>443</v>
      </c>
      <c r="B302" s="2" t="s">
        <v>358</v>
      </c>
      <c r="C302" s="2" t="s">
        <v>295</v>
      </c>
      <c r="D302" s="2" t="s">
        <v>431</v>
      </c>
      <c r="E302" s="6">
        <v>2200</v>
      </c>
      <c r="F302" s="18"/>
      <c r="G302" s="18"/>
      <c r="H302" s="18">
        <f>1993+4200+84.7</f>
        <v>6277.7</v>
      </c>
      <c r="I302" s="18">
        <f>768.96+95.75+3300</f>
        <v>4164.71</v>
      </c>
      <c r="J302" s="18">
        <f>1611.33</f>
        <v>1611.33</v>
      </c>
      <c r="K302" s="18"/>
      <c r="L302" s="19">
        <f t="shared" si="14"/>
        <v>12053.74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120438.59</v>
      </c>
      <c r="G310" s="42">
        <f t="shared" si="15"/>
        <v>0</v>
      </c>
      <c r="H310" s="42">
        <f t="shared" si="15"/>
        <v>6277.7</v>
      </c>
      <c r="I310" s="42">
        <f t="shared" si="15"/>
        <v>9748.3100000000013</v>
      </c>
      <c r="J310" s="42">
        <f t="shared" si="15"/>
        <v>1611.33</v>
      </c>
      <c r="K310" s="42">
        <f t="shared" si="15"/>
        <v>0</v>
      </c>
      <c r="L310" s="41">
        <f t="shared" si="15"/>
        <v>138075.93</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f>362026.86+18788.69</f>
        <v>380815.55</v>
      </c>
      <c r="G316" s="18"/>
      <c r="H316" s="18"/>
      <c r="I316" s="18"/>
      <c r="J316" s="18"/>
      <c r="K316" s="18"/>
      <c r="L316" s="19">
        <f>SUM(F316:K316)</f>
        <v>380815.55</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f>1500+5860</f>
        <v>7360</v>
      </c>
      <c r="G318" s="18"/>
      <c r="H318" s="18"/>
      <c r="I318" s="18">
        <f>9297.62</f>
        <v>9297.6200000000008</v>
      </c>
      <c r="J318" s="18"/>
      <c r="K318" s="18"/>
      <c r="L318" s="19">
        <f>SUM(F318:K318)</f>
        <v>16657.620000000003</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3728+50031.02</f>
        <v>53759.02</v>
      </c>
      <c r="G320" s="18"/>
      <c r="H320" s="18"/>
      <c r="I320" s="18">
        <f>8629.2</f>
        <v>8629.2000000000007</v>
      </c>
      <c r="J320" s="18"/>
      <c r="K320" s="18"/>
      <c r="L320" s="19">
        <f t="shared" ref="L320:L326" si="16">SUM(F320:K320)</f>
        <v>62388.22</v>
      </c>
      <c r="M320" s="8"/>
      <c r="N320" s="266"/>
    </row>
    <row r="321" spans="1:14" s="3" customFormat="1" ht="12.2" customHeight="1" x14ac:dyDescent="0.15">
      <c r="A321" s="1" t="s">
        <v>443</v>
      </c>
      <c r="B321" s="2" t="s">
        <v>359</v>
      </c>
      <c r="C321" s="2" t="s">
        <v>295</v>
      </c>
      <c r="D321" s="2" t="s">
        <v>431</v>
      </c>
      <c r="E321" s="6">
        <v>2200</v>
      </c>
      <c r="F321" s="18"/>
      <c r="G321" s="18"/>
      <c r="H321" s="18">
        <f>130.9</f>
        <v>130.9</v>
      </c>
      <c r="I321" s="18">
        <f>147.97+5100</f>
        <v>5247.97</v>
      </c>
      <c r="J321" s="18">
        <f>2490.24</f>
        <v>2490.2399999999998</v>
      </c>
      <c r="K321" s="18"/>
      <c r="L321" s="19">
        <f t="shared" si="16"/>
        <v>7869.11</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441934.57</v>
      </c>
      <c r="G329" s="42">
        <f t="shared" si="17"/>
        <v>0</v>
      </c>
      <c r="H329" s="42">
        <f t="shared" si="17"/>
        <v>130.9</v>
      </c>
      <c r="I329" s="42">
        <f t="shared" si="17"/>
        <v>23174.79</v>
      </c>
      <c r="J329" s="42">
        <f t="shared" si="17"/>
        <v>2490.2399999999998</v>
      </c>
      <c r="K329" s="42">
        <f t="shared" si="17"/>
        <v>0</v>
      </c>
      <c r="L329" s="41">
        <f t="shared" si="17"/>
        <v>467730.5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12448</v>
      </c>
      <c r="G334" s="18">
        <f>2879.38+1237.53</f>
        <v>4116.91</v>
      </c>
      <c r="H334" s="18"/>
      <c r="I334" s="18">
        <f>2491.34+1520.78</f>
        <v>4012.12</v>
      </c>
      <c r="J334" s="18">
        <f>3001.74</f>
        <v>3001.74</v>
      </c>
      <c r="K334" s="18"/>
      <c r="L334" s="19">
        <f t="shared" si="18"/>
        <v>23578.769999999997</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12448</v>
      </c>
      <c r="G338" s="41">
        <f t="shared" si="19"/>
        <v>4116.91</v>
      </c>
      <c r="H338" s="41">
        <f t="shared" si="19"/>
        <v>0</v>
      </c>
      <c r="I338" s="41">
        <f t="shared" si="19"/>
        <v>4012.12</v>
      </c>
      <c r="J338" s="41">
        <f t="shared" si="19"/>
        <v>3001.74</v>
      </c>
      <c r="K338" s="41">
        <f t="shared" si="19"/>
        <v>0</v>
      </c>
      <c r="L338" s="41">
        <f t="shared" si="18"/>
        <v>23578.769999999997</v>
      </c>
      <c r="M338" s="8"/>
      <c r="N338" s="266"/>
    </row>
    <row r="339" spans="1:43" s="3" customFormat="1" ht="12.2" customHeight="1" thickTop="1" x14ac:dyDescent="0.15">
      <c r="A339" s="38" t="s">
        <v>468</v>
      </c>
      <c r="B339" s="40">
        <v>14</v>
      </c>
      <c r="C339" s="40">
        <v>7</v>
      </c>
      <c r="D339" s="39" t="s">
        <v>431</v>
      </c>
      <c r="E339" s="40"/>
      <c r="F339" s="41">
        <f t="shared" ref="F339:L339" si="20">F291+F310+F329+F338</f>
        <v>1435207.85</v>
      </c>
      <c r="G339" s="41">
        <f t="shared" si="20"/>
        <v>4116.91</v>
      </c>
      <c r="H339" s="41">
        <f t="shared" si="20"/>
        <v>6577.9999999999991</v>
      </c>
      <c r="I339" s="41">
        <f t="shared" si="20"/>
        <v>79698.47</v>
      </c>
      <c r="J339" s="41">
        <f t="shared" si="20"/>
        <v>13315.98</v>
      </c>
      <c r="K339" s="41">
        <f t="shared" si="20"/>
        <v>0</v>
      </c>
      <c r="L339" s="41">
        <f t="shared" si="20"/>
        <v>1538917.21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1435207.85</v>
      </c>
      <c r="G353" s="41">
        <f>G339</f>
        <v>4116.91</v>
      </c>
      <c r="H353" s="41">
        <f>H339</f>
        <v>6577.9999999999991</v>
      </c>
      <c r="I353" s="41">
        <f>I339</f>
        <v>79698.47</v>
      </c>
      <c r="J353" s="41">
        <f>J339</f>
        <v>13315.98</v>
      </c>
      <c r="K353" s="47">
        <f>K339+K352</f>
        <v>0</v>
      </c>
      <c r="L353" s="41">
        <f>L339+L352</f>
        <v>1538917.21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125618.29+20918.91</f>
        <v>146537.19999999998</v>
      </c>
      <c r="G359" s="18">
        <f>12117.71</f>
        <v>12117.71</v>
      </c>
      <c r="H359" s="18">
        <f>6772.37</f>
        <v>6772.37</v>
      </c>
      <c r="I359" s="18">
        <f>165354.12</f>
        <v>165354.12</v>
      </c>
      <c r="J359" s="18">
        <v>725</v>
      </c>
      <c r="K359" s="18">
        <f>785.13+2129.7</f>
        <v>2914.83</v>
      </c>
      <c r="L359" s="13">
        <f>SUM(F359:K359)</f>
        <v>334421.23</v>
      </c>
      <c r="M359" s="8"/>
      <c r="N359" s="266"/>
    </row>
    <row r="360" spans="1:22" s="3" customFormat="1" ht="12.2" customHeight="1" x14ac:dyDescent="0.15">
      <c r="A360" s="1" t="s">
        <v>542</v>
      </c>
      <c r="B360" s="2" t="s">
        <v>366</v>
      </c>
      <c r="C360" s="6">
        <v>2</v>
      </c>
      <c r="D360" s="2" t="s">
        <v>431</v>
      </c>
      <c r="E360" s="6"/>
      <c r="F360" s="18">
        <f>105175.99+16091.47</f>
        <v>121267.46</v>
      </c>
      <c r="G360" s="18">
        <f>10386.61+3676.54</f>
        <v>14063.150000000001</v>
      </c>
      <c r="H360" s="18">
        <f>5209.52</f>
        <v>5209.5200000000004</v>
      </c>
      <c r="I360" s="18">
        <f>127195.47</f>
        <v>127195.47</v>
      </c>
      <c r="J360" s="18">
        <v>50291</v>
      </c>
      <c r="K360" s="18">
        <f>603.94+1648.8+3600.78</f>
        <v>5853.52</v>
      </c>
      <c r="L360" s="19">
        <f>SUM(F360:K360)</f>
        <v>323880.12</v>
      </c>
      <c r="M360" s="8"/>
      <c r="N360" s="266"/>
    </row>
    <row r="361" spans="1:22" s="3" customFormat="1" ht="12.2" customHeight="1" x14ac:dyDescent="0.15">
      <c r="A361" s="3" t="s">
        <v>543</v>
      </c>
      <c r="B361" s="2" t="s">
        <v>366</v>
      </c>
      <c r="C361" s="6">
        <v>3</v>
      </c>
      <c r="D361" s="2" t="s">
        <v>431</v>
      </c>
      <c r="E361" s="6"/>
      <c r="F361" s="18">
        <f>131015.8+69722.18+43446.97</f>
        <v>244184.94999999998</v>
      </c>
      <c r="G361" s="18">
        <f>25342.08+20773.21+14706.17</f>
        <v>60821.46</v>
      </c>
      <c r="H361" s="18">
        <f>14065.69</f>
        <v>14065.69</v>
      </c>
      <c r="I361" s="18">
        <f>343427.78</f>
        <v>343427.78</v>
      </c>
      <c r="J361" s="18"/>
      <c r="K361" s="18">
        <f>1630.65+3091.51+10802.34</f>
        <v>15524.5</v>
      </c>
      <c r="L361" s="19">
        <f>SUM(F361:K361)</f>
        <v>678024.38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511989.61</v>
      </c>
      <c r="G363" s="47">
        <f t="shared" si="22"/>
        <v>87002.32</v>
      </c>
      <c r="H363" s="47">
        <f t="shared" si="22"/>
        <v>26047.58</v>
      </c>
      <c r="I363" s="47">
        <f t="shared" si="22"/>
        <v>635977.37</v>
      </c>
      <c r="J363" s="47">
        <f t="shared" si="22"/>
        <v>51016</v>
      </c>
      <c r="K363" s="47">
        <f t="shared" si="22"/>
        <v>24292.85</v>
      </c>
      <c r="L363" s="47">
        <f t="shared" si="22"/>
        <v>1336325.73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143176.79</v>
      </c>
      <c r="G368" s="18">
        <v>110135.99</v>
      </c>
      <c r="H368" s="18">
        <v>297367.19</v>
      </c>
      <c r="I368" s="56">
        <f>SUM(F368:H368)</f>
        <v>550679.97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22177.32</v>
      </c>
      <c r="G369" s="63">
        <v>17059.48</v>
      </c>
      <c r="H369" s="63">
        <v>46060.6</v>
      </c>
      <c r="I369" s="56">
        <f>SUM(F369:H369)</f>
        <v>85297.4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165354.11000000002</v>
      </c>
      <c r="G370" s="47">
        <f>SUM(G368:G369)</f>
        <v>127195.47</v>
      </c>
      <c r="H370" s="47">
        <f>SUM(H368:H369)</f>
        <v>343427.79</v>
      </c>
      <c r="I370" s="47">
        <f>SUM(I368:I369)</f>
        <v>635977.37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475.72</v>
      </c>
      <c r="I389" s="18"/>
      <c r="J389" s="24" t="s">
        <v>288</v>
      </c>
      <c r="K389" s="24" t="s">
        <v>288</v>
      </c>
      <c r="L389" s="56">
        <f t="shared" si="25"/>
        <v>475.72</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425000</v>
      </c>
      <c r="H393" s="18">
        <v>6038.02</v>
      </c>
      <c r="I393" s="18"/>
      <c r="J393" s="24" t="s">
        <v>288</v>
      </c>
      <c r="K393" s="24" t="s">
        <v>288</v>
      </c>
      <c r="L393" s="56">
        <f t="shared" si="25"/>
        <v>431038.02</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425000</v>
      </c>
      <c r="H394" s="139">
        <f>SUM(H388:H393)</f>
        <v>6513.7400000000007</v>
      </c>
      <c r="I394" s="65">
        <f>SUM(I388:I393)</f>
        <v>0</v>
      </c>
      <c r="J394" s="45" t="s">
        <v>288</v>
      </c>
      <c r="K394" s="45" t="s">
        <v>288</v>
      </c>
      <c r="L394" s="47">
        <f>SUM(L388:L393)</f>
        <v>431513.74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625000</v>
      </c>
      <c r="H397" s="18">
        <v>12466.45</v>
      </c>
      <c r="I397" s="18"/>
      <c r="J397" s="24" t="s">
        <v>288</v>
      </c>
      <c r="K397" s="24" t="s">
        <v>288</v>
      </c>
      <c r="L397" s="56">
        <f t="shared" si="26"/>
        <v>637466.44999999995</v>
      </c>
      <c r="M397" s="8"/>
      <c r="N397" s="266"/>
    </row>
    <row r="398" spans="1:14" s="3" customFormat="1" ht="12.2" customHeight="1" x14ac:dyDescent="0.15">
      <c r="A398" s="79" t="s">
        <v>515</v>
      </c>
      <c r="B398" s="2" t="s">
        <v>381</v>
      </c>
      <c r="C398" s="6">
        <v>10</v>
      </c>
      <c r="D398" s="2" t="s">
        <v>432</v>
      </c>
      <c r="E398" s="6"/>
      <c r="F398" s="18"/>
      <c r="G398" s="18">
        <v>50000</v>
      </c>
      <c r="H398" s="18">
        <v>2893.26</v>
      </c>
      <c r="I398" s="18"/>
      <c r="J398" s="24" t="s">
        <v>288</v>
      </c>
      <c r="K398" s="24" t="s">
        <v>288</v>
      </c>
      <c r="L398" s="56">
        <f t="shared" si="26"/>
        <v>52893.26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675000</v>
      </c>
      <c r="H402" s="47">
        <f>SUM(H396:H401)</f>
        <v>15359.710000000001</v>
      </c>
      <c r="I402" s="47">
        <f>SUM(I396:I401)</f>
        <v>0</v>
      </c>
      <c r="J402" s="45" t="s">
        <v>288</v>
      </c>
      <c r="K402" s="45" t="s">
        <v>288</v>
      </c>
      <c r="L402" s="47">
        <f>SUM(L396:L401)</f>
        <v>690359.71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1100000</v>
      </c>
      <c r="H409" s="47">
        <f>H394+H402+H408</f>
        <v>21873.45</v>
      </c>
      <c r="I409" s="47">
        <f>I394+I402+I408</f>
        <v>0</v>
      </c>
      <c r="J409" s="24" t="s">
        <v>288</v>
      </c>
      <c r="K409" s="24" t="s">
        <v>288</v>
      </c>
      <c r="L409" s="47">
        <f>L394+L402+L408</f>
        <v>1121873.45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v>397734.13</v>
      </c>
      <c r="L419" s="56">
        <f t="shared" si="27"/>
        <v>397734.13</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397734.13</v>
      </c>
      <c r="L420" s="47">
        <f t="shared" si="28"/>
        <v>397734.13</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877280.67</v>
      </c>
      <c r="L423" s="56">
        <f t="shared" si="29"/>
        <v>877280.67</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877280.67</v>
      </c>
      <c r="L428" s="47">
        <f t="shared" si="30"/>
        <v>877280.67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1275014.8</v>
      </c>
      <c r="L435" s="47">
        <f t="shared" si="32"/>
        <v>1275014.8</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66001.86</v>
      </c>
      <c r="G440" s="18">
        <v>414249.01</v>
      </c>
      <c r="H440" s="18"/>
      <c r="I440" s="56">
        <f t="shared" ref="I440:I446" si="33">SUM(F440:H440)</f>
        <v>480250.87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66001.86</v>
      </c>
      <c r="G447" s="13">
        <f>SUM(G440:G446)</f>
        <v>414249.01</v>
      </c>
      <c r="H447" s="13">
        <f>SUM(H440:H446)</f>
        <v>0</v>
      </c>
      <c r="I447" s="13">
        <f>SUM(I440:I446)</f>
        <v>480250.87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187262</v>
      </c>
      <c r="H449" s="18"/>
      <c r="I449" s="56">
        <f>SUM(F449:H449)</f>
        <v>187262</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187262</v>
      </c>
      <c r="H453" s="72">
        <f>SUM(H449:H452)</f>
        <v>0</v>
      </c>
      <c r="I453" s="72">
        <f>SUM(I449:I452)</f>
        <v>187262</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66001.86</v>
      </c>
      <c r="G460" s="18">
        <v>226987.01</v>
      </c>
      <c r="H460" s="18"/>
      <c r="I460" s="56">
        <f t="shared" si="34"/>
        <v>292988.87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66001.86</v>
      </c>
      <c r="G461" s="83">
        <f>SUM(G455:G460)</f>
        <v>226987.01</v>
      </c>
      <c r="H461" s="83">
        <f>SUM(H455:H460)</f>
        <v>0</v>
      </c>
      <c r="I461" s="83">
        <f>SUM(I455:I460)</f>
        <v>292988.87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66001.86</v>
      </c>
      <c r="G462" s="42">
        <f>G453+G461</f>
        <v>414249.01</v>
      </c>
      <c r="H462" s="42">
        <f>H453+H461</f>
        <v>0</v>
      </c>
      <c r="I462" s="42">
        <f>I453+I461</f>
        <v>480250.87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1316317.6299999999</v>
      </c>
      <c r="G466" s="18">
        <v>102295.15</v>
      </c>
      <c r="H466" s="18">
        <v>22902.080000000002</v>
      </c>
      <c r="I466" s="18">
        <v>0</v>
      </c>
      <c r="J466" s="18">
        <v>446130.22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78113322.019999996</v>
      </c>
      <c r="G469" s="18">
        <v>1328004.92</v>
      </c>
      <c r="H469" s="18">
        <v>1539784.09</v>
      </c>
      <c r="I469" s="18">
        <v>0</v>
      </c>
      <c r="J469" s="18">
        <v>1121873.45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78113322.019999996</v>
      </c>
      <c r="G471" s="53">
        <f>SUM(G469:G470)</f>
        <v>1328004.92</v>
      </c>
      <c r="H471" s="53">
        <f>SUM(H469:H470)</f>
        <v>1539784.09</v>
      </c>
      <c r="I471" s="53">
        <f>SUM(I469:I470)</f>
        <v>0</v>
      </c>
      <c r="J471" s="53">
        <f>SUM(J469:J470)</f>
        <v>1121873.45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77594355.400000006</v>
      </c>
      <c r="G473" s="18">
        <v>1336325.73</v>
      </c>
      <c r="H473" s="18">
        <v>1538917.21</v>
      </c>
      <c r="I473" s="18">
        <v>0</v>
      </c>
      <c r="J473" s="18">
        <v>1275014.8</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77594355.400000006</v>
      </c>
      <c r="G475" s="53">
        <f>SUM(G473:G474)</f>
        <v>1336325.73</v>
      </c>
      <c r="H475" s="53">
        <f>SUM(H473:H474)</f>
        <v>1538917.21</v>
      </c>
      <c r="I475" s="53">
        <f>SUM(I473:I474)</f>
        <v>0</v>
      </c>
      <c r="J475" s="53">
        <f>SUM(J473:J474)</f>
        <v>1275014.8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1835284.2499999851</v>
      </c>
      <c r="G477" s="53">
        <f>(G466+G471)- G475</f>
        <v>93974.339999999851</v>
      </c>
      <c r="H477" s="53">
        <f>(H466+H471)- H475</f>
        <v>23768.960000000196</v>
      </c>
      <c r="I477" s="53">
        <f>(I466+I471)- I475</f>
        <v>0</v>
      </c>
      <c r="J477" s="53">
        <f>(J466+J471)- J475</f>
        <v>292988.86999999988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10</v>
      </c>
      <c r="H491" s="154">
        <v>12</v>
      </c>
      <c r="I491" s="154">
        <v>10</v>
      </c>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1644</v>
      </c>
      <c r="H492" s="155" t="s">
        <v>1647</v>
      </c>
      <c r="I492" s="155" t="s">
        <v>1648</v>
      </c>
      <c r="J492" s="155"/>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5" t="s">
        <v>1646</v>
      </c>
      <c r="I493" s="155" t="s">
        <v>1649</v>
      </c>
      <c r="J493" s="155"/>
      <c r="K493" s="24" t="s">
        <v>288</v>
      </c>
      <c r="L493" s="24" t="s">
        <v>288</v>
      </c>
      <c r="N493" s="265"/>
    </row>
    <row r="494" spans="1:14" s="52" customFormat="1" ht="12.2" customHeight="1" x14ac:dyDescent="0.2">
      <c r="A494" s="22" t="s">
        <v>617</v>
      </c>
      <c r="B494" s="75">
        <v>20</v>
      </c>
      <c r="C494" s="115">
        <v>4</v>
      </c>
      <c r="D494" s="2" t="s">
        <v>432</v>
      </c>
      <c r="E494" s="115"/>
      <c r="F494" s="18">
        <v>12030000</v>
      </c>
      <c r="G494" s="18">
        <v>2720000</v>
      </c>
      <c r="H494" s="18">
        <v>2955000</v>
      </c>
      <c r="I494" s="18">
        <v>3895000</v>
      </c>
      <c r="J494" s="18"/>
      <c r="K494" s="24" t="s">
        <v>288</v>
      </c>
      <c r="L494" s="24" t="s">
        <v>288</v>
      </c>
      <c r="N494" s="265"/>
    </row>
    <row r="495" spans="1:14" s="52" customFormat="1" ht="12.2" customHeight="1" x14ac:dyDescent="0.2">
      <c r="A495" s="22" t="s">
        <v>618</v>
      </c>
      <c r="B495" s="75">
        <v>20</v>
      </c>
      <c r="C495" s="115">
        <v>5</v>
      </c>
      <c r="D495" s="2" t="s">
        <v>432</v>
      </c>
      <c r="E495" s="115"/>
      <c r="F495" s="18">
        <v>4.57</v>
      </c>
      <c r="G495" s="18">
        <v>2.69</v>
      </c>
      <c r="H495" s="18">
        <v>1.94</v>
      </c>
      <c r="I495" s="18">
        <v>2.14</v>
      </c>
      <c r="J495" s="18"/>
      <c r="K495" s="24" t="s">
        <v>288</v>
      </c>
      <c r="L495" s="24" t="s">
        <v>288</v>
      </c>
      <c r="N495" s="265"/>
    </row>
    <row r="496" spans="1:14" s="52" customFormat="1" ht="12.2" customHeight="1" x14ac:dyDescent="0.2">
      <c r="A496" s="22" t="s">
        <v>619</v>
      </c>
      <c r="B496" s="75">
        <v>20</v>
      </c>
      <c r="C496" s="115">
        <v>6</v>
      </c>
      <c r="D496" s="2" t="s">
        <v>432</v>
      </c>
      <c r="E496" s="115"/>
      <c r="F496" s="18">
        <v>2660000</v>
      </c>
      <c r="G496" s="18">
        <v>2645000</v>
      </c>
      <c r="H496" s="18">
        <v>1960000</v>
      </c>
      <c r="I496" s="18">
        <v>2335000</v>
      </c>
      <c r="J496" s="18"/>
      <c r="K496" s="53">
        <f>SUM(F496:J496)</f>
        <v>9600000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665000</v>
      </c>
      <c r="G498" s="18">
        <v>275000</v>
      </c>
      <c r="H498" s="18">
        <v>295000</v>
      </c>
      <c r="I498" s="18">
        <v>390000</v>
      </c>
      <c r="J498" s="18"/>
      <c r="K498" s="53">
        <f t="shared" si="35"/>
        <v>1625000</v>
      </c>
      <c r="L498" s="24" t="s">
        <v>288</v>
      </c>
      <c r="N498" s="265"/>
    </row>
    <row r="499" spans="1:14" s="52" customFormat="1" ht="12.2" customHeight="1" x14ac:dyDescent="0.2">
      <c r="A499" s="200" t="s">
        <v>622</v>
      </c>
      <c r="B499" s="201">
        <v>20</v>
      </c>
      <c r="C499" s="202">
        <v>9</v>
      </c>
      <c r="D499" s="203" t="s">
        <v>432</v>
      </c>
      <c r="E499" s="202"/>
      <c r="F499" s="204">
        <v>1995000</v>
      </c>
      <c r="G499" s="204">
        <v>2370000</v>
      </c>
      <c r="H499" s="204">
        <v>1665000</v>
      </c>
      <c r="I499" s="204">
        <v>1945000</v>
      </c>
      <c r="J499" s="204"/>
      <c r="K499" s="205">
        <f t="shared" si="35"/>
        <v>7975000</v>
      </c>
      <c r="L499" s="206" t="s">
        <v>288</v>
      </c>
      <c r="N499" s="265"/>
    </row>
    <row r="500" spans="1:14" s="52" customFormat="1" ht="12.2" customHeight="1" thickBot="1" x14ac:dyDescent="0.25">
      <c r="A500" s="22" t="s">
        <v>623</v>
      </c>
      <c r="B500" s="75">
        <v>20</v>
      </c>
      <c r="C500" s="115">
        <v>10</v>
      </c>
      <c r="D500" s="2" t="s">
        <v>432</v>
      </c>
      <c r="E500" s="115"/>
      <c r="F500" s="18">
        <v>149625</v>
      </c>
      <c r="G500" s="18">
        <v>282006.37</v>
      </c>
      <c r="H500" s="18">
        <v>114065.66</v>
      </c>
      <c r="I500" s="18">
        <v>145575</v>
      </c>
      <c r="J500" s="18"/>
      <c r="K500" s="53">
        <f t="shared" si="35"/>
        <v>691272.03</v>
      </c>
      <c r="L500" s="24" t="s">
        <v>288</v>
      </c>
      <c r="N500" s="265"/>
    </row>
    <row r="501" spans="1:14" s="52" customFormat="1" ht="12.2" customHeight="1" thickTop="1" x14ac:dyDescent="0.2">
      <c r="A501" s="139" t="s">
        <v>624</v>
      </c>
      <c r="B501" s="44">
        <v>20</v>
      </c>
      <c r="C501" s="195">
        <v>11</v>
      </c>
      <c r="D501" s="39" t="s">
        <v>432</v>
      </c>
      <c r="E501" s="195"/>
      <c r="F501" s="42">
        <f>SUM(F499:F500)</f>
        <v>2144625</v>
      </c>
      <c r="G501" s="42">
        <f>SUM(G499:G500)</f>
        <v>2652006.37</v>
      </c>
      <c r="H501" s="42">
        <f>SUM(H499:H500)</f>
        <v>1779065.66</v>
      </c>
      <c r="I501" s="42">
        <f>SUM(I499:I500)</f>
        <v>2090575</v>
      </c>
      <c r="J501" s="42">
        <f>SUM(J499:J500)</f>
        <v>0</v>
      </c>
      <c r="K501" s="42">
        <f t="shared" si="35"/>
        <v>8666272.0300000012</v>
      </c>
      <c r="L501" s="45" t="s">
        <v>288</v>
      </c>
      <c r="N501" s="265"/>
    </row>
    <row r="502" spans="1:14" s="52" customFormat="1" ht="12.2" customHeight="1" x14ac:dyDescent="0.2">
      <c r="A502" s="200" t="s">
        <v>651</v>
      </c>
      <c r="B502" s="201">
        <v>20</v>
      </c>
      <c r="C502" s="202">
        <v>12</v>
      </c>
      <c r="D502" s="203" t="s">
        <v>432</v>
      </c>
      <c r="E502" s="202"/>
      <c r="F502" s="204">
        <v>665000</v>
      </c>
      <c r="G502" s="204">
        <v>275000</v>
      </c>
      <c r="H502" s="204">
        <v>290000</v>
      </c>
      <c r="I502" s="204">
        <v>390000</v>
      </c>
      <c r="J502" s="204"/>
      <c r="K502" s="205">
        <f t="shared" si="35"/>
        <v>1620000</v>
      </c>
      <c r="L502" s="206" t="s">
        <v>288</v>
      </c>
      <c r="N502" s="265"/>
    </row>
    <row r="503" spans="1:14" s="52" customFormat="1" ht="12.2" customHeight="1" thickBot="1" x14ac:dyDescent="0.25">
      <c r="A503" s="22" t="s">
        <v>625</v>
      </c>
      <c r="B503" s="75">
        <v>20</v>
      </c>
      <c r="C503" s="115">
        <v>13</v>
      </c>
      <c r="D503" s="2" t="s">
        <v>432</v>
      </c>
      <c r="E503" s="115"/>
      <c r="F503" s="18">
        <v>83125</v>
      </c>
      <c r="G503" s="18">
        <v>60127.03</v>
      </c>
      <c r="H503" s="18">
        <v>34493.760000000002</v>
      </c>
      <c r="I503" s="18">
        <v>52500</v>
      </c>
      <c r="J503" s="18"/>
      <c r="K503" s="53">
        <f t="shared" si="35"/>
        <v>230245.79</v>
      </c>
      <c r="L503" s="24" t="s">
        <v>288</v>
      </c>
      <c r="N503" s="265"/>
    </row>
    <row r="504" spans="1:14" s="52" customFormat="1" ht="12.2" customHeight="1" thickTop="1" x14ac:dyDescent="0.2">
      <c r="A504" s="139" t="s">
        <v>626</v>
      </c>
      <c r="B504" s="44">
        <v>20</v>
      </c>
      <c r="C504" s="195">
        <v>14</v>
      </c>
      <c r="D504" s="39" t="s">
        <v>432</v>
      </c>
      <c r="E504" s="195"/>
      <c r="F504" s="42">
        <f>SUM(F502:F503)</f>
        <v>748125</v>
      </c>
      <c r="G504" s="42">
        <f>SUM(G502:G503)</f>
        <v>335127.03000000003</v>
      </c>
      <c r="H504" s="42">
        <f>SUM(H502:H503)</f>
        <v>324493.76</v>
      </c>
      <c r="I504" s="42">
        <f>SUM(I502:I503)</f>
        <v>442500</v>
      </c>
      <c r="J504" s="42">
        <f>SUM(J502:J503)</f>
        <v>0</v>
      </c>
      <c r="K504" s="42">
        <f t="shared" si="35"/>
        <v>1850245.79</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4194873</v>
      </c>
      <c r="G508" s="144">
        <v>589735</v>
      </c>
      <c r="H508" s="144">
        <v>694773</v>
      </c>
      <c r="I508" s="144">
        <v>4089835</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34154.4+84737.82+23333.44+26957.7+86474.69+30352.14+419051.64+602418.63+191755.97+255172.21+334395.71+329617.1+491317.76+233807.27+487129.06+219734.06+352209.46+135719.69+39634.66+70334.35+98636.73+58993.41+11640.81+110655.62+24841.27+17713.33+19250.95+177122.66+0.02</f>
        <v>4967162.5600000005</v>
      </c>
      <c r="G522" s="18">
        <f>F522*0.5005</f>
        <v>2486064.8612799998</v>
      </c>
      <c r="H522" s="18">
        <f>874037.21+7662.79+0.01</f>
        <v>881700.01</v>
      </c>
      <c r="I522" s="18">
        <f>4885.5+68.83+1422.46+8455.91+3766.51+1234.94+2659.14+1377.18+397.51+9113.27</f>
        <v>33381.25</v>
      </c>
      <c r="J522" s="18">
        <f>466.5+9418.77+1521.71+1468.29+25592.57</f>
        <v>38467.839999999997</v>
      </c>
      <c r="K522" s="18">
        <f>682.49+230+205+205</f>
        <v>1322.49</v>
      </c>
      <c r="L522" s="88">
        <f>SUM(F522:K522)</f>
        <v>8408099.0112800002</v>
      </c>
      <c r="N522" s="265"/>
    </row>
    <row r="523" spans="1:14" s="52" customFormat="1" ht="12.2" customHeight="1" x14ac:dyDescent="0.2">
      <c r="A523" s="22" t="s">
        <v>634</v>
      </c>
      <c r="B523" s="105">
        <v>21</v>
      </c>
      <c r="C523" s="115">
        <v>2</v>
      </c>
      <c r="D523" s="2" t="s">
        <v>432</v>
      </c>
      <c r="E523" s="115"/>
      <c r="F523" s="18">
        <f>97403.54+30384.45+961901.84+470485.59+91955.49+28483.1+88192.76</f>
        <v>1768806.7700000003</v>
      </c>
      <c r="G523" s="18">
        <f t="shared" ref="G523:G524" si="36">F523*0.5005</f>
        <v>885287.78838500008</v>
      </c>
      <c r="H523" s="18">
        <f>158362.06+4276.91</f>
        <v>162638.97</v>
      </c>
      <c r="I523" s="18">
        <f>4814.62+4981.37</f>
        <v>9795.99</v>
      </c>
      <c r="J523" s="18">
        <f>179</f>
        <v>179</v>
      </c>
      <c r="K523" s="18"/>
      <c r="L523" s="88">
        <f>SUM(F523:K523)</f>
        <v>2826708.518385001</v>
      </c>
      <c r="N523" s="265"/>
    </row>
    <row r="524" spans="1:14" s="52" customFormat="1" ht="12.2" customHeight="1" thickBot="1" x14ac:dyDescent="0.25">
      <c r="A524" s="22" t="s">
        <v>635</v>
      </c>
      <c r="B524" s="105">
        <v>21</v>
      </c>
      <c r="C524" s="115">
        <v>3</v>
      </c>
      <c r="D524" s="2" t="s">
        <v>432</v>
      </c>
      <c r="E524" s="115"/>
      <c r="F524" s="18">
        <f>82053.27+31103.99+1157637.75+321425.7+362026.86+18788.69+46996.03</f>
        <v>2020032.2899999998</v>
      </c>
      <c r="G524" s="18">
        <f t="shared" si="36"/>
        <v>1011026.1611449998</v>
      </c>
      <c r="H524" s="18">
        <f>17778.43+11985+639683.48+2456.42+5880.75</f>
        <v>677784.08000000007</v>
      </c>
      <c r="I524" s="18">
        <f>7848.34+7158.5</f>
        <v>15006.84</v>
      </c>
      <c r="J524" s="18">
        <f>8054.76</f>
        <v>8054.76</v>
      </c>
      <c r="K524" s="18"/>
      <c r="L524" s="88">
        <f>SUM(F524:K524)</f>
        <v>3731904.1311449995</v>
      </c>
      <c r="N524" s="265"/>
    </row>
    <row r="525" spans="1:14" s="52" customFormat="1" ht="12.2" customHeight="1" thickTop="1" x14ac:dyDescent="0.2">
      <c r="A525" s="139" t="s">
        <v>63</v>
      </c>
      <c r="B525" s="107">
        <v>21</v>
      </c>
      <c r="C525" s="195">
        <v>4</v>
      </c>
      <c r="D525" s="196" t="s">
        <v>432</v>
      </c>
      <c r="E525" s="195"/>
      <c r="F525" s="108">
        <f>SUM(F522:F524)</f>
        <v>8756001.620000001</v>
      </c>
      <c r="G525" s="108">
        <f t="shared" ref="G525:L525" si="37">SUM(G522:G524)</f>
        <v>4382378.8108099997</v>
      </c>
      <c r="H525" s="108">
        <f t="shared" si="37"/>
        <v>1722123.06</v>
      </c>
      <c r="I525" s="108">
        <f t="shared" si="37"/>
        <v>58184.08</v>
      </c>
      <c r="J525" s="108">
        <f t="shared" si="37"/>
        <v>46701.599999999999</v>
      </c>
      <c r="K525" s="108">
        <f t="shared" si="37"/>
        <v>1322.49</v>
      </c>
      <c r="L525" s="89">
        <f t="shared" si="37"/>
        <v>14966711.660810001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72521.02+223702.42+73890.18+100655.4+210057.62+1772.5+15710.01+17130.74+30101.19+765352.28</f>
        <v>1510893.3599999999</v>
      </c>
      <c r="G527" s="18">
        <f>F527*0.5005</f>
        <v>756202.12667999987</v>
      </c>
      <c r="H527" s="18">
        <f>210+66209.86</f>
        <v>66419.86</v>
      </c>
      <c r="I527" s="18">
        <f>28735.51</f>
        <v>28735.51</v>
      </c>
      <c r="J527" s="18"/>
      <c r="K527" s="18"/>
      <c r="L527" s="88">
        <f>SUM(F527:K527)</f>
        <v>2362250.8566799993</v>
      </c>
      <c r="M527" s="8"/>
      <c r="N527" s="266"/>
    </row>
    <row r="528" spans="1:14" s="3" customFormat="1" ht="12.2" customHeight="1" x14ac:dyDescent="0.15">
      <c r="A528" s="22" t="s">
        <v>634</v>
      </c>
      <c r="B528" s="105">
        <v>21</v>
      </c>
      <c r="C528" s="115">
        <v>6</v>
      </c>
      <c r="D528" s="2" t="s">
        <v>432</v>
      </c>
      <c r="E528" s="115"/>
      <c r="F528" s="18">
        <f>115322.44+173860.36</f>
        <v>289182.8</v>
      </c>
      <c r="G528" s="18">
        <f t="shared" ref="G528:G529" si="38">F528*0.5005</f>
        <v>144735.99139999997</v>
      </c>
      <c r="H528" s="18">
        <f>119055.25</f>
        <v>119055.25</v>
      </c>
      <c r="I528" s="18">
        <f>16038.42</f>
        <v>16038.42</v>
      </c>
      <c r="J528" s="18"/>
      <c r="K528" s="18"/>
      <c r="L528" s="88">
        <f>SUM(F528:K528)</f>
        <v>569012.46140000003</v>
      </c>
      <c r="M528" s="8"/>
      <c r="N528" s="266"/>
    </row>
    <row r="529" spans="1:14" s="3" customFormat="1" ht="12.2" customHeight="1" thickBot="1" x14ac:dyDescent="0.2">
      <c r="A529" s="22" t="s">
        <v>635</v>
      </c>
      <c r="B529" s="118">
        <v>21</v>
      </c>
      <c r="C529" s="118">
        <v>7</v>
      </c>
      <c r="D529" s="2" t="s">
        <v>432</v>
      </c>
      <c r="E529" s="118"/>
      <c r="F529" s="18">
        <f>75346.18+50031.02+223534.86</f>
        <v>348912.05999999994</v>
      </c>
      <c r="G529" s="18">
        <f t="shared" si="38"/>
        <v>174630.48602999994</v>
      </c>
      <c r="H529" s="18">
        <f>146772.33</f>
        <v>146772.32999999999</v>
      </c>
      <c r="I529" s="18">
        <f>22052.83</f>
        <v>22052.83</v>
      </c>
      <c r="J529" s="18"/>
      <c r="K529" s="18"/>
      <c r="L529" s="88">
        <f>SUM(F529:K529)</f>
        <v>692367.70602999977</v>
      </c>
      <c r="M529" s="8"/>
      <c r="N529" s="266"/>
    </row>
    <row r="530" spans="1:14" s="3" customFormat="1" ht="12.2" customHeight="1" thickTop="1" x14ac:dyDescent="0.15">
      <c r="A530" s="139" t="s">
        <v>65</v>
      </c>
      <c r="B530" s="107">
        <v>21</v>
      </c>
      <c r="C530" s="107">
        <v>8</v>
      </c>
      <c r="D530" s="158" t="s">
        <v>432</v>
      </c>
      <c r="E530" s="107"/>
      <c r="F530" s="89">
        <f>SUM(F527:F529)</f>
        <v>2148988.2199999997</v>
      </c>
      <c r="G530" s="89">
        <f t="shared" ref="G530:L530" si="39">SUM(G527:G529)</f>
        <v>1075568.6041099997</v>
      </c>
      <c r="H530" s="89">
        <f t="shared" si="39"/>
        <v>332247.43999999994</v>
      </c>
      <c r="I530" s="89">
        <f t="shared" si="39"/>
        <v>66826.760000000009</v>
      </c>
      <c r="J530" s="89">
        <f t="shared" si="39"/>
        <v>0</v>
      </c>
      <c r="K530" s="89">
        <f t="shared" si="39"/>
        <v>0</v>
      </c>
      <c r="L530" s="89">
        <f t="shared" si="39"/>
        <v>3623631.0241099987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99958.79</f>
        <v>99958.79</v>
      </c>
      <c r="G532" s="18">
        <f>F532*0.5005</f>
        <v>50029.374394999992</v>
      </c>
      <c r="H532" s="18">
        <f>1553.16</f>
        <v>1553.16</v>
      </c>
      <c r="I532" s="18"/>
      <c r="J532" s="18"/>
      <c r="K532" s="18"/>
      <c r="L532" s="88">
        <f>SUM(F532:K532)</f>
        <v>151541.32439499997</v>
      </c>
      <c r="M532" s="8"/>
      <c r="N532" s="266"/>
    </row>
    <row r="533" spans="1:14" s="3" customFormat="1" ht="12.2" customHeight="1" x14ac:dyDescent="0.15">
      <c r="A533" s="22" t="s">
        <v>634</v>
      </c>
      <c r="B533" s="105">
        <v>21</v>
      </c>
      <c r="C533" s="105">
        <v>10</v>
      </c>
      <c r="D533" s="2" t="s">
        <v>432</v>
      </c>
      <c r="E533" s="105"/>
      <c r="F533" s="18">
        <f>55790.95</f>
        <v>55790.95</v>
      </c>
      <c r="G533" s="18">
        <f t="shared" ref="G533:G534" si="40">F533*0.5005</f>
        <v>27923.370474999996</v>
      </c>
      <c r="H533" s="18">
        <f>866.88</f>
        <v>866.88</v>
      </c>
      <c r="I533" s="18"/>
      <c r="J533" s="18"/>
      <c r="K533" s="18"/>
      <c r="L533" s="88">
        <f>SUM(F533:K533)</f>
        <v>84581.200474999991</v>
      </c>
      <c r="M533" s="8"/>
      <c r="N533" s="266"/>
    </row>
    <row r="534" spans="1:14" s="3" customFormat="1" ht="12.2" customHeight="1" thickBot="1" x14ac:dyDescent="0.2">
      <c r="A534" s="22" t="s">
        <v>635</v>
      </c>
      <c r="B534" s="105">
        <v>21</v>
      </c>
      <c r="C534" s="105">
        <v>11</v>
      </c>
      <c r="D534" s="2" t="s">
        <v>432</v>
      </c>
      <c r="E534" s="105"/>
      <c r="F534" s="18">
        <f>76712.56</f>
        <v>76712.56</v>
      </c>
      <c r="G534" s="18">
        <f t="shared" si="40"/>
        <v>38394.636279999992</v>
      </c>
      <c r="H534" s="18">
        <f>1191.96</f>
        <v>1191.96</v>
      </c>
      <c r="I534" s="18"/>
      <c r="J534" s="18"/>
      <c r="K534" s="18"/>
      <c r="L534" s="88">
        <f>SUM(F534:K534)</f>
        <v>116299.15628</v>
      </c>
      <c r="M534" s="8"/>
      <c r="N534" s="266"/>
    </row>
    <row r="535" spans="1:14" s="3" customFormat="1" ht="12.2" customHeight="1" thickTop="1" x14ac:dyDescent="0.15">
      <c r="A535" s="139" t="s">
        <v>67</v>
      </c>
      <c r="B535" s="107">
        <v>21</v>
      </c>
      <c r="C535" s="107">
        <v>12</v>
      </c>
      <c r="D535" s="158" t="s">
        <v>432</v>
      </c>
      <c r="E535" s="107"/>
      <c r="F535" s="89">
        <f>SUM(F532:F534)</f>
        <v>232462.3</v>
      </c>
      <c r="G535" s="89">
        <f t="shared" ref="G535:L535" si="41">SUM(G532:G534)</f>
        <v>116347.38114999999</v>
      </c>
      <c r="H535" s="89">
        <f t="shared" si="41"/>
        <v>3612</v>
      </c>
      <c r="I535" s="89">
        <f t="shared" si="41"/>
        <v>0</v>
      </c>
      <c r="J535" s="89">
        <f t="shared" si="41"/>
        <v>0</v>
      </c>
      <c r="K535" s="89">
        <f t="shared" si="41"/>
        <v>0</v>
      </c>
      <c r="L535" s="89">
        <f t="shared" si="41"/>
        <v>352421.68114999996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13678.74</v>
      </c>
      <c r="I537" s="18"/>
      <c r="J537" s="18"/>
      <c r="K537" s="18"/>
      <c r="L537" s="88">
        <f>SUM(F537:K537)</f>
        <v>13678.74</v>
      </c>
      <c r="M537" s="8"/>
      <c r="N537" s="266"/>
    </row>
    <row r="538" spans="1:14" s="3" customFormat="1" ht="12.2" customHeight="1" x14ac:dyDescent="0.15">
      <c r="A538" s="22" t="s">
        <v>634</v>
      </c>
      <c r="B538" s="105">
        <v>21</v>
      </c>
      <c r="C538" s="105">
        <v>14</v>
      </c>
      <c r="D538" s="2" t="s">
        <v>432</v>
      </c>
      <c r="E538" s="105"/>
      <c r="F538" s="18"/>
      <c r="G538" s="18"/>
      <c r="H538" s="18">
        <v>7634.64</v>
      </c>
      <c r="I538" s="18"/>
      <c r="J538" s="18"/>
      <c r="K538" s="18"/>
      <c r="L538" s="88">
        <f>SUM(F538:K538)</f>
        <v>7634.64</v>
      </c>
      <c r="M538" s="8"/>
      <c r="N538" s="266"/>
    </row>
    <row r="539" spans="1:14" s="3" customFormat="1" ht="12.2" customHeight="1" thickBot="1" x14ac:dyDescent="0.2">
      <c r="A539" s="22" t="s">
        <v>635</v>
      </c>
      <c r="B539" s="105">
        <v>21</v>
      </c>
      <c r="C539" s="105">
        <v>15</v>
      </c>
      <c r="D539" s="2" t="s">
        <v>432</v>
      </c>
      <c r="E539" s="105"/>
      <c r="F539" s="18"/>
      <c r="G539" s="18"/>
      <c r="H539" s="18">
        <v>10497.64</v>
      </c>
      <c r="I539" s="18"/>
      <c r="J539" s="18"/>
      <c r="K539" s="18"/>
      <c r="L539" s="88">
        <f>SUM(F539:K539)</f>
        <v>10497.64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31811.02</v>
      </c>
      <c r="I540" s="89">
        <f t="shared" si="42"/>
        <v>0</v>
      </c>
      <c r="J540" s="89">
        <f t="shared" si="42"/>
        <v>0</v>
      </c>
      <c r="K540" s="89">
        <f t="shared" si="42"/>
        <v>0</v>
      </c>
      <c r="L540" s="89">
        <f t="shared" si="42"/>
        <v>31811.02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1024005.36</v>
      </c>
      <c r="I542" s="18"/>
      <c r="J542" s="18"/>
      <c r="K542" s="18"/>
      <c r="L542" s="88">
        <f>SUM(F542:K542)</f>
        <v>1024005.36</v>
      </c>
      <c r="M542" s="8"/>
      <c r="N542" s="266"/>
    </row>
    <row r="543" spans="1:14" s="3" customFormat="1" ht="12.2" customHeight="1" x14ac:dyDescent="0.15">
      <c r="A543" s="22" t="s">
        <v>634</v>
      </c>
      <c r="B543" s="105">
        <v>21</v>
      </c>
      <c r="C543" s="105">
        <v>18</v>
      </c>
      <c r="D543" s="2" t="s">
        <v>432</v>
      </c>
      <c r="E543" s="105"/>
      <c r="F543" s="18"/>
      <c r="G543" s="18"/>
      <c r="H543" s="18">
        <v>136534.04999999999</v>
      </c>
      <c r="I543" s="18"/>
      <c r="J543" s="18"/>
      <c r="K543" s="18"/>
      <c r="L543" s="88">
        <f>SUM(F543:K543)</f>
        <v>136534.04999999999</v>
      </c>
      <c r="M543" s="8"/>
      <c r="N543" s="266"/>
    </row>
    <row r="544" spans="1:14" s="3" customFormat="1" ht="12.2" customHeight="1" thickBot="1" x14ac:dyDescent="0.2">
      <c r="A544" s="22" t="s">
        <v>635</v>
      </c>
      <c r="B544" s="105">
        <v>21</v>
      </c>
      <c r="C544" s="105">
        <v>19</v>
      </c>
      <c r="D544" s="2" t="s">
        <v>432</v>
      </c>
      <c r="E544" s="105"/>
      <c r="F544" s="18"/>
      <c r="G544" s="18"/>
      <c r="H544" s="18">
        <v>204801.07</v>
      </c>
      <c r="I544" s="18"/>
      <c r="J544" s="18"/>
      <c r="K544" s="18"/>
      <c r="L544" s="88">
        <f>SUM(F544:K544)</f>
        <v>204801.07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3">SUM(G542:G544)</f>
        <v>0</v>
      </c>
      <c r="H545" s="193">
        <f t="shared" si="43"/>
        <v>1365340.48</v>
      </c>
      <c r="I545" s="193">
        <f t="shared" si="43"/>
        <v>0</v>
      </c>
      <c r="J545" s="193">
        <f t="shared" si="43"/>
        <v>0</v>
      </c>
      <c r="K545" s="193">
        <f t="shared" si="43"/>
        <v>0</v>
      </c>
      <c r="L545" s="193">
        <f t="shared" si="43"/>
        <v>1365340.48</v>
      </c>
      <c r="M545" s="8"/>
      <c r="N545" s="266"/>
    </row>
    <row r="546" spans="1:14" s="3" customFormat="1" ht="12.2" customHeight="1" thickTop="1" x14ac:dyDescent="0.15">
      <c r="A546" s="98" t="s">
        <v>72</v>
      </c>
      <c r="B546" s="107">
        <v>21</v>
      </c>
      <c r="C546" s="107">
        <v>21</v>
      </c>
      <c r="D546" s="158" t="s">
        <v>432</v>
      </c>
      <c r="E546" s="107"/>
      <c r="F546" s="89">
        <f>F525+F530+F535+F540+F545</f>
        <v>11137452.140000001</v>
      </c>
      <c r="G546" s="89">
        <f t="shared" ref="G546:L546" si="44">G525+G530+G535+G540+G545</f>
        <v>5574294.7960699992</v>
      </c>
      <c r="H546" s="89">
        <f t="shared" si="44"/>
        <v>3455134</v>
      </c>
      <c r="I546" s="89">
        <f t="shared" si="44"/>
        <v>125010.84000000001</v>
      </c>
      <c r="J546" s="89">
        <f t="shared" si="44"/>
        <v>46701.599999999999</v>
      </c>
      <c r="K546" s="89">
        <f t="shared" si="44"/>
        <v>1322.49</v>
      </c>
      <c r="L546" s="89">
        <f t="shared" si="44"/>
        <v>20339915.866069999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8408099.0112800002</v>
      </c>
      <c r="G550" s="87">
        <f>L527</f>
        <v>2362250.8566799993</v>
      </c>
      <c r="H550" s="87">
        <f>L532</f>
        <v>151541.32439499997</v>
      </c>
      <c r="I550" s="87">
        <f>L537</f>
        <v>13678.74</v>
      </c>
      <c r="J550" s="87">
        <f>L542</f>
        <v>1024005.36</v>
      </c>
      <c r="K550" s="87">
        <f>SUM(F550:J550)</f>
        <v>11959575.292354997</v>
      </c>
      <c r="L550" s="24" t="s">
        <v>288</v>
      </c>
      <c r="M550" s="8"/>
      <c r="N550" s="266"/>
    </row>
    <row r="551" spans="1:14" s="3" customFormat="1" ht="12.2" customHeight="1" x14ac:dyDescent="0.15">
      <c r="A551" s="22" t="s">
        <v>634</v>
      </c>
      <c r="B551" s="75">
        <v>21</v>
      </c>
      <c r="C551" s="75">
        <v>23</v>
      </c>
      <c r="D551" s="2" t="s">
        <v>432</v>
      </c>
      <c r="E551" s="75"/>
      <c r="F551" s="87">
        <f>L523</f>
        <v>2826708.518385001</v>
      </c>
      <c r="G551" s="87">
        <f>L528</f>
        <v>569012.46140000003</v>
      </c>
      <c r="H551" s="87">
        <f>L533</f>
        <v>84581.200474999991</v>
      </c>
      <c r="I551" s="87">
        <f>L538</f>
        <v>7634.64</v>
      </c>
      <c r="J551" s="87">
        <f>L543</f>
        <v>136534.04999999999</v>
      </c>
      <c r="K551" s="87">
        <f>SUM(F551:J551)</f>
        <v>3624470.8702600007</v>
      </c>
      <c r="L551" s="24" t="s">
        <v>288</v>
      </c>
      <c r="M551" s="8"/>
      <c r="N551" s="266"/>
    </row>
    <row r="552" spans="1:14" s="3" customFormat="1" ht="12.2" customHeight="1" thickBot="1" x14ac:dyDescent="0.2">
      <c r="A552" s="22" t="s">
        <v>635</v>
      </c>
      <c r="B552" s="75">
        <v>21</v>
      </c>
      <c r="C552" s="75">
        <v>24</v>
      </c>
      <c r="D552" s="2" t="s">
        <v>432</v>
      </c>
      <c r="E552" s="75"/>
      <c r="F552" s="87">
        <f>L524</f>
        <v>3731904.1311449995</v>
      </c>
      <c r="G552" s="87">
        <f>L529</f>
        <v>692367.70602999977</v>
      </c>
      <c r="H552" s="87">
        <f>L534</f>
        <v>116299.15628</v>
      </c>
      <c r="I552" s="87">
        <f>L539</f>
        <v>10497.64</v>
      </c>
      <c r="J552" s="87">
        <f>L544</f>
        <v>204801.07</v>
      </c>
      <c r="K552" s="87">
        <f>SUM(F552:J552)</f>
        <v>4755869.7034549993</v>
      </c>
      <c r="L552" s="24" t="s">
        <v>288</v>
      </c>
      <c r="M552" s="8"/>
      <c r="N552" s="266"/>
    </row>
    <row r="553" spans="1:14" s="3" customFormat="1" ht="12.2" customHeight="1" thickTop="1" x14ac:dyDescent="0.15">
      <c r="A553" s="172" t="s">
        <v>340</v>
      </c>
      <c r="B553" s="44">
        <v>21</v>
      </c>
      <c r="C553" s="44">
        <v>25</v>
      </c>
      <c r="D553" s="39" t="s">
        <v>432</v>
      </c>
      <c r="E553" s="44"/>
      <c r="F553" s="89">
        <f t="shared" ref="F553:K553" si="45">SUM(F550:F552)</f>
        <v>14966711.660810001</v>
      </c>
      <c r="G553" s="89">
        <f t="shared" si="45"/>
        <v>3623631.0241099987</v>
      </c>
      <c r="H553" s="89">
        <f t="shared" si="45"/>
        <v>352421.68114999996</v>
      </c>
      <c r="I553" s="89">
        <f t="shared" si="45"/>
        <v>31811.02</v>
      </c>
      <c r="J553" s="89">
        <f t="shared" si="45"/>
        <v>1365340.48</v>
      </c>
      <c r="K553" s="89">
        <f t="shared" si="45"/>
        <v>20339915.866069995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61930.96</v>
      </c>
      <c r="G563" s="18">
        <f>F563*0.5005</f>
        <v>30996.445479999995</v>
      </c>
      <c r="H563" s="18"/>
      <c r="I563" s="18">
        <f>230.36*0.44</f>
        <v>101.3584</v>
      </c>
      <c r="J563" s="18"/>
      <c r="K563" s="18"/>
      <c r="L563" s="88">
        <f>SUM(F563:K563)</f>
        <v>93028.763879999984</v>
      </c>
      <c r="M563" s="8"/>
      <c r="N563" s="266"/>
    </row>
    <row r="564" spans="1:14" s="3" customFormat="1" ht="12.2" customHeight="1" x14ac:dyDescent="0.15">
      <c r="A564" s="22" t="s">
        <v>634</v>
      </c>
      <c r="B564" s="105">
        <v>22</v>
      </c>
      <c r="C564" s="115">
        <v>6</v>
      </c>
      <c r="D564" s="2" t="s">
        <v>432</v>
      </c>
      <c r="E564" s="115"/>
      <c r="F564" s="18">
        <v>41777.06</v>
      </c>
      <c r="G564" s="18">
        <f t="shared" ref="G564:G565" si="47">F564*0.5005</f>
        <v>20909.418529999995</v>
      </c>
      <c r="H564" s="18"/>
      <c r="I564" s="18">
        <f>230.36*0.22</f>
        <v>50.679200000000002</v>
      </c>
      <c r="J564" s="18"/>
      <c r="K564" s="18"/>
      <c r="L564" s="88">
        <f>SUM(F564:K564)</f>
        <v>62737.157729999992</v>
      </c>
      <c r="M564" s="8"/>
      <c r="N564" s="266"/>
    </row>
    <row r="565" spans="1:14" s="3" customFormat="1" ht="12.2" customHeight="1" thickBot="1" x14ac:dyDescent="0.2">
      <c r="A565" s="22" t="s">
        <v>635</v>
      </c>
      <c r="B565" s="105">
        <v>22</v>
      </c>
      <c r="C565" s="118">
        <v>7</v>
      </c>
      <c r="D565" s="2" t="s">
        <v>432</v>
      </c>
      <c r="E565" s="118"/>
      <c r="F565" s="18">
        <v>48117.919999999998</v>
      </c>
      <c r="G565" s="18">
        <f t="shared" si="47"/>
        <v>24083.018959999998</v>
      </c>
      <c r="H565" s="18"/>
      <c r="I565" s="18">
        <f>230.36*0.34</f>
        <v>78.322400000000016</v>
      </c>
      <c r="J565" s="18"/>
      <c r="K565" s="18"/>
      <c r="L565" s="88">
        <f>SUM(F565:K565)</f>
        <v>72279.261360000004</v>
      </c>
      <c r="M565" s="8"/>
      <c r="N565" s="266"/>
    </row>
    <row r="566" spans="1:14" s="3" customFormat="1" ht="12.2" customHeight="1" thickTop="1" x14ac:dyDescent="0.15">
      <c r="A566" s="139" t="s">
        <v>65</v>
      </c>
      <c r="B566" s="107">
        <v>22</v>
      </c>
      <c r="C566" s="107">
        <v>8</v>
      </c>
      <c r="D566" s="196" t="s">
        <v>432</v>
      </c>
      <c r="E566" s="107"/>
      <c r="F566" s="89">
        <f t="shared" ref="F566:L566" si="48">SUM(F563:F565)</f>
        <v>151825.94</v>
      </c>
      <c r="G566" s="89">
        <f t="shared" si="48"/>
        <v>75988.882969999991</v>
      </c>
      <c r="H566" s="89">
        <f t="shared" si="48"/>
        <v>0</v>
      </c>
      <c r="I566" s="89">
        <f t="shared" si="48"/>
        <v>230.36</v>
      </c>
      <c r="J566" s="89">
        <f t="shared" si="48"/>
        <v>0</v>
      </c>
      <c r="K566" s="89">
        <f t="shared" si="48"/>
        <v>0</v>
      </c>
      <c r="L566" s="89">
        <f t="shared" si="48"/>
        <v>228045.18296999997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f>5619.5+367461.24</f>
        <v>373080.74</v>
      </c>
      <c r="G568" s="18">
        <f>F568*0.5005</f>
        <v>186726.91036999997</v>
      </c>
      <c r="H568" s="18"/>
      <c r="I568" s="18">
        <f>438.18</f>
        <v>438.18</v>
      </c>
      <c r="J568" s="18"/>
      <c r="K568" s="18">
        <f>371.25</f>
        <v>371.25</v>
      </c>
      <c r="L568" s="88">
        <f>SUM(F568:K568)</f>
        <v>560617.08036999998</v>
      </c>
      <c r="M568" s="8"/>
      <c r="N568" s="266"/>
    </row>
    <row r="569" spans="1:14" s="3" customFormat="1" ht="12.2" customHeight="1" x14ac:dyDescent="0.15">
      <c r="A569" s="22" t="s">
        <v>634</v>
      </c>
      <c r="B569" s="105">
        <v>22</v>
      </c>
      <c r="C569" s="105">
        <v>10</v>
      </c>
      <c r="D569" s="2" t="s">
        <v>432</v>
      </c>
      <c r="E569" s="105"/>
      <c r="F569" s="18">
        <f>5619.5+133746.2</f>
        <v>139365.70000000001</v>
      </c>
      <c r="G569" s="18">
        <f>F569*0.5005</f>
        <v>69752.532850000003</v>
      </c>
      <c r="H569" s="18"/>
      <c r="I569" s="18">
        <f>438.17+2623.34</f>
        <v>3061.51</v>
      </c>
      <c r="J569" s="18"/>
      <c r="K569" s="18">
        <f>371.25</f>
        <v>371.25</v>
      </c>
      <c r="L569" s="88">
        <f>SUM(F569:K569)</f>
        <v>212550.99285000004</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512446.44</v>
      </c>
      <c r="G571" s="193">
        <f t="shared" ref="G571:L571" si="49">SUM(G568:G570)</f>
        <v>256479.44321999996</v>
      </c>
      <c r="H571" s="193">
        <f t="shared" si="49"/>
        <v>0</v>
      </c>
      <c r="I571" s="193">
        <f t="shared" si="49"/>
        <v>3499.69</v>
      </c>
      <c r="J571" s="193">
        <f t="shared" si="49"/>
        <v>0</v>
      </c>
      <c r="K571" s="193">
        <f t="shared" si="49"/>
        <v>742.5</v>
      </c>
      <c r="L571" s="193">
        <f t="shared" si="49"/>
        <v>773168.07322000002</v>
      </c>
      <c r="M571" s="8"/>
      <c r="N571" s="266"/>
    </row>
    <row r="572" spans="1:14" s="3" customFormat="1" ht="12.2" customHeight="1" thickTop="1" x14ac:dyDescent="0.15">
      <c r="A572" s="98" t="s">
        <v>88</v>
      </c>
      <c r="B572" s="107">
        <v>22</v>
      </c>
      <c r="C572" s="107">
        <v>13</v>
      </c>
      <c r="D572" s="158" t="s">
        <v>432</v>
      </c>
      <c r="E572" s="107"/>
      <c r="F572" s="89">
        <f>F561+F566+F571</f>
        <v>664272.38</v>
      </c>
      <c r="G572" s="89">
        <f t="shared" ref="G572:L572" si="50">G561+G566+G571</f>
        <v>332468.32618999993</v>
      </c>
      <c r="H572" s="89">
        <f t="shared" si="50"/>
        <v>0</v>
      </c>
      <c r="I572" s="89">
        <f t="shared" si="50"/>
        <v>3730.05</v>
      </c>
      <c r="J572" s="89">
        <f t="shared" si="50"/>
        <v>0</v>
      </c>
      <c r="K572" s="89">
        <f t="shared" si="50"/>
        <v>742.5</v>
      </c>
      <c r="L572" s="89">
        <f t="shared" si="50"/>
        <v>1001213.25619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11985</v>
      </c>
      <c r="I580" s="87">
        <f t="shared" si="51"/>
        <v>11985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874037.21</v>
      </c>
      <c r="G583" s="18">
        <v>158362.06</v>
      </c>
      <c r="H583" s="18">
        <f>639683.48+2456.42+17778.43</f>
        <v>659918.33000000007</v>
      </c>
      <c r="I583" s="87">
        <f t="shared" si="51"/>
        <v>1692317.6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101700.35</v>
      </c>
      <c r="I585" s="87">
        <f t="shared" si="51"/>
        <v>101700.35</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997860.9</v>
      </c>
      <c r="I592" s="18">
        <v>748395.67</v>
      </c>
      <c r="J592" s="18">
        <f>748395.67-41947.2</f>
        <v>706448.47000000009</v>
      </c>
      <c r="K592" s="104">
        <f t="shared" ref="K592:K598" si="52">SUM(H592:J592)</f>
        <v>2452705.04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1024005.36</v>
      </c>
      <c r="I593" s="18">
        <v>136534.04999999999</v>
      </c>
      <c r="J593" s="18">
        <v>204801.07</v>
      </c>
      <c r="K593" s="104">
        <f t="shared" si="52"/>
        <v>1365340.48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41947.199999999997</v>
      </c>
      <c r="K594" s="104">
        <f t="shared" si="52"/>
        <v>41947.199999999997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17111.599999999999</v>
      </c>
      <c r="J595" s="18">
        <v>64908.14</v>
      </c>
      <c r="K595" s="104">
        <f t="shared" si="52"/>
        <v>82019.739999999991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275</v>
      </c>
      <c r="J596" s="18">
        <f>273.91+13203.38</f>
        <v>13477.289999999999</v>
      </c>
      <c r="K596" s="104">
        <f t="shared" si="52"/>
        <v>13752.289999999999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2021866.26</v>
      </c>
      <c r="I599" s="108">
        <f>SUM(I592:I598)</f>
        <v>902316.32</v>
      </c>
      <c r="J599" s="108">
        <f>SUM(J592:J598)</f>
        <v>1031582.17</v>
      </c>
      <c r="K599" s="108">
        <f>SUM(K592:K598)</f>
        <v>3955764.75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290766.34+6212.67</f>
        <v>296979.01</v>
      </c>
      <c r="I605" s="18">
        <f>155689.61+1611.33</f>
        <v>157300.93999999997</v>
      </c>
      <c r="J605" s="18">
        <f>388267.25+531.66+2490.24+3001.74</f>
        <v>394290.88999999996</v>
      </c>
      <c r="K605" s="104">
        <f>SUM(H605:J605)</f>
        <v>848570.83999999985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296979.01</v>
      </c>
      <c r="I606" s="108">
        <f>SUM(I603:I605)</f>
        <v>157300.93999999997</v>
      </c>
      <c r="J606" s="108">
        <f>SUM(J603:J605)</f>
        <v>394290.88999999996</v>
      </c>
      <c r="K606" s="108">
        <f>SUM(K603:K605)</f>
        <v>848570.83999999985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256+8177.76</f>
        <v>8433.76</v>
      </c>
      <c r="G612" s="18">
        <f>F612*0.5005</f>
        <v>4221.0968800000001</v>
      </c>
      <c r="H612" s="18"/>
      <c r="I612" s="18">
        <v>163.61000000000001</v>
      </c>
      <c r="J612" s="18"/>
      <c r="K612" s="18"/>
      <c r="L612" s="88">
        <f>SUM(F612:K612)</f>
        <v>12818.46688</v>
      </c>
      <c r="M612" s="8"/>
      <c r="N612" s="266"/>
    </row>
    <row r="613" spans="1:14" s="3" customFormat="1" ht="12.2" customHeight="1" x14ac:dyDescent="0.15">
      <c r="A613" s="22" t="s">
        <v>634</v>
      </c>
      <c r="B613" s="75">
        <v>23</v>
      </c>
      <c r="C613" s="75">
        <v>14</v>
      </c>
      <c r="D613" s="2" t="s">
        <v>432</v>
      </c>
      <c r="E613" s="75"/>
      <c r="F613" s="18">
        <v>4960</v>
      </c>
      <c r="G613" s="18">
        <f t="shared" ref="G613:G614" si="53">F613*0.5005</f>
        <v>2482.4799999999996</v>
      </c>
      <c r="H613" s="18"/>
      <c r="I613" s="18"/>
      <c r="J613" s="18"/>
      <c r="K613" s="18"/>
      <c r="L613" s="88">
        <f>SUM(F613:K613)</f>
        <v>7442.48</v>
      </c>
      <c r="M613" s="8"/>
      <c r="N613" s="266"/>
    </row>
    <row r="614" spans="1:14" s="3" customFormat="1" ht="12.2" customHeight="1" thickBot="1" x14ac:dyDescent="0.2">
      <c r="A614" s="22" t="s">
        <v>645</v>
      </c>
      <c r="B614" s="75">
        <v>23</v>
      </c>
      <c r="C614" s="75">
        <v>15</v>
      </c>
      <c r="D614" s="2" t="s">
        <v>432</v>
      </c>
      <c r="E614" s="75"/>
      <c r="F614" s="18">
        <f>21537.88+5860</f>
        <v>27397.88</v>
      </c>
      <c r="G614" s="18">
        <f t="shared" si="53"/>
        <v>13712.638939999999</v>
      </c>
      <c r="H614" s="18"/>
      <c r="I614" s="18">
        <v>7527.3</v>
      </c>
      <c r="J614" s="18"/>
      <c r="K614" s="18"/>
      <c r="L614" s="88">
        <f>SUM(F614:K614)</f>
        <v>48637.818940000005</v>
      </c>
      <c r="M614" s="8"/>
      <c r="N614" s="266"/>
    </row>
    <row r="615" spans="1:14" s="3" customFormat="1" ht="12.2" customHeight="1" thickTop="1" x14ac:dyDescent="0.15">
      <c r="A615" s="98" t="s">
        <v>340</v>
      </c>
      <c r="B615" s="107">
        <v>23</v>
      </c>
      <c r="C615" s="107">
        <v>16</v>
      </c>
      <c r="D615" s="39" t="s">
        <v>432</v>
      </c>
      <c r="E615" s="107"/>
      <c r="F615" s="108">
        <f t="shared" ref="F615:L615" si="54">SUM(F612:F614)</f>
        <v>40791.64</v>
      </c>
      <c r="G615" s="108">
        <f t="shared" si="54"/>
        <v>20416.215819999998</v>
      </c>
      <c r="H615" s="108">
        <f t="shared" si="54"/>
        <v>0</v>
      </c>
      <c r="I615" s="108">
        <f t="shared" si="54"/>
        <v>7690.91</v>
      </c>
      <c r="J615" s="108">
        <f t="shared" si="54"/>
        <v>0</v>
      </c>
      <c r="K615" s="108">
        <f t="shared" si="54"/>
        <v>0</v>
      </c>
      <c r="L615" s="89">
        <f t="shared" si="54"/>
        <v>68898.765820000001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4124209.1599999997</v>
      </c>
      <c r="H618" s="109">
        <f>SUM(F52)</f>
        <v>4124209.16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256712.35</v>
      </c>
      <c r="H619" s="109">
        <f>SUM(G52)</f>
        <v>256712.35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374319.23</v>
      </c>
      <c r="H620" s="109">
        <f>SUM(H52)</f>
        <v>374319.23000000004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480250.87</v>
      </c>
      <c r="H622" s="109">
        <f>SUM(J52)</f>
        <v>480250.87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1835284.25</v>
      </c>
      <c r="H623" s="109">
        <f>F477</f>
        <v>1835284.2499999851</v>
      </c>
      <c r="I623" s="121" t="s">
        <v>101</v>
      </c>
      <c r="J623" s="109">
        <f t="shared" ref="J623:J656" si="55">G623-H623</f>
        <v>1.4901161193847656E-8</v>
      </c>
      <c r="K623" s="109"/>
      <c r="L623" s="109"/>
      <c r="M623" s="8"/>
    </row>
    <row r="624" spans="1:14" s="3" customFormat="1" ht="12.2" customHeight="1" x14ac:dyDescent="0.15">
      <c r="A624" s="97"/>
      <c r="B624" s="105"/>
      <c r="C624" s="119"/>
      <c r="D624" s="119"/>
      <c r="E624" s="119"/>
      <c r="F624" s="119" t="s">
        <v>866</v>
      </c>
      <c r="G624" s="109">
        <f>G51</f>
        <v>93974.34</v>
      </c>
      <c r="H624" s="109">
        <f>G477</f>
        <v>93974.339999999851</v>
      </c>
      <c r="I624" s="121" t="s">
        <v>102</v>
      </c>
      <c r="J624" s="109">
        <f t="shared" si="55"/>
        <v>1.4551915228366852E-10</v>
      </c>
      <c r="K624" s="109"/>
      <c r="L624" s="109"/>
      <c r="M624" s="8"/>
    </row>
    <row r="625" spans="1:13" s="3" customFormat="1" ht="12.2" customHeight="1" x14ac:dyDescent="0.15">
      <c r="A625" s="97"/>
      <c r="B625" s="105"/>
      <c r="C625" s="105"/>
      <c r="D625" s="105"/>
      <c r="E625" s="105"/>
      <c r="F625" s="120" t="s">
        <v>867</v>
      </c>
      <c r="G625" s="109">
        <f>H51</f>
        <v>23768.959999999999</v>
      </c>
      <c r="H625" s="109">
        <f>H477</f>
        <v>23768.960000000196</v>
      </c>
      <c r="I625" s="121" t="s">
        <v>103</v>
      </c>
      <c r="J625" s="109">
        <f t="shared" si="55"/>
        <v>-1.964508555829525E-10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5"/>
        <v>0</v>
      </c>
      <c r="K626" s="109"/>
      <c r="L626" s="109"/>
      <c r="M626" s="8"/>
    </row>
    <row r="627" spans="1:13" s="3" customFormat="1" ht="12.2" customHeight="1" x14ac:dyDescent="0.15">
      <c r="A627" s="22"/>
      <c r="B627" s="105"/>
      <c r="C627" s="105"/>
      <c r="D627" s="105"/>
      <c r="E627" s="105"/>
      <c r="F627" s="120" t="s">
        <v>869</v>
      </c>
      <c r="G627" s="109">
        <f>J51</f>
        <v>292988.87</v>
      </c>
      <c r="H627" s="109">
        <f>J477</f>
        <v>292988.86999999988</v>
      </c>
      <c r="I627" s="140" t="s">
        <v>105</v>
      </c>
      <c r="J627" s="109">
        <f t="shared" si="55"/>
        <v>0</v>
      </c>
      <c r="K627" s="85"/>
      <c r="L627" s="88"/>
      <c r="M627" s="8"/>
    </row>
    <row r="628" spans="1:13" s="3" customFormat="1" ht="12.2" customHeight="1" x14ac:dyDescent="0.15">
      <c r="A628" s="22"/>
      <c r="B628" s="105"/>
      <c r="C628" s="105"/>
      <c r="D628" s="105"/>
      <c r="E628" s="105"/>
      <c r="F628" s="120" t="s">
        <v>658</v>
      </c>
      <c r="G628" s="109">
        <f>F194</f>
        <v>78113322.020000011</v>
      </c>
      <c r="H628" s="104">
        <f>SUM(F469)</f>
        <v>78113322.019999996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1328004.92</v>
      </c>
      <c r="H629" s="104">
        <f>SUM(G469)</f>
        <v>1328004.92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1539784.09</v>
      </c>
      <c r="H630" s="104">
        <f>SUM(H469)</f>
        <v>1539784.09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1121873.45</v>
      </c>
      <c r="H632" s="104">
        <f>SUM(J469)</f>
        <v>1121873.45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77594355.400000006</v>
      </c>
      <c r="H633" s="104">
        <f>SUM(F473)</f>
        <v>77594355.400000006</v>
      </c>
      <c r="I633" s="140" t="s">
        <v>111</v>
      </c>
      <c r="J633" s="109">
        <f t="shared" si="55"/>
        <v>0</v>
      </c>
      <c r="K633" s="85"/>
      <c r="L633" s="88"/>
      <c r="M633" s="8"/>
    </row>
    <row r="634" spans="1:13" s="3" customFormat="1" ht="12.2" customHeight="1" x14ac:dyDescent="0.15">
      <c r="A634" s="22"/>
      <c r="B634" s="105"/>
      <c r="C634" s="105"/>
      <c r="D634" s="105"/>
      <c r="E634" s="105"/>
      <c r="F634" s="120" t="s">
        <v>395</v>
      </c>
      <c r="G634" s="109">
        <f>SUM(L353)</f>
        <v>1538917.21</v>
      </c>
      <c r="H634" s="104">
        <f>SUM(H473)</f>
        <v>1538917.21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635977.37</v>
      </c>
      <c r="H635" s="104">
        <f>I370</f>
        <v>635977.37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1336325.73</v>
      </c>
      <c r="H636" s="104">
        <f>SUM(G473)</f>
        <v>1336325.73</v>
      </c>
      <c r="I636" s="140" t="s">
        <v>114</v>
      </c>
      <c r="J636" s="109">
        <f t="shared" si="55"/>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5"/>
        <v>0</v>
      </c>
      <c r="K637" s="85"/>
      <c r="L637" s="88"/>
      <c r="M637" s="8"/>
    </row>
    <row r="638" spans="1:13" s="3" customFormat="1" ht="12.2" customHeight="1" x14ac:dyDescent="0.15">
      <c r="A638" s="161"/>
      <c r="B638" s="162"/>
      <c r="C638" s="162"/>
      <c r="D638" s="162"/>
      <c r="E638" s="162"/>
      <c r="F638" s="163" t="s">
        <v>477</v>
      </c>
      <c r="G638" s="151">
        <f>SUM(L409)</f>
        <v>1121873.45</v>
      </c>
      <c r="H638" s="164">
        <f>SUM(J469)</f>
        <v>1121873.45</v>
      </c>
      <c r="I638" s="165" t="s">
        <v>110</v>
      </c>
      <c r="J638" s="151">
        <f t="shared" si="55"/>
        <v>0</v>
      </c>
      <c r="K638" s="166"/>
      <c r="L638" s="167"/>
      <c r="M638" s="8"/>
    </row>
    <row r="639" spans="1:13" s="3" customFormat="1" ht="12.2" customHeight="1" x14ac:dyDescent="0.15">
      <c r="A639" s="161"/>
      <c r="B639" s="162"/>
      <c r="C639" s="162"/>
      <c r="D639" s="162"/>
      <c r="E639" s="162"/>
      <c r="F639" s="163" t="s">
        <v>478</v>
      </c>
      <c r="G639" s="151">
        <f>SUM(L435)</f>
        <v>1275014.8</v>
      </c>
      <c r="H639" s="164">
        <f>SUM(J473)</f>
        <v>1275014.8</v>
      </c>
      <c r="I639" s="165" t="s">
        <v>117</v>
      </c>
      <c r="J639" s="151">
        <f t="shared" si="55"/>
        <v>0</v>
      </c>
      <c r="K639" s="166"/>
      <c r="L639" s="167"/>
      <c r="M639" s="8"/>
    </row>
    <row r="640" spans="1:13" s="3" customFormat="1" ht="12.2" customHeight="1" x14ac:dyDescent="0.15">
      <c r="A640" s="22"/>
      <c r="B640" s="105"/>
      <c r="C640" s="105"/>
      <c r="D640" s="105"/>
      <c r="E640" s="105"/>
      <c r="F640" s="120" t="s">
        <v>118</v>
      </c>
      <c r="G640" s="109">
        <f>SUM(F447)</f>
        <v>66001.86</v>
      </c>
      <c r="H640" s="104">
        <f>SUM(F462)</f>
        <v>66001.86</v>
      </c>
      <c r="I640" s="140" t="s">
        <v>841</v>
      </c>
      <c r="J640" s="109">
        <f t="shared" si="55"/>
        <v>0</v>
      </c>
      <c r="K640" s="85"/>
      <c r="L640" s="88"/>
      <c r="M640" s="8"/>
    </row>
    <row r="641" spans="1:13" s="3" customFormat="1" ht="12.2" customHeight="1" x14ac:dyDescent="0.15">
      <c r="A641" s="22"/>
      <c r="B641" s="105"/>
      <c r="C641" s="105"/>
      <c r="D641" s="105"/>
      <c r="E641" s="105"/>
      <c r="F641" s="120" t="s">
        <v>119</v>
      </c>
      <c r="G641" s="109">
        <f>SUM(G447)</f>
        <v>414249.01</v>
      </c>
      <c r="H641" s="104">
        <f>SUM(G462)</f>
        <v>414249.01</v>
      </c>
      <c r="I641" s="140" t="s">
        <v>842</v>
      </c>
      <c r="J641" s="109">
        <f t="shared" si="55"/>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5"/>
        <v>0</v>
      </c>
      <c r="K642" s="85"/>
      <c r="L642" s="88"/>
      <c r="M642" s="8"/>
    </row>
    <row r="643" spans="1:13" s="3" customFormat="1" ht="12.2" customHeight="1" x14ac:dyDescent="0.15">
      <c r="A643" s="22"/>
      <c r="B643" s="105"/>
      <c r="C643" s="105"/>
      <c r="D643" s="105"/>
      <c r="E643" s="105"/>
      <c r="F643" s="120" t="s">
        <v>121</v>
      </c>
      <c r="G643" s="109">
        <f>SUM(I447)</f>
        <v>480250.87</v>
      </c>
      <c r="H643" s="104">
        <f>SUM(I462)</f>
        <v>480250.87</v>
      </c>
      <c r="I643" s="140" t="s">
        <v>844</v>
      </c>
      <c r="J643" s="109">
        <f t="shared" si="55"/>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5"/>
        <v>0</v>
      </c>
      <c r="K644" s="85"/>
      <c r="L644" s="88"/>
      <c r="M644" s="8"/>
    </row>
    <row r="645" spans="1:13" s="3" customFormat="1" ht="12.2" customHeight="1" x14ac:dyDescent="0.15">
      <c r="A645" s="22"/>
      <c r="B645" s="105"/>
      <c r="C645" s="105"/>
      <c r="D645" s="105"/>
      <c r="E645" s="105"/>
      <c r="F645" s="120" t="s">
        <v>663</v>
      </c>
      <c r="G645" s="109">
        <f>J96</f>
        <v>21873.45</v>
      </c>
      <c r="H645" s="104">
        <f>H409</f>
        <v>21873.45</v>
      </c>
      <c r="I645" s="140" t="s">
        <v>480</v>
      </c>
      <c r="J645" s="109">
        <f t="shared" si="55"/>
        <v>0</v>
      </c>
      <c r="K645" s="85"/>
      <c r="L645" s="88"/>
      <c r="M645" s="8"/>
    </row>
    <row r="646" spans="1:13" s="3" customFormat="1" ht="12.2" customHeight="1" x14ac:dyDescent="0.15">
      <c r="A646" s="22"/>
      <c r="B646" s="105"/>
      <c r="C646" s="105"/>
      <c r="D646" s="105"/>
      <c r="E646" s="105"/>
      <c r="F646" s="120" t="s">
        <v>664</v>
      </c>
      <c r="G646" s="109">
        <f>J184</f>
        <v>1100000</v>
      </c>
      <c r="H646" s="104">
        <f>G409</f>
        <v>1100000</v>
      </c>
      <c r="I646" s="140" t="s">
        <v>481</v>
      </c>
      <c r="J646" s="109">
        <f t="shared" si="55"/>
        <v>0</v>
      </c>
      <c r="K646" s="85"/>
      <c r="L646" s="88"/>
      <c r="M646" s="8"/>
    </row>
    <row r="647" spans="1:13" s="3" customFormat="1" ht="12.2" customHeight="1" x14ac:dyDescent="0.15">
      <c r="A647" s="22"/>
      <c r="B647" s="105"/>
      <c r="C647" s="105"/>
      <c r="D647" s="105"/>
      <c r="E647" s="105"/>
      <c r="F647" s="120" t="s">
        <v>662</v>
      </c>
      <c r="G647" s="109">
        <f>J194</f>
        <v>1121873.45</v>
      </c>
      <c r="H647" s="104">
        <f>L409</f>
        <v>1121873.45</v>
      </c>
      <c r="I647" s="140" t="s">
        <v>477</v>
      </c>
      <c r="J647" s="109">
        <f t="shared" si="55"/>
        <v>0</v>
      </c>
      <c r="K647" s="85"/>
      <c r="L647" s="88"/>
      <c r="M647" s="8"/>
    </row>
    <row r="648" spans="1:13" s="3" customFormat="1" ht="12.2" customHeight="1" x14ac:dyDescent="0.15">
      <c r="A648" s="22"/>
      <c r="B648" s="105"/>
      <c r="C648" s="105"/>
      <c r="D648" s="105"/>
      <c r="E648" s="105"/>
      <c r="F648" s="120" t="s">
        <v>51</v>
      </c>
      <c r="G648" s="109">
        <f>K599</f>
        <v>3955764.75</v>
      </c>
      <c r="H648" s="104">
        <f>L209+L227+L245</f>
        <v>3955764.75</v>
      </c>
      <c r="I648" s="140" t="s">
        <v>396</v>
      </c>
      <c r="J648" s="109">
        <f t="shared" si="55"/>
        <v>0</v>
      </c>
      <c r="K648" s="85"/>
      <c r="L648" s="88"/>
      <c r="M648" s="8"/>
    </row>
    <row r="649" spans="1:13" s="3" customFormat="1" ht="12.2" customHeight="1" x14ac:dyDescent="0.15">
      <c r="A649" s="22"/>
      <c r="B649" s="105"/>
      <c r="C649" s="105"/>
      <c r="D649" s="105"/>
      <c r="E649" s="105"/>
      <c r="F649" s="120" t="s">
        <v>52</v>
      </c>
      <c r="G649" s="109">
        <f>K606</f>
        <v>848570.83999999985</v>
      </c>
      <c r="H649" s="104">
        <f>(J258+J339)-(J256+J337)</f>
        <v>848570.84</v>
      </c>
      <c r="I649" s="140" t="s">
        <v>699</v>
      </c>
      <c r="J649" s="109">
        <f t="shared" si="55"/>
        <v>0</v>
      </c>
      <c r="K649" s="85"/>
      <c r="L649" s="88"/>
      <c r="M649" s="8"/>
    </row>
    <row r="650" spans="1:13" s="3" customFormat="1" ht="12.2" customHeight="1" x14ac:dyDescent="0.15">
      <c r="A650" s="22"/>
      <c r="B650" s="105"/>
      <c r="C650" s="105"/>
      <c r="D650" s="105"/>
      <c r="E650" s="105"/>
      <c r="F650" s="120" t="s">
        <v>387</v>
      </c>
      <c r="G650" s="109">
        <f>L209</f>
        <v>2021866.26</v>
      </c>
      <c r="H650" s="104">
        <f>H599</f>
        <v>2021866.26</v>
      </c>
      <c r="I650" s="140" t="s">
        <v>388</v>
      </c>
      <c r="J650" s="109">
        <f t="shared" si="55"/>
        <v>0</v>
      </c>
      <c r="K650" s="85"/>
      <c r="L650" s="88"/>
      <c r="M650" s="8"/>
    </row>
    <row r="651" spans="1:13" s="3" customFormat="1" ht="12.2" customHeight="1" x14ac:dyDescent="0.15">
      <c r="A651" s="22"/>
      <c r="B651" s="105"/>
      <c r="C651" s="105"/>
      <c r="D651" s="105"/>
      <c r="E651" s="105"/>
      <c r="F651" s="120" t="s">
        <v>392</v>
      </c>
      <c r="G651" s="109">
        <f>L227</f>
        <v>902316.32</v>
      </c>
      <c r="H651" s="104">
        <f>I599</f>
        <v>902316.32</v>
      </c>
      <c r="I651" s="140" t="s">
        <v>389</v>
      </c>
      <c r="J651" s="109">
        <f t="shared" si="55"/>
        <v>0</v>
      </c>
      <c r="K651" s="85"/>
      <c r="L651" s="88"/>
      <c r="M651" s="8"/>
    </row>
    <row r="652" spans="1:13" s="3" customFormat="1" ht="12.2" customHeight="1" x14ac:dyDescent="0.15">
      <c r="A652" s="22"/>
      <c r="B652" s="105"/>
      <c r="C652" s="105"/>
      <c r="D652" s="105"/>
      <c r="E652" s="105"/>
      <c r="F652" s="120" t="s">
        <v>393</v>
      </c>
      <c r="G652" s="109">
        <f>L245</f>
        <v>1031582.17</v>
      </c>
      <c r="H652" s="104">
        <f>J599</f>
        <v>1031582.17</v>
      </c>
      <c r="I652" s="140" t="s">
        <v>390</v>
      </c>
      <c r="J652" s="109">
        <f t="shared" si="55"/>
        <v>0</v>
      </c>
      <c r="K652" s="85"/>
      <c r="L652" s="88"/>
      <c r="M652" s="8"/>
    </row>
    <row r="653" spans="1:13" s="3" customFormat="1" ht="12.2" customHeight="1" x14ac:dyDescent="0.15">
      <c r="A653" s="22"/>
      <c r="B653" s="105"/>
      <c r="C653" s="105"/>
      <c r="D653" s="105"/>
      <c r="E653" s="105"/>
      <c r="F653" s="120" t="s">
        <v>665</v>
      </c>
      <c r="G653" s="109">
        <f>G180</f>
        <v>96342.95</v>
      </c>
      <c r="H653" s="104">
        <f>K264+K346</f>
        <v>96342.95</v>
      </c>
      <c r="I653" s="140" t="s">
        <v>397</v>
      </c>
      <c r="J653" s="109">
        <f t="shared" si="55"/>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5"/>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5"/>
        <v>0</v>
      </c>
      <c r="K655" s="85"/>
      <c r="L655" s="88"/>
      <c r="M655" s="8"/>
    </row>
    <row r="656" spans="1:13" s="3" customFormat="1" ht="12.2" customHeight="1" x14ac:dyDescent="0.15">
      <c r="A656" s="22"/>
      <c r="B656" s="105"/>
      <c r="C656" s="105"/>
      <c r="D656" s="105"/>
      <c r="E656" s="105"/>
      <c r="F656" s="120" t="s">
        <v>668</v>
      </c>
      <c r="G656" s="109">
        <f>J180+J182</f>
        <v>1100000</v>
      </c>
      <c r="H656" s="104">
        <f>K267+K348</f>
        <v>1100000</v>
      </c>
      <c r="I656" s="140" t="s">
        <v>400</v>
      </c>
      <c r="J656" s="109">
        <f t="shared" si="55"/>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33716660.650000006</v>
      </c>
      <c r="G661" s="19">
        <f>(L230+L310+L360)</f>
        <v>16679239.169999996</v>
      </c>
      <c r="H661" s="19">
        <f>(L248+L329+L361)</f>
        <v>26742477.699999996</v>
      </c>
      <c r="I661" s="19">
        <f>SUM(F661:H661)</f>
        <v>77138377.519999996</v>
      </c>
      <c r="J661" s="13"/>
      <c r="K661" s="13"/>
      <c r="L661" s="13"/>
      <c r="M661" s="9"/>
    </row>
    <row r="662" spans="1:13" s="3" customFormat="1" ht="12.2" customHeight="1" x14ac:dyDescent="0.2">
      <c r="A662" s="1" t="s">
        <v>127</v>
      </c>
      <c r="F662" s="19">
        <f>(L359/IF(SUM(L359:L361)=0,1,SUM(L359:L361))*(SUM(G97:G110)))</f>
        <v>206151.23789565937</v>
      </c>
      <c r="G662" s="19">
        <f>(L360/IF(SUM(L359:L361)=0,1,SUM(L359:L361))*(SUM(G97:G110)))</f>
        <v>199653.25666613542</v>
      </c>
      <c r="H662" s="19">
        <f>(L361/IF(SUM(L359:L361)=0,1,SUM(L359:L361))*(SUM(G97:G110)))</f>
        <v>417962.59543820523</v>
      </c>
      <c r="I662" s="19">
        <f>SUM(F662:H662)</f>
        <v>823767.09000000008</v>
      </c>
      <c r="J662"/>
      <c r="K662" s="13"/>
      <c r="L662" s="13"/>
      <c r="M662" s="8"/>
    </row>
    <row r="663" spans="1:13" s="3" customFormat="1" ht="12.2" customHeight="1" x14ac:dyDescent="0.2">
      <c r="A663" s="1" t="s">
        <v>128</v>
      </c>
      <c r="F663" s="19">
        <f>(L209+L288)-(J209+J288)</f>
        <v>2021866.26</v>
      </c>
      <c r="G663" s="19">
        <f>(L227+L307)-(J227+J307)</f>
        <v>902316.32</v>
      </c>
      <c r="H663" s="19">
        <f>(L245+L326)-(J245+J326)</f>
        <v>1031582.17</v>
      </c>
      <c r="I663" s="19">
        <f>SUM(F663:H663)</f>
        <v>3955764.75</v>
      </c>
      <c r="J663"/>
      <c r="K663" s="13"/>
      <c r="L663" s="13"/>
      <c r="M663" s="9"/>
    </row>
    <row r="664" spans="1:13" s="3" customFormat="1" ht="12.2" customHeight="1" x14ac:dyDescent="0.15">
      <c r="A664" s="198" t="s">
        <v>129</v>
      </c>
      <c r="B664" s="169"/>
      <c r="C664" s="169"/>
      <c r="D664" s="169"/>
      <c r="E664" s="169"/>
      <c r="F664" s="199">
        <f>SUM(F576:F588)+SUM(H603:H605)+SUM(L612)</f>
        <v>1183834.6868799999</v>
      </c>
      <c r="G664" s="199">
        <f>SUM(G576:G588)+SUM(I603:I605)+L613</f>
        <v>323105.48</v>
      </c>
      <c r="H664" s="199">
        <f>SUM(H576:H588)+SUM(J603:J605)+L614</f>
        <v>1216532.38894</v>
      </c>
      <c r="I664" s="19">
        <f>SUM(F664:H664)</f>
        <v>2723472.5558199999</v>
      </c>
      <c r="J664" s="13"/>
      <c r="K664" s="13"/>
      <c r="L664" s="13"/>
      <c r="M664" s="9"/>
    </row>
    <row r="665" spans="1:13" s="3" customFormat="1" ht="12.2" customHeight="1" x14ac:dyDescent="0.15">
      <c r="A665" s="1" t="s">
        <v>130</v>
      </c>
      <c r="F665" s="19">
        <f>F661-SUM(F662:F664)</f>
        <v>30304808.465224348</v>
      </c>
      <c r="G665" s="19">
        <f>G661-SUM(G662:G664)</f>
        <v>15254164.11333386</v>
      </c>
      <c r="H665" s="19">
        <f>H661-SUM(H662:H664)</f>
        <v>24076400.54562179</v>
      </c>
      <c r="I665" s="19">
        <f>I661-SUM(I662:I664)</f>
        <v>69635373.124179989</v>
      </c>
      <c r="J665" s="13"/>
      <c r="K665" s="13"/>
      <c r="L665" s="13"/>
      <c r="M665" s="8"/>
    </row>
    <row r="666" spans="1:13" s="3" customFormat="1" ht="12.2" customHeight="1" x14ac:dyDescent="0.2">
      <c r="A666" s="1" t="s">
        <v>131</v>
      </c>
      <c r="F666" s="246">
        <f>43.58+130.44+1453.42</f>
        <v>1627.44</v>
      </c>
      <c r="G666" s="247">
        <v>915.39</v>
      </c>
      <c r="H666" s="247">
        <v>1442.41</v>
      </c>
      <c r="I666" s="19">
        <f>SUM(F666:H666)</f>
        <v>3985.24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18621.150000000001</v>
      </c>
      <c r="G668" s="19">
        <f>ROUND(G665/G666,2)</f>
        <v>16664.11</v>
      </c>
      <c r="H668" s="19">
        <f>ROUND(H665/H666,2)</f>
        <v>16691.79</v>
      </c>
      <c r="I668" s="19">
        <f>ROUND(I665/I666,2)</f>
        <v>17473.32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-21.22</v>
      </c>
      <c r="I671" s="19">
        <f>SUM(F671:H671)</f>
        <v>-21.22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18621.150000000001</v>
      </c>
      <c r="G673" s="19">
        <f>ROUND((G665+G670)/(G666+G671),2)</f>
        <v>16664.11</v>
      </c>
      <c r="H673" s="19">
        <f>ROUND((H665+H670)/(H666+H671),2)</f>
        <v>16941.009999999998</v>
      </c>
      <c r="I673" s="19">
        <f>ROUND((I665+I670)/(I666+I671),2)</f>
        <v>17566.86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LONDONDERRY SCHOOL DISTRICT</v>
      </c>
      <c r="C5" s="344"/>
      <c r="D5" s="344"/>
      <c r="E5" s="344"/>
      <c r="F5" s="344"/>
    </row>
    <row r="8" spans="1:9" ht="18" x14ac:dyDescent="0.25">
      <c r="A8" s="323" t="s">
        <v>1591</v>
      </c>
      <c r="F8" s="330" t="s">
        <v>1609</v>
      </c>
    </row>
    <row r="9" spans="1:9" ht="15" x14ac:dyDescent="0.2">
      <c r="A9" s="321" t="s">
        <v>1592</v>
      </c>
      <c r="B9" s="324">
        <f>'DOE25'!G97</f>
        <v>794508.85</v>
      </c>
      <c r="F9" s="321" t="s">
        <v>1605</v>
      </c>
    </row>
    <row r="10" spans="1:9" ht="15" x14ac:dyDescent="0.2">
      <c r="A10" s="321" t="s">
        <v>1593</v>
      </c>
      <c r="B10" s="324">
        <f>'DOE25'!G112-'DOE25'!G97</f>
        <v>29265.050000000047</v>
      </c>
      <c r="F10" s="321" t="s">
        <v>1606</v>
      </c>
    </row>
    <row r="11" spans="1:9" ht="15" x14ac:dyDescent="0.2">
      <c r="A11" s="321" t="s">
        <v>1594</v>
      </c>
      <c r="B11" s="324">
        <f>'DOE25'!G140</f>
        <v>14377.21</v>
      </c>
      <c r="F11" s="321" t="s">
        <v>1607</v>
      </c>
    </row>
    <row r="12" spans="1:9" ht="15" x14ac:dyDescent="0.2">
      <c r="A12" s="321" t="s">
        <v>1595</v>
      </c>
      <c r="B12" s="324">
        <f>'DOE25'!G170</f>
        <v>393510.86</v>
      </c>
      <c r="F12" s="321" t="s">
        <v>1608</v>
      </c>
    </row>
    <row r="13" spans="1:9" ht="15" x14ac:dyDescent="0.2">
      <c r="A13" s="321" t="s">
        <v>1596</v>
      </c>
      <c r="B13" s="324">
        <f>'DOE25'!G193-'DOE25'!G180</f>
        <v>0</v>
      </c>
      <c r="F13" s="321" t="s">
        <v>1618</v>
      </c>
    </row>
    <row r="14" spans="1:9" ht="18" x14ac:dyDescent="0.25">
      <c r="A14" s="323" t="s">
        <v>732</v>
      </c>
      <c r="B14" s="325">
        <f>SUM(B9:B13)</f>
        <v>1231661.97</v>
      </c>
    </row>
    <row r="16" spans="1:9" ht="18" x14ac:dyDescent="0.25">
      <c r="A16" s="323" t="s">
        <v>786</v>
      </c>
      <c r="F16" s="330" t="s">
        <v>1610</v>
      </c>
    </row>
    <row r="17" spans="1:6" ht="15" x14ac:dyDescent="0.2">
      <c r="A17" s="321" t="s">
        <v>1597</v>
      </c>
      <c r="B17" s="324">
        <f>'DOE25'!L363-'DOE25'!L362</f>
        <v>1336325.73</v>
      </c>
      <c r="F17" s="321" t="s">
        <v>1611</v>
      </c>
    </row>
    <row r="18" spans="1:6" ht="15" x14ac:dyDescent="0.2">
      <c r="A18" s="321" t="s">
        <v>1598</v>
      </c>
      <c r="B18" s="338"/>
      <c r="F18" s="330" t="s">
        <v>1637</v>
      </c>
    </row>
    <row r="19" spans="1:6" ht="18" x14ac:dyDescent="0.25">
      <c r="A19" s="323" t="s">
        <v>725</v>
      </c>
      <c r="B19" s="325">
        <f>SUM(B17:B18)</f>
        <v>1336325.73</v>
      </c>
    </row>
    <row r="21" spans="1:6" ht="18.75" thickBot="1" x14ac:dyDescent="0.3">
      <c r="A21" s="323" t="s">
        <v>1599</v>
      </c>
    </row>
    <row r="22" spans="1:6" ht="18.75" thickTop="1" x14ac:dyDescent="0.25">
      <c r="A22" s="323" t="s">
        <v>1600</v>
      </c>
      <c r="B22" s="329">
        <f>B14-B19</f>
        <v>-104663.76000000001</v>
      </c>
      <c r="F22" s="321" t="s">
        <v>1612</v>
      </c>
    </row>
    <row r="26" spans="1:6" ht="18" x14ac:dyDescent="0.25">
      <c r="A26" s="323" t="s">
        <v>186</v>
      </c>
    </row>
    <row r="27" spans="1:6" ht="15" x14ac:dyDescent="0.2">
      <c r="A27" s="321" t="s">
        <v>1601</v>
      </c>
      <c r="B27" s="324">
        <f>'DOE25'!G180</f>
        <v>96342.95</v>
      </c>
      <c r="F27" s="321" t="s">
        <v>1613</v>
      </c>
    </row>
    <row r="28" spans="1:6" ht="15" x14ac:dyDescent="0.2">
      <c r="A28" s="321" t="s">
        <v>1603</v>
      </c>
      <c r="B28" s="324">
        <f>'DOE25'!L362</f>
        <v>0</v>
      </c>
      <c r="F28" s="321" t="s">
        <v>1614</v>
      </c>
    </row>
    <row r="31" spans="1:6" ht="15" x14ac:dyDescent="0.2">
      <c r="A31" s="321" t="s">
        <v>1640</v>
      </c>
      <c r="B31" s="324">
        <f>'DOE25'!G466</f>
        <v>102295.15</v>
      </c>
      <c r="F31" s="321" t="s">
        <v>1615</v>
      </c>
    </row>
    <row r="33" spans="1:6" ht="15" x14ac:dyDescent="0.2">
      <c r="A33" s="321" t="s">
        <v>1641</v>
      </c>
      <c r="B33" s="324">
        <f>'DOE25'!G477</f>
        <v>93974.339999999851</v>
      </c>
      <c r="F33" s="321" t="s">
        <v>1616</v>
      </c>
    </row>
    <row r="36" spans="1:6" ht="15" x14ac:dyDescent="0.2">
      <c r="A36" s="321" t="s">
        <v>1602</v>
      </c>
      <c r="B36" s="339">
        <v>33064.910000000003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LONDONDERRY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18967700.109999999</v>
      </c>
      <c r="C9" s="229">
        <f>'DOE25'!G198+'DOE25'!G216+'DOE25'!G234+'DOE25'!G277+'DOE25'!G296+'DOE25'!G315</f>
        <v>9725541.1099999994</v>
      </c>
    </row>
    <row r="10" spans="1:3" x14ac:dyDescent="0.2">
      <c r="A10" t="s">
        <v>775</v>
      </c>
      <c r="B10" s="240">
        <f>18253236.96+1496.06+23336+4481.61+7140+6725.25-0.01</f>
        <v>18296415.869999997</v>
      </c>
      <c r="C10" s="240">
        <f>B10*0.52</f>
        <v>9514136.2523999996</v>
      </c>
    </row>
    <row r="11" spans="1:3" x14ac:dyDescent="0.2">
      <c r="A11" t="s">
        <v>776</v>
      </c>
      <c r="B11" s="240">
        <f>398696.67-10376.74</f>
        <v>388319.93</v>
      </c>
      <c r="C11" s="240">
        <f>B11*0.35</f>
        <v>135911.9755</v>
      </c>
    </row>
    <row r="12" spans="1:3" x14ac:dyDescent="0.2">
      <c r="A12" t="s">
        <v>777</v>
      </c>
      <c r="B12" s="240">
        <f>10376.74+272587.57</f>
        <v>282964.31</v>
      </c>
      <c r="C12" s="240">
        <f>(B12*0.25)+4751.8</f>
        <v>75492.877500000002</v>
      </c>
    </row>
    <row r="13" spans="1:3" x14ac:dyDescent="0.2">
      <c r="A13" t="str">
        <f>IF(B9=B13,IF(C9=C13,"Check Total OK","Check Total Error"),"Check Total Error")</f>
        <v>Check Total Error</v>
      </c>
      <c r="B13" s="231">
        <f>SUM(B10:B12)</f>
        <v>18967700.109999996</v>
      </c>
      <c r="C13" s="231">
        <f>SUM(C10:C12)</f>
        <v>9725541.1053999998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9248022.3100000005</v>
      </c>
      <c r="C18" s="229">
        <f>'DOE25'!G199+'DOE25'!G217+'DOE25'!G235+'DOE25'!G278+'DOE25'!G297+'DOE25'!G316</f>
        <v>4801934.7</v>
      </c>
    </row>
    <row r="19" spans="1:3" x14ac:dyDescent="0.2">
      <c r="A19" t="s">
        <v>775</v>
      </c>
      <c r="B19" s="240">
        <f>6180032.76-350669.32+11239</f>
        <v>5840602.4399999995</v>
      </c>
      <c r="C19" s="240">
        <f>B19*0.56</f>
        <v>3270737.3664000002</v>
      </c>
    </row>
    <row r="20" spans="1:3" x14ac:dyDescent="0.2">
      <c r="A20" t="s">
        <v>776</v>
      </c>
      <c r="B20" s="240">
        <f>2994712.28-176286.12</f>
        <v>2818426.1599999997</v>
      </c>
      <c r="C20" s="240">
        <f>B20*0.43</f>
        <v>1211923.2487999999</v>
      </c>
    </row>
    <row r="21" spans="1:3" x14ac:dyDescent="0.2">
      <c r="A21" t="s">
        <v>777</v>
      </c>
      <c r="B21" s="240">
        <f>350669.32+176286.12+24306.28+37731.99</f>
        <v>588993.71</v>
      </c>
      <c r="C21" s="240">
        <f>(B21*0.55)-4672.46</f>
        <v>319274.08049999998</v>
      </c>
    </row>
    <row r="22" spans="1:3" x14ac:dyDescent="0.2">
      <c r="A22" t="str">
        <f>IF(B18=B22,IF(C18=C22,"Check Total OK","Check Total Error"),"Check Total Error")</f>
        <v>Check Total Error</v>
      </c>
      <c r="B22" s="231">
        <f>SUM(B19:B21)</f>
        <v>9248022.3099999987</v>
      </c>
      <c r="C22" s="231">
        <f>SUM(C19:C21)</f>
        <v>4801934.6957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897411.57000000007</v>
      </c>
      <c r="C36" s="235">
        <f>'DOE25'!G201+'DOE25'!G219+'DOE25'!G237+'DOE25'!G280+'DOE25'!G299+'DOE25'!G318</f>
        <v>457957.80000000005</v>
      </c>
    </row>
    <row r="37" spans="1:3" x14ac:dyDescent="0.2">
      <c r="A37" t="s">
        <v>775</v>
      </c>
      <c r="B37" s="240">
        <v>203365.55</v>
      </c>
      <c r="C37" s="240">
        <f>(B37*0.51)+277.9</f>
        <v>103994.3305</v>
      </c>
    </row>
    <row r="38" spans="1:3" x14ac:dyDescent="0.2">
      <c r="A38" t="s">
        <v>776</v>
      </c>
      <c r="B38" s="240"/>
      <c r="C38" s="240"/>
    </row>
    <row r="39" spans="1:3" x14ac:dyDescent="0.2">
      <c r="A39" t="s">
        <v>777</v>
      </c>
      <c r="B39" s="240">
        <f>97251.96+681759.31-203365.55+118400.3</f>
        <v>694046.02</v>
      </c>
      <c r="C39" s="240">
        <f>(B39*0.51)</f>
        <v>353963.47020000004</v>
      </c>
    </row>
    <row r="40" spans="1:3" x14ac:dyDescent="0.2">
      <c r="A40" t="str">
        <f>IF(B36=B40,IF(C36=C40,"Check Total OK","Check Total Error"),"Check Total Error")</f>
        <v>Check Total Error</v>
      </c>
      <c r="B40" s="231">
        <f>SUM(B37:B39)</f>
        <v>897411.57000000007</v>
      </c>
      <c r="C40" s="231">
        <f>SUM(C37:C39)</f>
        <v>457957.80070000002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LONDONDERRY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45953449.189999998</v>
      </c>
      <c r="D5" s="20">
        <f>SUM('DOE25'!L198:L201)+SUM('DOE25'!L216:L219)+SUM('DOE25'!L234:L237)-F5-G5-H5</f>
        <v>45748153.979999997</v>
      </c>
      <c r="E5" s="243"/>
      <c r="F5" s="244"/>
      <c r="G5" s="53">
        <f>SUM('DOE25'!J198:J201)+SUM('DOE25'!J216:J219)+SUM('DOE25'!J234:J237)</f>
        <v>151222.01</v>
      </c>
      <c r="H5" s="53">
        <f>SUM('DOE25'!K198:K201)+SUM('DOE25'!K216:K219)+SUM('DOE25'!K234:K237)</f>
        <v>54073.19999999999</v>
      </c>
      <c r="I5" s="256"/>
    </row>
    <row r="6" spans="1:9" x14ac:dyDescent="0.2">
      <c r="A6" s="32">
        <v>2100</v>
      </c>
      <c r="B6" t="s">
        <v>796</v>
      </c>
      <c r="C6" s="276">
        <f t="shared" si="0"/>
        <v>6879952.3000000007</v>
      </c>
      <c r="D6" s="20">
        <f>'DOE25'!L203+'DOE25'!L221+'DOE25'!L239-F6-G6-H6</f>
        <v>6877272.3000000007</v>
      </c>
      <c r="E6" s="243"/>
      <c r="F6" s="244"/>
      <c r="G6" s="53">
        <f>'DOE25'!J203+'DOE25'!J221+'DOE25'!J239</f>
        <v>0</v>
      </c>
      <c r="H6" s="53">
        <f>'DOE25'!K203+'DOE25'!K221+'DOE25'!K239</f>
        <v>2680</v>
      </c>
      <c r="I6" s="256"/>
    </row>
    <row r="7" spans="1:9" x14ac:dyDescent="0.2">
      <c r="A7" s="32">
        <v>2200</v>
      </c>
      <c r="B7" t="s">
        <v>821</v>
      </c>
      <c r="C7" s="276">
        <f t="shared" si="0"/>
        <v>1785037.66</v>
      </c>
      <c r="D7" s="20">
        <f>'DOE25'!L204+'DOE25'!L222+'DOE25'!L240-F7-G7-H7</f>
        <v>1783808.66</v>
      </c>
      <c r="E7" s="243"/>
      <c r="F7" s="244"/>
      <c r="G7" s="53">
        <f>'DOE25'!J204+'DOE25'!J222+'DOE25'!J240</f>
        <v>0</v>
      </c>
      <c r="H7" s="53">
        <f>'DOE25'!K204+'DOE25'!K222+'DOE25'!K240</f>
        <v>1229</v>
      </c>
      <c r="I7" s="256"/>
    </row>
    <row r="8" spans="1:9" x14ac:dyDescent="0.2">
      <c r="A8" s="32">
        <v>2300</v>
      </c>
      <c r="B8" t="s">
        <v>797</v>
      </c>
      <c r="C8" s="276">
        <f t="shared" si="0"/>
        <v>1212970.0499999998</v>
      </c>
      <c r="D8" s="243"/>
      <c r="E8" s="20">
        <f>'DOE25'!L205+'DOE25'!L223+'DOE25'!L241-F8-G8-H8-D9-D11</f>
        <v>1191557.8099999998</v>
      </c>
      <c r="F8" s="244"/>
      <c r="G8" s="53">
        <f>'DOE25'!J205+'DOE25'!J223+'DOE25'!J241</f>
        <v>1372.5</v>
      </c>
      <c r="H8" s="53">
        <f>'DOE25'!K205+'DOE25'!K223+'DOE25'!K241</f>
        <v>20039.739999999998</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3748237.95</v>
      </c>
      <c r="D12" s="20">
        <f>'DOE25'!L206+'DOE25'!L224+'DOE25'!L242-F12-G12-H12</f>
        <v>3731835.73</v>
      </c>
      <c r="E12" s="243"/>
      <c r="F12" s="244"/>
      <c r="G12" s="53">
        <f>'DOE25'!J206+'DOE25'!J224+'DOE25'!J242</f>
        <v>0</v>
      </c>
      <c r="H12" s="53">
        <f>'DOE25'!K206+'DOE25'!K224+'DOE25'!K242</f>
        <v>16402.22</v>
      </c>
      <c r="I12" s="256"/>
    </row>
    <row r="13" spans="1:9" x14ac:dyDescent="0.2">
      <c r="A13" s="32">
        <v>2500</v>
      </c>
      <c r="B13" t="s">
        <v>798</v>
      </c>
      <c r="C13" s="276">
        <f t="shared" si="0"/>
        <v>1022100.3199999998</v>
      </c>
      <c r="D13" s="243"/>
      <c r="E13" s="20">
        <f>'DOE25'!L207+'DOE25'!L225+'DOE25'!L243-F13-G13-H13</f>
        <v>1022100.3199999998</v>
      </c>
      <c r="F13" s="244"/>
      <c r="G13" s="53">
        <f>'DOE25'!J207+'DOE25'!J225+'DOE25'!J243</f>
        <v>0</v>
      </c>
      <c r="H13" s="53">
        <f>'DOE25'!K207+'DOE25'!K225+'DOE25'!K243</f>
        <v>0</v>
      </c>
      <c r="I13" s="256"/>
    </row>
    <row r="14" spans="1:9" x14ac:dyDescent="0.2">
      <c r="A14" s="32">
        <v>2600</v>
      </c>
      <c r="B14" t="s">
        <v>819</v>
      </c>
      <c r="C14" s="276">
        <f t="shared" si="0"/>
        <v>7768959.5999999996</v>
      </c>
      <c r="D14" s="20">
        <f>'DOE25'!L208+'DOE25'!L226+'DOE25'!L244-F14-G14-H14</f>
        <v>7600473.6399999997</v>
      </c>
      <c r="E14" s="243"/>
      <c r="F14" s="244"/>
      <c r="G14" s="53">
        <f>'DOE25'!J208+'DOE25'!J226+'DOE25'!J244</f>
        <v>167815.96000000002</v>
      </c>
      <c r="H14" s="53">
        <f>'DOE25'!K208+'DOE25'!K226+'DOE25'!K244</f>
        <v>670</v>
      </c>
      <c r="I14" s="256"/>
    </row>
    <row r="15" spans="1:9" x14ac:dyDescent="0.2">
      <c r="A15" s="32">
        <v>2700</v>
      </c>
      <c r="B15" t="s">
        <v>799</v>
      </c>
      <c r="C15" s="276">
        <f t="shared" si="0"/>
        <v>3955764.75</v>
      </c>
      <c r="D15" s="20">
        <f>'DOE25'!L209+'DOE25'!L227+'DOE25'!L245-F15-G15-H15</f>
        <v>3955764.75</v>
      </c>
      <c r="E15" s="243"/>
      <c r="F15" s="244"/>
      <c r="G15" s="53">
        <f>'DOE25'!J209+'DOE25'!J227+'DOE25'!J245</f>
        <v>0</v>
      </c>
      <c r="H15" s="53">
        <f>'DOE25'!K209+'DOE25'!K227+'DOE25'!K245</f>
        <v>0</v>
      </c>
      <c r="I15" s="256"/>
    </row>
    <row r="16" spans="1:9" x14ac:dyDescent="0.2">
      <c r="A16" s="32">
        <v>2800</v>
      </c>
      <c r="B16" t="s">
        <v>800</v>
      </c>
      <c r="C16" s="276">
        <f t="shared" si="0"/>
        <v>1960241.5300000003</v>
      </c>
      <c r="D16" s="243"/>
      <c r="E16" s="20">
        <f>'DOE25'!L210+'DOE25'!L228+'DOE25'!L246-F16-G16-H16</f>
        <v>1445928.8000000003</v>
      </c>
      <c r="F16" s="244"/>
      <c r="G16" s="53">
        <f>'DOE25'!J210+'DOE25'!J228+'DOE25'!J246</f>
        <v>514312.73</v>
      </c>
      <c r="H16" s="53">
        <f>'DOE25'!K210+'DOE25'!K228+'DOE25'!K246</f>
        <v>0</v>
      </c>
      <c r="I16" s="256"/>
    </row>
    <row r="17" spans="1:9" x14ac:dyDescent="0.2">
      <c r="A17" s="32">
        <v>1600</v>
      </c>
      <c r="B17" t="s">
        <v>801</v>
      </c>
      <c r="C17" s="276">
        <f t="shared" si="0"/>
        <v>64850.87</v>
      </c>
      <c r="D17" s="20">
        <f>'DOE25'!L252-F17-G17-H17</f>
        <v>64319.21</v>
      </c>
      <c r="E17" s="243"/>
      <c r="F17" s="244"/>
      <c r="G17" s="53">
        <f>'DOE25'!J252</f>
        <v>531.66</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2046448.23</v>
      </c>
      <c r="D25" s="243"/>
      <c r="E25" s="243"/>
      <c r="F25" s="255"/>
      <c r="G25" s="253"/>
      <c r="H25" s="253"/>
      <c r="I25" s="254">
        <f>'DOE25'!L261+'DOE25'!L262+'DOE25'!L342+'DOE25'!L343</f>
        <v>2046448.23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785645.76</v>
      </c>
      <c r="D29" s="284">
        <f>'DOE25'!L359+'DOE25'!L360+'DOE25'!L361-'DOE25'!I368-F29-G29-H29</f>
        <v>710336.91</v>
      </c>
      <c r="E29" s="243"/>
      <c r="F29" s="244"/>
      <c r="G29" s="53">
        <f>'DOE25'!J359+'DOE25'!J360+'DOE25'!J361</f>
        <v>51016</v>
      </c>
      <c r="H29" s="53">
        <f>'DOE25'!K359+'DOE25'!K360+'DOE25'!K361</f>
        <v>24292.85</v>
      </c>
      <c r="I29" s="256"/>
    </row>
    <row r="30" spans="1:9" x14ac:dyDescent="0.2">
      <c r="A30" s="32"/>
      <c r="C30" s="277"/>
      <c r="D30" s="20"/>
      <c r="E30" s="281"/>
      <c r="F30" s="271"/>
      <c r="G30" s="53"/>
      <c r="H30" s="53"/>
      <c r="I30" s="256"/>
    </row>
    <row r="31" spans="1:9" x14ac:dyDescent="0.2">
      <c r="A31" s="32" t="s">
        <v>818</v>
      </c>
      <c r="B31" t="s">
        <v>817</v>
      </c>
      <c r="C31" s="276">
        <f>SUM(D31:I31)</f>
        <v>1538917.21</v>
      </c>
      <c r="D31" s="20">
        <f>'DOE25'!L291+'DOE25'!L310+'DOE25'!L329+'DOE25'!L334+'DOE25'!L335+'DOE25'!L336-F31-G31-H31</f>
        <v>1525601.23</v>
      </c>
      <c r="E31" s="243"/>
      <c r="F31" s="244"/>
      <c r="G31" s="53">
        <f>'DOE25'!J291+'DOE25'!J310+'DOE25'!J329+'DOE25'!J334+'DOE25'!J335+'DOE25'!J336</f>
        <v>13315.98</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71997566.409999996</v>
      </c>
      <c r="E33" s="245">
        <f t="shared" si="1"/>
        <v>3659586.93</v>
      </c>
      <c r="F33" s="245">
        <f t="shared" si="1"/>
        <v>0</v>
      </c>
      <c r="G33" s="245">
        <f t="shared" si="1"/>
        <v>899586.84</v>
      </c>
      <c r="H33" s="245">
        <f t="shared" si="1"/>
        <v>119387.00999999998</v>
      </c>
      <c r="I33" s="245">
        <f t="shared" si="1"/>
        <v>2046448.23</v>
      </c>
    </row>
    <row r="35" spans="1:9" ht="12" thickBot="1" x14ac:dyDescent="0.25">
      <c r="B35" s="251" t="s">
        <v>831</v>
      </c>
      <c r="D35" s="252">
        <f>E33</f>
        <v>3659586.93</v>
      </c>
      <c r="E35" s="248"/>
    </row>
    <row r="36" spans="1:9" ht="12" thickTop="1" x14ac:dyDescent="0.2">
      <c r="B36" t="s">
        <v>810</v>
      </c>
      <c r="D36" s="20">
        <f>D33</f>
        <v>71997566.409999996</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9" sqref="D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LONDONDERRY SCHOOL DISTRICT</v>
      </c>
      <c r="B2" s="126">
        <f>'DOE25'!B2</f>
        <v>319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33382239.419999998</v>
      </c>
      <c r="G4" s="303">
        <f>'DOE25'!L212+'DOE25'!L291</f>
        <v>33382239.420000006</v>
      </c>
      <c r="H4" s="337">
        <f>F4-G4</f>
        <v>0</v>
      </c>
      <c r="I4" s="309" t="str">
        <f>IF(H4=0,"","Does not match DOE25 page 7 and 11 Totals!!")</f>
        <v/>
      </c>
      <c r="N4"/>
    </row>
    <row r="5" spans="1:18" x14ac:dyDescent="0.2">
      <c r="A5" s="21" t="s">
        <v>1205</v>
      </c>
      <c r="B5" s="304">
        <f>IFERROR(VLOOKUP(A5,'School Tables'!$C$3:$D$365,2,FALSE),"")</f>
        <v>27905</v>
      </c>
      <c r="C5" s="297" t="str">
        <f>IFERROR(INDEX('School Tables'!$B$3:$B$365,MATCH('School Level Expenditures'!B5,'School Tables'!$D$3:$D$365,0)),"")</f>
        <v>Londonderry</v>
      </c>
      <c r="D5" s="294">
        <f>2632457.65+195038.07+427195.28+792532.61+1993776.7</f>
        <v>6041000.3099999996</v>
      </c>
      <c r="E5" s="294">
        <f>291211.17+5510.36+3376.77</f>
        <v>300098.3</v>
      </c>
      <c r="F5" s="312">
        <f>D5+E5</f>
        <v>6341098.6099999994</v>
      </c>
      <c r="G5" s="297"/>
      <c r="H5" s="297"/>
      <c r="I5" s="126"/>
      <c r="N5"/>
    </row>
    <row r="6" spans="1:18" x14ac:dyDescent="0.2">
      <c r="A6" s="21" t="s">
        <v>1209</v>
      </c>
      <c r="B6" s="304">
        <f>IFERROR(VLOOKUP(A6,'School Tables'!$C$3:$D$365,2,FALSE),"")</f>
        <v>20485</v>
      </c>
      <c r="C6" s="297" t="str">
        <f>IFERROR(INDEX('School Tables'!$B$3:$B$365,MATCH('School Level Expenditures'!B6,'School Tables'!$D$3:$D$365,0)),"")</f>
        <v>Londonderry</v>
      </c>
      <c r="D6" s="294">
        <f>4336011.56+356259.18+618684.97+1056710.15+2658368.93</f>
        <v>9026034.7899999991</v>
      </c>
      <c r="E6" s="294">
        <f>100980.71+83353.07+9366.57</f>
        <v>193700.35000000003</v>
      </c>
      <c r="F6" s="307">
        <f t="shared" ref="F6:F20" si="0">D6+E6</f>
        <v>9219735.1399999987</v>
      </c>
      <c r="G6" s="297"/>
      <c r="H6" s="297"/>
      <c r="I6" s="126"/>
      <c r="N6"/>
    </row>
    <row r="7" spans="1:18" x14ac:dyDescent="0.2">
      <c r="A7" s="21" t="s">
        <v>1206</v>
      </c>
      <c r="B7" s="304">
        <f>IFERROR(VLOOKUP(A7,'School Tables'!$C$3:$D$365,2,FALSE),"")</f>
        <v>20470</v>
      </c>
      <c r="C7" s="297" t="str">
        <f>IFERROR(INDEX('School Tables'!$B$3:$B$365,MATCH('School Level Expenditures'!B7,'School Tables'!$D$3:$D$365,0)),"")</f>
        <v>Londonderry</v>
      </c>
      <c r="D7" s="294">
        <f>4086831.54+40015.49+571706.34+981230.86+2468485.43</f>
        <v>8148269.6600000001</v>
      </c>
      <c r="E7" s="294">
        <f>30101.19+7347.14</f>
        <v>37448.33</v>
      </c>
      <c r="F7" s="307">
        <f t="shared" si="0"/>
        <v>8185717.9900000002</v>
      </c>
      <c r="G7" s="297"/>
      <c r="H7" s="297"/>
      <c r="I7" s="126"/>
      <c r="N7"/>
    </row>
    <row r="8" spans="1:18" x14ac:dyDescent="0.2">
      <c r="A8" s="21" t="s">
        <v>1207</v>
      </c>
      <c r="B8" s="304">
        <f>IFERROR(VLOOKUP(A8,'School Tables'!$C$3:$D$365,2,FALSE),"")</f>
        <v>20475</v>
      </c>
      <c r="C8" s="297" t="str">
        <f>IFERROR(INDEX('School Tables'!$B$3:$B$365,MATCH('School Level Expenditures'!B8,'School Tables'!$D$3:$D$365,0)),"")</f>
        <v>Londonderry</v>
      </c>
      <c r="D8" s="294">
        <f>3812030.85+678974.11+575325.59+943491.21+2373543.68</f>
        <v>8383365.4399999995</v>
      </c>
      <c r="E8" s="294">
        <f>348478.12+6559.94+23246.97</f>
        <v>378285.03</v>
      </c>
      <c r="F8" s="307">
        <f t="shared" si="0"/>
        <v>8761650.4699999988</v>
      </c>
      <c r="G8" s="297"/>
      <c r="H8" s="297"/>
      <c r="I8" s="126"/>
      <c r="N8"/>
    </row>
    <row r="9" spans="1:18" x14ac:dyDescent="0.2">
      <c r="A9" s="21" t="s">
        <v>1562</v>
      </c>
      <c r="B9" s="304">
        <f>IFERROR(VLOOKUP(A9,'School Tables'!$C$3:$D$365,2,FALSE),"")</f>
        <v>99999</v>
      </c>
      <c r="C9" s="297" t="str">
        <f>IFERROR(INDEX('School Tables'!$B$3:$B$365,MATCH('School Level Expenditures'!B9,'School Tables'!$D$3:$D$365,0)),"")</f>
        <v>Other District Expenditures</v>
      </c>
      <c r="D9" s="294">
        <v>874037.21</v>
      </c>
      <c r="E9" s="294"/>
      <c r="F9" s="307">
        <f t="shared" si="0"/>
        <v>874037.21</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16355359.050000001</v>
      </c>
      <c r="G24" s="303">
        <f>'DOE25'!L230+'DOE25'!L310</f>
        <v>16355359.049999997</v>
      </c>
      <c r="H24" s="337">
        <f>F24-G24</f>
        <v>0</v>
      </c>
      <c r="I24" s="309" t="str">
        <f>IF(H24=0,"","Does not match DOE25 page 8 and 12 Totals!!")</f>
        <v/>
      </c>
      <c r="N24"/>
    </row>
    <row r="25" spans="1:14" x14ac:dyDescent="0.2">
      <c r="A25" s="21" t="s">
        <v>1208</v>
      </c>
      <c r="B25" s="304">
        <f>IFERROR(VLOOKUP(A25,'School Tables'!$I$3:$J$80,2,FALSE),"")</f>
        <v>20480</v>
      </c>
      <c r="C25" s="297" t="str">
        <f t="array" ref="C25">IFERROR(INDEX('School Tables'!$H$3:$H$80,MATCH('School Level Expenditures'!B25,'School Tables'!$J$3:$J$80,0)),"")</f>
        <v>Londonderry</v>
      </c>
      <c r="D25" s="294">
        <v>16058921.060000001</v>
      </c>
      <c r="E25" s="294">
        <v>138075.93</v>
      </c>
      <c r="F25" s="307">
        <f>D25+E25</f>
        <v>16196996.99</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158362.06</v>
      </c>
      <c r="E26" s="294"/>
      <c r="F26" s="307">
        <f t="shared" ref="F26:F32" si="1">D26+E26</f>
        <v>158362.06</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26064453.32</v>
      </c>
      <c r="G36" s="303">
        <f>'DOE25'!L248+'DOE25'!L329</f>
        <v>26064453.319999997</v>
      </c>
      <c r="H36" s="337">
        <f>F36-G36</f>
        <v>0</v>
      </c>
      <c r="I36" s="309" t="str">
        <f>IF(H36=0,"","Does not match DOE25 page 9 and 13 Totals!!")</f>
        <v/>
      </c>
      <c r="N36"/>
    </row>
    <row r="37" spans="1:14" x14ac:dyDescent="0.2">
      <c r="A37" s="21" t="s">
        <v>1210</v>
      </c>
      <c r="B37" s="304">
        <f>IFERROR(VLOOKUP(A37,'School Tables'!$O$3:$P$118,2,FALSE),"")</f>
        <v>20490</v>
      </c>
      <c r="C37" s="297" t="str">
        <f t="array" ref="C37">IFERROR(INDEX('School Tables'!$N$3:$N$118,MATCH('School Level Expenditures'!B37,'School Tables'!$P$3:$P$118,0)),"")</f>
        <v>Londonderry</v>
      </c>
      <c r="D37" s="294">
        <v>24823119.140000001</v>
      </c>
      <c r="E37" s="294">
        <v>467730.5</v>
      </c>
      <c r="F37" s="307">
        <f>D37+E37</f>
        <v>25290849.640000001</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773603.68</v>
      </c>
      <c r="E38" s="294"/>
      <c r="F38" s="307">
        <f t="shared" ref="F38:F41" si="2">D38+E38</f>
        <v>773603.68</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LONDONDERRY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3484661.11</v>
      </c>
      <c r="D8" s="95">
        <f>'DOE25'!G9</f>
        <v>5900</v>
      </c>
      <c r="E8" s="95">
        <f>'DOE25'!H9</f>
        <v>0</v>
      </c>
      <c r="F8" s="95">
        <f>'DOE25'!I9</f>
        <v>0</v>
      </c>
      <c r="G8" s="95">
        <f>'DOE25'!J9</f>
        <v>480250.87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540459.09</v>
      </c>
      <c r="D11" s="95">
        <f>'DOE25'!G12</f>
        <v>0</v>
      </c>
      <c r="E11" s="95">
        <f>'DOE25'!H12</f>
        <v>374319.23</v>
      </c>
      <c r="F11" s="95">
        <f>'DOE25'!I12</f>
        <v>0</v>
      </c>
      <c r="G11" s="95">
        <f>'DOE25'!J12</f>
        <v>0</v>
      </c>
      <c r="H11" s="124"/>
      <c r="I11" s="124"/>
    </row>
    <row r="12" spans="1:9" x14ac:dyDescent="0.2">
      <c r="A12" s="1" t="s">
        <v>143</v>
      </c>
      <c r="B12" s="6">
        <v>140</v>
      </c>
      <c r="C12" s="95">
        <f>'DOE25'!F13</f>
        <v>0</v>
      </c>
      <c r="D12" s="95">
        <f>'DOE25'!G13</f>
        <v>185955.43</v>
      </c>
      <c r="E12" s="95">
        <f>'DOE25'!H13</f>
        <v>0</v>
      </c>
      <c r="F12" s="95">
        <f>'DOE25'!I13</f>
        <v>0</v>
      </c>
      <c r="G12" s="95">
        <f>'DOE25'!J13</f>
        <v>0</v>
      </c>
      <c r="H12" s="124"/>
      <c r="I12" s="124"/>
    </row>
    <row r="13" spans="1:9" x14ac:dyDescent="0.2">
      <c r="A13" s="1" t="s">
        <v>144</v>
      </c>
      <c r="B13" s="6">
        <v>150</v>
      </c>
      <c r="C13" s="95">
        <f>'DOE25'!F14</f>
        <v>67255.56</v>
      </c>
      <c r="D13" s="95">
        <f>'DOE25'!G14</f>
        <v>20882.580000000002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43974.34</v>
      </c>
      <c r="E15" s="95">
        <f>'DOE25'!H16</f>
        <v>0</v>
      </c>
      <c r="F15" s="95">
        <f>'DOE25'!I16</f>
        <v>0</v>
      </c>
      <c r="G15" s="24" t="s">
        <v>288</v>
      </c>
      <c r="H15" s="124"/>
      <c r="I15" s="124"/>
    </row>
    <row r="16" spans="1:9" x14ac:dyDescent="0.2">
      <c r="A16" s="1" t="s">
        <v>147</v>
      </c>
      <c r="B16" s="6">
        <v>180</v>
      </c>
      <c r="C16" s="95">
        <f>'DOE25'!F17</f>
        <v>31833.4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4124209.1599999997</v>
      </c>
      <c r="D18" s="41">
        <f>SUM(D8:D17)</f>
        <v>256712.35</v>
      </c>
      <c r="E18" s="41">
        <f>SUM(E8:E17)</f>
        <v>374319.23</v>
      </c>
      <c r="F18" s="41">
        <f>SUM(F8:F17)</f>
        <v>0</v>
      </c>
      <c r="G18" s="41">
        <f>SUM(G8:G17)</f>
        <v>480250.87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69264.89</v>
      </c>
      <c r="E21" s="95">
        <f>'DOE25'!H22</f>
        <v>283932.2</v>
      </c>
      <c r="F21" s="95">
        <f>'DOE25'!I22</f>
        <v>0</v>
      </c>
      <c r="G21" s="95">
        <f>'DOE25'!J22</f>
        <v>187262</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1615597.36</v>
      </c>
      <c r="D23" s="95">
        <f>'DOE25'!G24</f>
        <v>88860.13</v>
      </c>
      <c r="E23" s="95">
        <f>'DOE25'!H24</f>
        <v>227.83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474787.4</v>
      </c>
      <c r="D27" s="95">
        <f>'DOE25'!G28</f>
        <v>4612.99</v>
      </c>
      <c r="E27" s="95">
        <f>'DOE25'!H28</f>
        <v>6219.74</v>
      </c>
      <c r="F27" s="95">
        <f>'DOE25'!I28</f>
        <v>0</v>
      </c>
      <c r="G27" s="24" t="s">
        <v>288</v>
      </c>
      <c r="H27" s="124"/>
      <c r="I27" s="124"/>
    </row>
    <row r="28" spans="1:9" x14ac:dyDescent="0.2">
      <c r="A28" s="1" t="s">
        <v>157</v>
      </c>
      <c r="B28" s="6">
        <v>470</v>
      </c>
      <c r="C28" s="95">
        <f>'DOE25'!F29</f>
        <v>189911.15</v>
      </c>
      <c r="D28" s="95">
        <f>'DOE25'!G29</f>
        <v>0</v>
      </c>
      <c r="E28" s="95">
        <f>'DOE25'!H29</f>
        <v>0</v>
      </c>
      <c r="F28" s="95">
        <f>'DOE25'!I29</f>
        <v>0</v>
      </c>
      <c r="G28" s="24" t="s">
        <v>288</v>
      </c>
      <c r="H28" s="124"/>
      <c r="I28" s="124"/>
    </row>
    <row r="29" spans="1:9" x14ac:dyDescent="0.2">
      <c r="A29" s="1" t="s">
        <v>158</v>
      </c>
      <c r="B29" s="6">
        <v>480</v>
      </c>
      <c r="C29" s="95">
        <f>'DOE25'!F30</f>
        <v>8629</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60170.5</v>
      </c>
      <c r="F30" s="95">
        <f>'DOE25'!I31</f>
        <v>0</v>
      </c>
      <c r="G30" s="95">
        <f>'DOE25'!J31</f>
        <v>0</v>
      </c>
      <c r="H30" s="124"/>
      <c r="I30" s="124"/>
    </row>
    <row r="31" spans="1:9" ht="12" thickTop="1" x14ac:dyDescent="0.2">
      <c r="A31" s="38" t="s">
        <v>160</v>
      </c>
      <c r="B31" s="2"/>
      <c r="C31" s="41">
        <f>SUM(C21:C30)</f>
        <v>2288924.91</v>
      </c>
      <c r="D31" s="41">
        <f>SUM(D21:D30)</f>
        <v>162738.01</v>
      </c>
      <c r="E31" s="41">
        <f>SUM(E21:E30)</f>
        <v>350550.27</v>
      </c>
      <c r="F31" s="41">
        <f>SUM(F21:F30)</f>
        <v>0</v>
      </c>
      <c r="G31" s="41">
        <f>SUM(G21:G30)</f>
        <v>187262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43974.34</v>
      </c>
      <c r="E34" s="95">
        <f>'DOE25'!H35</f>
        <v>0</v>
      </c>
      <c r="F34" s="95">
        <f>'DOE25'!I35</f>
        <v>0</v>
      </c>
      <c r="G34" s="24" t="s">
        <v>288</v>
      </c>
      <c r="H34" s="124"/>
      <c r="I34" s="124"/>
    </row>
    <row r="35" spans="1:9" x14ac:dyDescent="0.2">
      <c r="A35" s="1" t="s">
        <v>850</v>
      </c>
      <c r="B35" s="6">
        <v>752</v>
      </c>
      <c r="C35" s="95">
        <f>'DOE25'!F36</f>
        <v>31833.4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50000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23768.959999999999</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1159403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292988.87</v>
      </c>
      <c r="H47" s="124"/>
      <c r="I47" s="124"/>
    </row>
    <row r="48" spans="1:9" x14ac:dyDescent="0.2">
      <c r="A48" s="1" t="s">
        <v>882</v>
      </c>
      <c r="B48" s="6">
        <v>753</v>
      </c>
      <c r="C48" s="95">
        <f>'DOE25'!F49</f>
        <v>35050</v>
      </c>
      <c r="D48" s="95">
        <f>'DOE25'!G49</f>
        <v>0</v>
      </c>
      <c r="E48" s="95">
        <f>'DOE25'!H49</f>
        <v>0</v>
      </c>
      <c r="F48" s="95">
        <f>'DOE25'!I49</f>
        <v>0</v>
      </c>
      <c r="G48" s="95">
        <f>'DOE25'!J49</f>
        <v>0</v>
      </c>
      <c r="H48" s="124"/>
      <c r="I48" s="124"/>
    </row>
    <row r="49" spans="1:9" ht="12" thickBot="1" x14ac:dyDescent="0.25">
      <c r="A49" s="29" t="s">
        <v>883</v>
      </c>
      <c r="B49" s="71">
        <v>770</v>
      </c>
      <c r="C49" s="95">
        <f>'DOE25'!F50</f>
        <v>458997.85</v>
      </c>
      <c r="D49" s="24" t="s">
        <v>288</v>
      </c>
      <c r="E49" s="24" t="s">
        <v>288</v>
      </c>
      <c r="F49" s="24" t="s">
        <v>288</v>
      </c>
      <c r="G49" s="24" t="s">
        <v>288</v>
      </c>
      <c r="H49" s="124"/>
      <c r="I49" s="124"/>
    </row>
    <row r="50" spans="1:9" ht="12.75" thickTop="1" thickBot="1" x14ac:dyDescent="0.25">
      <c r="A50" s="38" t="s">
        <v>884</v>
      </c>
      <c r="B50" s="48"/>
      <c r="C50" s="41">
        <f>SUM(C34:C49)</f>
        <v>1835284.25</v>
      </c>
      <c r="D50" s="41">
        <f>SUM(D34:D49)</f>
        <v>93974.34</v>
      </c>
      <c r="E50" s="41">
        <f>SUM(E34:E49)</f>
        <v>23768.959999999999</v>
      </c>
      <c r="F50" s="41">
        <f>SUM(F34:F49)</f>
        <v>0</v>
      </c>
      <c r="G50" s="41">
        <f>SUM(G34:G49)</f>
        <v>292988.87</v>
      </c>
      <c r="H50" s="124"/>
      <c r="I50" s="124"/>
    </row>
    <row r="51" spans="1:9" ht="12" thickTop="1" x14ac:dyDescent="0.2">
      <c r="A51" s="38" t="s">
        <v>885</v>
      </c>
      <c r="B51" s="2"/>
      <c r="C51" s="41">
        <f>C50+C31</f>
        <v>4124209.16</v>
      </c>
      <c r="D51" s="41">
        <f>D50+D31</f>
        <v>256712.35</v>
      </c>
      <c r="E51" s="41">
        <f>E50+E31</f>
        <v>374319.23000000004</v>
      </c>
      <c r="F51" s="41">
        <f>F50+F31</f>
        <v>0</v>
      </c>
      <c r="G51" s="41">
        <f>G50+G31</f>
        <v>480250.87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55911934</v>
      </c>
      <c r="D56" s="95">
        <f>'DOE25'!G60</f>
        <v>0</v>
      </c>
      <c r="E56" s="95">
        <f>'DOE25'!H60</f>
        <v>0</v>
      </c>
      <c r="F56" s="95">
        <f>'DOE25'!I60</f>
        <v>0</v>
      </c>
      <c r="G56" s="95">
        <f>'DOE25'!J60</f>
        <v>0</v>
      </c>
      <c r="H56"/>
      <c r="I56"/>
    </row>
    <row r="57" spans="1:9" x14ac:dyDescent="0.2">
      <c r="A57" s="1" t="s">
        <v>164</v>
      </c>
      <c r="B57" s="6" t="s">
        <v>165</v>
      </c>
      <c r="C57" s="95">
        <f>'DOE25'!F79</f>
        <v>1665665.64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21017</v>
      </c>
      <c r="D59" s="95">
        <f>'DOE25'!G96</f>
        <v>6.81</v>
      </c>
      <c r="E59" s="95">
        <f>'DOE25'!H96</f>
        <v>0</v>
      </c>
      <c r="F59" s="95">
        <f>'DOE25'!I96</f>
        <v>0</v>
      </c>
      <c r="G59" s="95">
        <f>'DOE25'!J96</f>
        <v>21873.45</v>
      </c>
      <c r="H59"/>
      <c r="I59"/>
    </row>
    <row r="60" spans="1:9" x14ac:dyDescent="0.2">
      <c r="A60" s="1" t="s">
        <v>170</v>
      </c>
      <c r="B60" s="118" t="s">
        <v>171</v>
      </c>
      <c r="C60" s="24" t="s">
        <v>288</v>
      </c>
      <c r="D60" s="95">
        <f>'DOE25'!G97</f>
        <v>794508.85</v>
      </c>
      <c r="E60" s="24" t="s">
        <v>288</v>
      </c>
      <c r="F60" s="24" t="s">
        <v>288</v>
      </c>
      <c r="G60" s="24" t="s">
        <v>288</v>
      </c>
      <c r="H60"/>
      <c r="I60"/>
    </row>
    <row r="61" spans="1:9" ht="12" thickBot="1" x14ac:dyDescent="0.25">
      <c r="A61" s="1" t="s">
        <v>172</v>
      </c>
      <c r="B61" s="118" t="s">
        <v>173</v>
      </c>
      <c r="C61" s="95">
        <f>SUM('DOE25'!F98:F110)</f>
        <v>42749.79</v>
      </c>
      <c r="D61" s="95">
        <f>SUM('DOE25'!G98:G110)</f>
        <v>29258.240000000002</v>
      </c>
      <c r="E61" s="95">
        <f>SUM('DOE25'!H98:H110)</f>
        <v>19104.490000000002</v>
      </c>
      <c r="F61" s="95">
        <f>SUM('DOE25'!I98:I110)</f>
        <v>0</v>
      </c>
      <c r="G61" s="95">
        <f>SUM('DOE25'!J98:J110)</f>
        <v>0</v>
      </c>
      <c r="H61"/>
      <c r="I61"/>
    </row>
    <row r="62" spans="1:9" ht="12.75" thickTop="1" thickBot="1" x14ac:dyDescent="0.25">
      <c r="A62" s="29" t="s">
        <v>174</v>
      </c>
      <c r="B62" s="6"/>
      <c r="C62" s="130">
        <f>SUM(C57:C61)</f>
        <v>1729432.43</v>
      </c>
      <c r="D62" s="130">
        <f>SUM(D57:D61)</f>
        <v>823773.9</v>
      </c>
      <c r="E62" s="130">
        <f>SUM(E57:E61)</f>
        <v>19104.490000000002</v>
      </c>
      <c r="F62" s="130">
        <f>SUM(F57:F61)</f>
        <v>0</v>
      </c>
      <c r="G62" s="130">
        <f>SUM(G57:G61)</f>
        <v>21873.45</v>
      </c>
      <c r="H62"/>
      <c r="I62"/>
    </row>
    <row r="63" spans="1:9" ht="12" thickTop="1" x14ac:dyDescent="0.2">
      <c r="A63" s="29" t="s">
        <v>175</v>
      </c>
      <c r="B63" s="6"/>
      <c r="C63" s="22">
        <f>C56+C62</f>
        <v>57641366.43</v>
      </c>
      <c r="D63" s="22">
        <f>D56+D62</f>
        <v>823773.9</v>
      </c>
      <c r="E63" s="22">
        <f>E56+E62</f>
        <v>19104.490000000002</v>
      </c>
      <c r="F63" s="22">
        <f>F56+F62</f>
        <v>0</v>
      </c>
      <c r="G63" s="22">
        <f>G56+G62</f>
        <v>21873.45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10919704.24</v>
      </c>
      <c r="D66" s="24" t="s">
        <v>288</v>
      </c>
      <c r="E66" s="24" t="s">
        <v>288</v>
      </c>
      <c r="F66" s="24" t="s">
        <v>288</v>
      </c>
      <c r="G66" s="24" t="s">
        <v>288</v>
      </c>
      <c r="H66"/>
      <c r="I66"/>
    </row>
    <row r="67" spans="1:9" x14ac:dyDescent="0.2">
      <c r="A67" s="1" t="s">
        <v>770</v>
      </c>
      <c r="B67" s="6">
        <v>3112</v>
      </c>
      <c r="C67" s="95">
        <f>'DOE25'!F118</f>
        <v>7371549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8324.92</v>
      </c>
      <c r="D69" s="95">
        <f>'DOE25'!G120</f>
        <v>0</v>
      </c>
      <c r="E69" s="95">
        <f>'DOE25'!H120</f>
        <v>0</v>
      </c>
      <c r="F69" s="95">
        <f>'DOE25'!I120</f>
        <v>0</v>
      </c>
      <c r="G69" s="95">
        <f>'DOE25'!J120</f>
        <v>0</v>
      </c>
      <c r="H69"/>
      <c r="I69"/>
    </row>
    <row r="70" spans="1:9" ht="12" thickTop="1" x14ac:dyDescent="0.2">
      <c r="A70" s="29" t="s">
        <v>252</v>
      </c>
      <c r="B70" s="2"/>
      <c r="C70" s="139">
        <f>SUM(C66:C69)</f>
        <v>18299578.160000004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476694.49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287939.77</v>
      </c>
      <c r="D75" s="24" t="s">
        <v>288</v>
      </c>
      <c r="E75" s="24" t="s">
        <v>288</v>
      </c>
      <c r="F75" s="24" t="s">
        <v>288</v>
      </c>
      <c r="G75" s="24" t="s">
        <v>288</v>
      </c>
      <c r="H75"/>
      <c r="I75"/>
    </row>
    <row r="76" spans="1:9" x14ac:dyDescent="0.2">
      <c r="A76" s="1" t="s">
        <v>257</v>
      </c>
      <c r="B76" s="6" t="s">
        <v>179</v>
      </c>
      <c r="C76" s="95">
        <f>SUM('DOE25'!F127:F130)</f>
        <v>28423</v>
      </c>
      <c r="D76" s="24" t="s">
        <v>288</v>
      </c>
      <c r="E76" s="95">
        <f>SUM('DOE25'!H127:H130)</f>
        <v>10797.62</v>
      </c>
      <c r="F76" s="95">
        <f>SUM('DOE25'!I127:I130)</f>
        <v>0</v>
      </c>
      <c r="G76" s="24" t="s">
        <v>288</v>
      </c>
      <c r="H76"/>
      <c r="I76"/>
    </row>
    <row r="77" spans="1:9" ht="12" thickBot="1" x14ac:dyDescent="0.25">
      <c r="A77" s="1" t="s">
        <v>258</v>
      </c>
      <c r="B77" s="6" t="s">
        <v>180</v>
      </c>
      <c r="C77" s="95">
        <f>SUM('DOE25'!F131:F135)</f>
        <v>48000</v>
      </c>
      <c r="D77" s="95">
        <f>SUM('DOE25'!G131:G135)</f>
        <v>14377.21</v>
      </c>
      <c r="E77" s="95">
        <f>SUM('DOE25'!H131:H135)</f>
        <v>0</v>
      </c>
      <c r="F77" s="95">
        <f>SUM('DOE25'!I131:I135)</f>
        <v>0</v>
      </c>
      <c r="G77" s="95">
        <f>SUM('DOE25'!J131:J135)</f>
        <v>0</v>
      </c>
      <c r="H77"/>
      <c r="I77"/>
    </row>
    <row r="78" spans="1:9" ht="12.75" thickTop="1" thickBot="1" x14ac:dyDescent="0.25">
      <c r="A78" s="29" t="s">
        <v>259</v>
      </c>
      <c r="B78" s="6"/>
      <c r="C78" s="130">
        <f>SUM(C72:C77)</f>
        <v>841057.26</v>
      </c>
      <c r="D78" s="130">
        <f>SUM(D72:D77)</f>
        <v>14377.21</v>
      </c>
      <c r="E78" s="130">
        <f>SUM(E72:E77)</f>
        <v>10797.62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19140635.420000006</v>
      </c>
      <c r="D81" s="130">
        <f>SUM(D79:D80)+D78+D70</f>
        <v>14377.21</v>
      </c>
      <c r="E81" s="130">
        <f>SUM(E79:E80)+E78+E70</f>
        <v>10797.62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108083.42</v>
      </c>
      <c r="D88" s="341">
        <f>SUM('DOE25'!G153:G162)</f>
        <v>393510.86</v>
      </c>
      <c r="E88" s="341">
        <f>SUM('DOE25'!H153:H162)</f>
        <v>1509881.98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108083.42</v>
      </c>
      <c r="D91" s="131">
        <f>SUM(D85:D90)</f>
        <v>393510.86</v>
      </c>
      <c r="E91" s="131">
        <f>SUM(E85:E90)</f>
        <v>1509881.98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96342.95</v>
      </c>
      <c r="E96" s="95">
        <f>'DOE25'!H180</f>
        <v>0</v>
      </c>
      <c r="F96" s="95">
        <f>'DOE25'!I180</f>
        <v>0</v>
      </c>
      <c r="G96" s="95">
        <f>'DOE25'!J180</f>
        <v>1100000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388883.13</v>
      </c>
      <c r="D99" s="95">
        <f>'DOE25'!G186</f>
        <v>0</v>
      </c>
      <c r="E99" s="95">
        <f>'DOE25'!H186</f>
        <v>0</v>
      </c>
      <c r="F99" s="95">
        <f>'DOE25'!I186</f>
        <v>0</v>
      </c>
      <c r="G99" s="24" t="s">
        <v>288</v>
      </c>
    </row>
    <row r="100" spans="1:7" x14ac:dyDescent="0.2">
      <c r="A100" t="s">
        <v>757</v>
      </c>
      <c r="B100" s="32" t="s">
        <v>190</v>
      </c>
      <c r="C100" s="95">
        <f>SUM('DOE25'!F187:F188)</f>
        <v>698869.67</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135483.95000000001</v>
      </c>
      <c r="D102" s="95">
        <f>SUM('DOE25'!G191:G192)</f>
        <v>0</v>
      </c>
      <c r="E102" s="95">
        <f>SUM('DOE25'!H191:H192)</f>
        <v>0</v>
      </c>
      <c r="F102" s="95">
        <f>SUM('DOE25'!I191:I192)</f>
        <v>0</v>
      </c>
      <c r="G102" s="24" t="s">
        <v>288</v>
      </c>
    </row>
    <row r="103" spans="1:7" ht="12.75" thickTop="1" thickBot="1" x14ac:dyDescent="0.25">
      <c r="A103" s="33" t="s">
        <v>760</v>
      </c>
      <c r="C103" s="86">
        <f>SUM(C93:C102)</f>
        <v>1223236.75</v>
      </c>
      <c r="D103" s="86">
        <f>SUM(D93:D102)</f>
        <v>96342.95</v>
      </c>
      <c r="E103" s="86">
        <f>SUM(E93:E102)</f>
        <v>0</v>
      </c>
      <c r="F103" s="86">
        <f>SUM(F93:F102)</f>
        <v>0</v>
      </c>
      <c r="G103" s="86">
        <f>SUM(G93:G102)</f>
        <v>1100000</v>
      </c>
    </row>
    <row r="104" spans="1:7" ht="12.75" thickTop="1" thickBot="1" x14ac:dyDescent="0.25">
      <c r="A104" s="33" t="s">
        <v>761</v>
      </c>
      <c r="C104" s="86">
        <f>C63+C81+C91+C103</f>
        <v>78113322.020000011</v>
      </c>
      <c r="D104" s="86">
        <f>D63+D81+D91+D103</f>
        <v>1328004.92</v>
      </c>
      <c r="E104" s="86">
        <f>E63+E81+E91+E103</f>
        <v>1539784.09</v>
      </c>
      <c r="F104" s="86">
        <f>F63+F81+F91+F103</f>
        <v>0</v>
      </c>
      <c r="G104" s="86">
        <f>G63+G81+G103</f>
        <v>1121873.45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29262708.25</v>
      </c>
      <c r="D109" s="24" t="s">
        <v>288</v>
      </c>
      <c r="E109" s="95">
        <f>('DOE25'!L277)+('DOE25'!L296)+('DOE25'!L315)</f>
        <v>326732.40000000002</v>
      </c>
      <c r="F109" s="24" t="s">
        <v>288</v>
      </c>
      <c r="G109" s="24" t="s">
        <v>288</v>
      </c>
    </row>
    <row r="110" spans="1:7" x14ac:dyDescent="0.2">
      <c r="A110" t="s">
        <v>198</v>
      </c>
      <c r="B110" s="32" t="s">
        <v>199</v>
      </c>
      <c r="C110" s="95">
        <f>('DOE25'!L199)+('DOE25'!L217)+('DOE25'!L235)</f>
        <v>14970041.210000001</v>
      </c>
      <c r="D110" s="24" t="s">
        <v>288</v>
      </c>
      <c r="E110" s="95">
        <f>('DOE25'!L278)+('DOE25'!L297)+('DOE25'!L316)</f>
        <v>918085.3</v>
      </c>
      <c r="F110" s="24" t="s">
        <v>288</v>
      </c>
      <c r="G110" s="24" t="s">
        <v>288</v>
      </c>
    </row>
    <row r="111" spans="1:7" x14ac:dyDescent="0.2">
      <c r="A111" t="s">
        <v>200</v>
      </c>
      <c r="B111" s="32" t="s">
        <v>165</v>
      </c>
      <c r="C111" s="95">
        <f>('DOE25'!L200)+('DOE25'!L218)+('DOE25'!L236)</f>
        <v>101700.35</v>
      </c>
      <c r="D111" s="24" t="s">
        <v>288</v>
      </c>
      <c r="E111" s="95">
        <f>('DOE25'!L279)+('DOE25'!L298)+('DOE25'!L317)</f>
        <v>0</v>
      </c>
      <c r="F111" s="24" t="s">
        <v>288</v>
      </c>
      <c r="G111" s="24" t="s">
        <v>288</v>
      </c>
    </row>
    <row r="112" spans="1:7" x14ac:dyDescent="0.2">
      <c r="A112" t="s">
        <v>201</v>
      </c>
      <c r="B112" s="32" t="s">
        <v>167</v>
      </c>
      <c r="C112" s="95">
        <f>('DOE25'!L201)+('DOE25'!L219)+('DOE25'!L237)</f>
        <v>1618999.38</v>
      </c>
      <c r="D112" s="24" t="s">
        <v>288</v>
      </c>
      <c r="E112" s="95">
        <f>+('DOE25'!L280)+('DOE25'!L299)+('DOE25'!L318)</f>
        <v>16913.620000000003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64850.87</v>
      </c>
      <c r="D114" s="24" t="s">
        <v>288</v>
      </c>
      <c r="E114" s="95">
        <f>+ SUM('DOE25'!L334:L336)</f>
        <v>23578.769999999997</v>
      </c>
      <c r="F114" s="24" t="s">
        <v>288</v>
      </c>
      <c r="G114" s="24" t="s">
        <v>288</v>
      </c>
    </row>
    <row r="115" spans="1:7" ht="12.75" thickTop="1" thickBot="1" x14ac:dyDescent="0.25">
      <c r="A115" s="33" t="s">
        <v>205</v>
      </c>
      <c r="C115" s="86">
        <f>SUM(C109:C114)</f>
        <v>46018300.060000002</v>
      </c>
      <c r="D115" s="86">
        <f>SUM(D109:D114)</f>
        <v>0</v>
      </c>
      <c r="E115" s="86">
        <f>SUM(E109:E114)</f>
        <v>1285310.0900000003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6879952.3000000007</v>
      </c>
      <c r="D118" s="24" t="s">
        <v>288</v>
      </c>
      <c r="E118" s="95">
        <f>+('DOE25'!L282)+('DOE25'!L301)+('DOE25'!L320)</f>
        <v>218611.68000000002</v>
      </c>
      <c r="F118" s="24" t="s">
        <v>288</v>
      </c>
      <c r="G118" s="24" t="s">
        <v>288</v>
      </c>
    </row>
    <row r="119" spans="1:7" x14ac:dyDescent="0.2">
      <c r="A119" t="s">
        <v>208</v>
      </c>
      <c r="B119" s="32" t="s">
        <v>209</v>
      </c>
      <c r="C119" s="95">
        <f>('DOE25'!L204)+('DOE25'!L222)+('DOE25'!L240)</f>
        <v>1785037.66</v>
      </c>
      <c r="D119" s="24" t="s">
        <v>288</v>
      </c>
      <c r="E119" s="95">
        <f>+('DOE25'!L283)+('DOE25'!L302)+('DOE25'!L321)</f>
        <v>34995.440000000002</v>
      </c>
      <c r="F119" s="24" t="s">
        <v>288</v>
      </c>
      <c r="G119" s="24" t="s">
        <v>288</v>
      </c>
    </row>
    <row r="120" spans="1:7" x14ac:dyDescent="0.2">
      <c r="A120" t="s">
        <v>210</v>
      </c>
      <c r="B120" s="32" t="s">
        <v>211</v>
      </c>
      <c r="C120" s="95">
        <f>('DOE25'!L205)+('DOE25'!L223)+('DOE25'!L241)</f>
        <v>1212970.0499999998</v>
      </c>
      <c r="D120" s="24" t="s">
        <v>288</v>
      </c>
      <c r="E120" s="95">
        <f>+('DOE25'!L284)+('DOE25'!L303)+('DOE25'!L322)</f>
        <v>0</v>
      </c>
      <c r="F120" s="24" t="s">
        <v>288</v>
      </c>
      <c r="G120" s="24" t="s">
        <v>288</v>
      </c>
    </row>
    <row r="121" spans="1:7" x14ac:dyDescent="0.2">
      <c r="A121" t="s">
        <v>212</v>
      </c>
      <c r="B121" s="32" t="s">
        <v>213</v>
      </c>
      <c r="C121" s="95">
        <f>('DOE25'!L206)+('DOE25'!L224)+('DOE25'!L242)</f>
        <v>3748237.95</v>
      </c>
      <c r="D121" s="24" t="s">
        <v>288</v>
      </c>
      <c r="E121" s="95">
        <f>+('DOE25'!L285)+('DOE25'!L304)+('DOE25'!L323)</f>
        <v>0</v>
      </c>
      <c r="F121" s="24" t="s">
        <v>288</v>
      </c>
      <c r="G121" s="24" t="s">
        <v>288</v>
      </c>
    </row>
    <row r="122" spans="1:7" x14ac:dyDescent="0.2">
      <c r="A122" t="s">
        <v>214</v>
      </c>
      <c r="B122" s="32" t="s">
        <v>215</v>
      </c>
      <c r="C122" s="95">
        <f>('DOE25'!L207)+('DOE25'!L225)+('DOE25'!L243)</f>
        <v>1022100.3199999998</v>
      </c>
      <c r="D122" s="24" t="s">
        <v>288</v>
      </c>
      <c r="E122" s="95">
        <f>+('DOE25'!L286)+('DOE25'!L305)+('DOE25'!L324)</f>
        <v>0</v>
      </c>
      <c r="F122" s="24" t="s">
        <v>288</v>
      </c>
      <c r="G122" s="24" t="s">
        <v>288</v>
      </c>
    </row>
    <row r="123" spans="1:7" x14ac:dyDescent="0.2">
      <c r="A123" t="s">
        <v>216</v>
      </c>
      <c r="B123" s="32" t="s">
        <v>217</v>
      </c>
      <c r="C123" s="95">
        <f>('DOE25'!L208)+('DOE25'!L226)+('DOE25'!L244)</f>
        <v>7768959.5999999996</v>
      </c>
      <c r="D123" s="24" t="s">
        <v>288</v>
      </c>
      <c r="E123" s="95">
        <f>+('DOE25'!L287)+('DOE25'!L306)+('DOE25'!L325)</f>
        <v>0</v>
      </c>
      <c r="F123" s="24" t="s">
        <v>288</v>
      </c>
      <c r="G123" s="24" t="s">
        <v>288</v>
      </c>
    </row>
    <row r="124" spans="1:7" x14ac:dyDescent="0.2">
      <c r="A124" t="s">
        <v>218</v>
      </c>
      <c r="B124" s="32" t="s">
        <v>219</v>
      </c>
      <c r="C124" s="95">
        <f>('DOE25'!L209)+('DOE25'!L227)+('DOE25'!L245+'DOE25'!L255)</f>
        <v>3955764.75</v>
      </c>
      <c r="D124" s="24" t="s">
        <v>288</v>
      </c>
      <c r="E124" s="95">
        <f>+('DOE25'!L288)+('DOE25'!L307)+('DOE25'!L326)</f>
        <v>0</v>
      </c>
      <c r="F124" s="24" t="s">
        <v>288</v>
      </c>
      <c r="G124" s="24" t="s">
        <v>288</v>
      </c>
    </row>
    <row r="125" spans="1:7" x14ac:dyDescent="0.2">
      <c r="A125" t="s">
        <v>220</v>
      </c>
      <c r="B125" s="32" t="s">
        <v>221</v>
      </c>
      <c r="C125" s="95">
        <f>('DOE25'!L210)+('DOE25'!L228)+('DOE25'!L246)</f>
        <v>1960241.5300000003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1336325.73</v>
      </c>
      <c r="E127" s="24" t="s">
        <v>288</v>
      </c>
      <c r="F127" s="24" t="s">
        <v>288</v>
      </c>
      <c r="G127" s="24" t="s">
        <v>288</v>
      </c>
    </row>
    <row r="128" spans="1:7" ht="12.75" thickTop="1" thickBot="1" x14ac:dyDescent="0.25">
      <c r="A128" s="33" t="s">
        <v>226</v>
      </c>
      <c r="C128" s="86">
        <f>SUM(C118:C127)</f>
        <v>28333264.160000004</v>
      </c>
      <c r="D128" s="86">
        <f>SUM(D118:D127)</f>
        <v>1336325.73</v>
      </c>
      <c r="E128" s="86">
        <f>SUM(E118:E127)</f>
        <v>253607.12000000002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1625000</v>
      </c>
      <c r="D131" s="24" t="s">
        <v>288</v>
      </c>
      <c r="E131" s="129">
        <f>'DOE25'!L342</f>
        <v>0</v>
      </c>
      <c r="F131" s="24" t="s">
        <v>288</v>
      </c>
      <c r="G131" s="24" t="s">
        <v>288</v>
      </c>
    </row>
    <row r="132" spans="1:7" x14ac:dyDescent="0.2">
      <c r="A132" t="s">
        <v>230</v>
      </c>
      <c r="B132" s="32">
        <v>5120</v>
      </c>
      <c r="C132" s="95">
        <f>'DOE25'!L262</f>
        <v>421448.23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1275014.8</v>
      </c>
    </row>
    <row r="135" spans="1:7" x14ac:dyDescent="0.2">
      <c r="A135" t="s">
        <v>233</v>
      </c>
      <c r="B135" s="32" t="s">
        <v>234</v>
      </c>
      <c r="C135" s="95">
        <f>'DOE25'!L264</f>
        <v>96342.95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431513.74</v>
      </c>
      <c r="D138" s="24" t="s">
        <v>288</v>
      </c>
      <c r="E138" s="24" t="s">
        <v>288</v>
      </c>
      <c r="F138" s="24" t="s">
        <v>288</v>
      </c>
      <c r="G138" s="24" t="s">
        <v>288</v>
      </c>
    </row>
    <row r="139" spans="1:7" x14ac:dyDescent="0.2">
      <c r="A139" t="s">
        <v>239</v>
      </c>
      <c r="B139" s="32">
        <v>5252</v>
      </c>
      <c r="C139" s="95">
        <f>'DOE25'!L402</f>
        <v>690359.71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-21873.449999999953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3242791.1799999997</v>
      </c>
      <c r="D144" s="141">
        <f>SUM(D130:D143)</f>
        <v>0</v>
      </c>
      <c r="E144" s="141">
        <f>SUM(E130:E143)</f>
        <v>0</v>
      </c>
      <c r="F144" s="141">
        <f>SUM(F130:F143)</f>
        <v>0</v>
      </c>
      <c r="G144" s="141">
        <f>SUM(G130:G143)</f>
        <v>1275014.8</v>
      </c>
    </row>
    <row r="145" spans="1:9" ht="12.75" thickTop="1" thickBot="1" x14ac:dyDescent="0.25">
      <c r="A145" s="33" t="s">
        <v>244</v>
      </c>
      <c r="C145" s="86">
        <f>(C115+C128+C144)</f>
        <v>77594355.400000006</v>
      </c>
      <c r="D145" s="86">
        <f>(D115+D128+D144)</f>
        <v>1336325.73</v>
      </c>
      <c r="E145" s="86">
        <f>(E115+E128+E144)</f>
        <v>1538917.2100000004</v>
      </c>
      <c r="F145" s="86">
        <f>(F115+F128+F144)</f>
        <v>0</v>
      </c>
      <c r="G145" s="86">
        <f>(G115+G128+G144)</f>
        <v>1275014.8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12</v>
      </c>
      <c r="E151" s="153">
        <f>'DOE25'!I491</f>
        <v>10</v>
      </c>
      <c r="F151" s="153">
        <f>'DOE25'!J491</f>
        <v>0</v>
      </c>
      <c r="G151" s="24" t="s">
        <v>288</v>
      </c>
    </row>
    <row r="152" spans="1:9" x14ac:dyDescent="0.2">
      <c r="A152" s="136" t="s">
        <v>28</v>
      </c>
      <c r="B152" s="152" t="str">
        <f>'DOE25'!F492</f>
        <v>04/02</v>
      </c>
      <c r="C152" s="152" t="str">
        <f>'DOE25'!G492</f>
        <v>05/2017</v>
      </c>
      <c r="D152" s="152" t="str">
        <f>'DOE25'!H492</f>
        <v>05/14</v>
      </c>
      <c r="E152" s="152" t="str">
        <f>'DOE25'!I492</f>
        <v>07/14</v>
      </c>
      <c r="F152" s="152">
        <f>'DOE25'!J492</f>
        <v>0</v>
      </c>
      <c r="G152" s="24" t="s">
        <v>288</v>
      </c>
    </row>
    <row r="153" spans="1:9" x14ac:dyDescent="0.2">
      <c r="A153" s="136" t="s">
        <v>29</v>
      </c>
      <c r="B153" s="152" t="str">
        <f>'DOE25'!F493</f>
        <v>07/22</v>
      </c>
      <c r="C153" s="152" t="str">
        <f>'DOE25'!G493</f>
        <v>07/2028</v>
      </c>
      <c r="D153" s="152" t="str">
        <f>'DOE25'!H493</f>
        <v>08/25</v>
      </c>
      <c r="E153" s="152" t="str">
        <f>'DOE25'!I493</f>
        <v>07/24</v>
      </c>
      <c r="F153" s="152">
        <f>'DOE25'!J493</f>
        <v>0</v>
      </c>
      <c r="G153" s="24" t="s">
        <v>288</v>
      </c>
    </row>
    <row r="154" spans="1:9" x14ac:dyDescent="0.2">
      <c r="A154" s="136" t="s">
        <v>30</v>
      </c>
      <c r="B154" s="137">
        <f>'DOE25'!F494</f>
        <v>12030000</v>
      </c>
      <c r="C154" s="137">
        <f>'DOE25'!G494</f>
        <v>2720000</v>
      </c>
      <c r="D154" s="137">
        <f>'DOE25'!H494</f>
        <v>2955000</v>
      </c>
      <c r="E154" s="137">
        <f>'DOE25'!I494</f>
        <v>3895000</v>
      </c>
      <c r="F154" s="137">
        <f>'DOE25'!J494</f>
        <v>0</v>
      </c>
      <c r="G154" s="24" t="s">
        <v>288</v>
      </c>
    </row>
    <row r="155" spans="1:9" x14ac:dyDescent="0.2">
      <c r="A155" s="136" t="s">
        <v>31</v>
      </c>
      <c r="B155" s="137">
        <f>'DOE25'!F495</f>
        <v>4.57</v>
      </c>
      <c r="C155" s="137">
        <f>'DOE25'!G495</f>
        <v>2.69</v>
      </c>
      <c r="D155" s="137">
        <f>'DOE25'!H495</f>
        <v>1.94</v>
      </c>
      <c r="E155" s="137">
        <f>'DOE25'!I495</f>
        <v>2.14</v>
      </c>
      <c r="F155" s="137">
        <f>'DOE25'!J495</f>
        <v>0</v>
      </c>
      <c r="G155" s="24" t="s">
        <v>288</v>
      </c>
    </row>
    <row r="156" spans="1:9" x14ac:dyDescent="0.2">
      <c r="A156" s="22" t="s">
        <v>32</v>
      </c>
      <c r="B156" s="137">
        <f>'DOE25'!F496</f>
        <v>2660000</v>
      </c>
      <c r="C156" s="137">
        <f>'DOE25'!G496</f>
        <v>2645000</v>
      </c>
      <c r="D156" s="137">
        <f>'DOE25'!H496</f>
        <v>1960000</v>
      </c>
      <c r="E156" s="137">
        <f>'DOE25'!I496</f>
        <v>2335000</v>
      </c>
      <c r="F156" s="137">
        <f>'DOE25'!J496</f>
        <v>0</v>
      </c>
      <c r="G156" s="138">
        <f>SUM(B156:F156)</f>
        <v>9600000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665000</v>
      </c>
      <c r="C158" s="137">
        <f>'DOE25'!G498</f>
        <v>275000</v>
      </c>
      <c r="D158" s="137">
        <f>'DOE25'!H498</f>
        <v>295000</v>
      </c>
      <c r="E158" s="137">
        <f>'DOE25'!I498</f>
        <v>390000</v>
      </c>
      <c r="F158" s="137">
        <f>'DOE25'!J498</f>
        <v>0</v>
      </c>
      <c r="G158" s="138">
        <f t="shared" si="0"/>
        <v>1625000</v>
      </c>
    </row>
    <row r="159" spans="1:9" x14ac:dyDescent="0.2">
      <c r="A159" s="22" t="s">
        <v>35</v>
      </c>
      <c r="B159" s="137">
        <f>'DOE25'!F499</f>
        <v>1995000</v>
      </c>
      <c r="C159" s="137">
        <f>'DOE25'!G499</f>
        <v>2370000</v>
      </c>
      <c r="D159" s="137">
        <f>'DOE25'!H499</f>
        <v>1665000</v>
      </c>
      <c r="E159" s="137">
        <f>'DOE25'!I499</f>
        <v>1945000</v>
      </c>
      <c r="F159" s="137">
        <f>'DOE25'!J499</f>
        <v>0</v>
      </c>
      <c r="G159" s="138">
        <f t="shared" si="0"/>
        <v>7975000</v>
      </c>
    </row>
    <row r="160" spans="1:9" x14ac:dyDescent="0.2">
      <c r="A160" s="22" t="s">
        <v>36</v>
      </c>
      <c r="B160" s="137">
        <f>'DOE25'!F500</f>
        <v>149625</v>
      </c>
      <c r="C160" s="137">
        <f>'DOE25'!G500</f>
        <v>282006.37</v>
      </c>
      <c r="D160" s="137">
        <f>'DOE25'!H500</f>
        <v>114065.66</v>
      </c>
      <c r="E160" s="137">
        <f>'DOE25'!I500</f>
        <v>145575</v>
      </c>
      <c r="F160" s="137">
        <f>'DOE25'!J500</f>
        <v>0</v>
      </c>
      <c r="G160" s="138">
        <f t="shared" si="0"/>
        <v>691272.03</v>
      </c>
    </row>
    <row r="161" spans="1:7" x14ac:dyDescent="0.2">
      <c r="A161" s="22" t="s">
        <v>37</v>
      </c>
      <c r="B161" s="137">
        <f>'DOE25'!F501</f>
        <v>2144625</v>
      </c>
      <c r="C161" s="137">
        <f>'DOE25'!G501</f>
        <v>2652006.37</v>
      </c>
      <c r="D161" s="137">
        <f>'DOE25'!H501</f>
        <v>1779065.66</v>
      </c>
      <c r="E161" s="137">
        <f>'DOE25'!I501</f>
        <v>2090575</v>
      </c>
      <c r="F161" s="137">
        <f>'DOE25'!J501</f>
        <v>0</v>
      </c>
      <c r="G161" s="138">
        <f t="shared" si="0"/>
        <v>8666272.0300000012</v>
      </c>
    </row>
    <row r="162" spans="1:7" x14ac:dyDescent="0.2">
      <c r="A162" s="22" t="s">
        <v>38</v>
      </c>
      <c r="B162" s="137">
        <f>'DOE25'!F502</f>
        <v>665000</v>
      </c>
      <c r="C162" s="137">
        <f>'DOE25'!G502</f>
        <v>275000</v>
      </c>
      <c r="D162" s="137">
        <f>'DOE25'!H502</f>
        <v>290000</v>
      </c>
      <c r="E162" s="137">
        <f>'DOE25'!I502</f>
        <v>390000</v>
      </c>
      <c r="F162" s="137">
        <f>'DOE25'!J502</f>
        <v>0</v>
      </c>
      <c r="G162" s="138">
        <f t="shared" si="0"/>
        <v>1620000</v>
      </c>
    </row>
    <row r="163" spans="1:7" x14ac:dyDescent="0.2">
      <c r="A163" s="22" t="s">
        <v>39</v>
      </c>
      <c r="B163" s="137">
        <f>'DOE25'!F503</f>
        <v>83125</v>
      </c>
      <c r="C163" s="137">
        <f>'DOE25'!G503</f>
        <v>60127.03</v>
      </c>
      <c r="D163" s="137">
        <f>'DOE25'!H503</f>
        <v>34493.760000000002</v>
      </c>
      <c r="E163" s="137">
        <f>'DOE25'!I503</f>
        <v>52500</v>
      </c>
      <c r="F163" s="137">
        <f>'DOE25'!J503</f>
        <v>0</v>
      </c>
      <c r="G163" s="138">
        <f t="shared" si="0"/>
        <v>230245.79</v>
      </c>
    </row>
    <row r="164" spans="1:7" x14ac:dyDescent="0.2">
      <c r="A164" s="22" t="s">
        <v>246</v>
      </c>
      <c r="B164" s="137">
        <f>'DOE25'!F504</f>
        <v>748125</v>
      </c>
      <c r="C164" s="137">
        <f>'DOE25'!G504</f>
        <v>335127.03000000003</v>
      </c>
      <c r="D164" s="137">
        <f>'DOE25'!H504</f>
        <v>324493.76</v>
      </c>
      <c r="E164" s="137">
        <f>'DOE25'!I504</f>
        <v>442500</v>
      </c>
      <c r="F164" s="137">
        <f>'DOE25'!J504</f>
        <v>0</v>
      </c>
      <c r="G164" s="138">
        <f t="shared" si="0"/>
        <v>1850245.79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LONDONDERRY SCHOOL DISTRICT</v>
      </c>
    </row>
    <row r="3" spans="1:4" x14ac:dyDescent="0.2">
      <c r="B3" s="188" t="s">
        <v>1587</v>
      </c>
    </row>
    <row r="4" spans="1:4" x14ac:dyDescent="0.2">
      <c r="B4" t="s">
        <v>61</v>
      </c>
      <c r="C4" s="179">
        <f>IF('DOE25'!F666+'DOE25'!F671=0,0,ROUND('DOE25'!F673,0))</f>
        <v>18621</v>
      </c>
    </row>
    <row r="5" spans="1:4" x14ac:dyDescent="0.2">
      <c r="B5" t="s">
        <v>700</v>
      </c>
      <c r="C5" s="179">
        <f>IF('DOE25'!G666+'DOE25'!G671=0,0,ROUND('DOE25'!G673,0))</f>
        <v>16664</v>
      </c>
    </row>
    <row r="6" spans="1:4" x14ac:dyDescent="0.2">
      <c r="B6" t="s">
        <v>62</v>
      </c>
      <c r="C6" s="179">
        <f>IF('DOE25'!H666+'DOE25'!H671=0,0,ROUND('DOE25'!H673,0))</f>
        <v>16941</v>
      </c>
    </row>
    <row r="7" spans="1:4" x14ac:dyDescent="0.2">
      <c r="B7" t="s">
        <v>701</v>
      </c>
      <c r="C7" s="179">
        <f>IF('DOE25'!I666+'DOE25'!I671=0,0,ROUND('DOE25'!I673,0))</f>
        <v>17567</v>
      </c>
    </row>
    <row r="9" spans="1:4" x14ac:dyDescent="0.2">
      <c r="A9" s="187" t="s">
        <v>94</v>
      </c>
      <c r="B9" s="188" t="s">
        <v>1588</v>
      </c>
      <c r="C9" s="181" t="s">
        <v>720</v>
      </c>
      <c r="D9" s="181" t="s">
        <v>721</v>
      </c>
    </row>
    <row r="10" spans="1:4" x14ac:dyDescent="0.2">
      <c r="A10">
        <v>1100</v>
      </c>
      <c r="B10" t="s">
        <v>702</v>
      </c>
      <c r="C10" s="179">
        <f>ROUND('DOE25'!L198+'DOE25'!L216+'DOE25'!L234+'DOE25'!L277+'DOE25'!L296+'DOE25'!L315,0)</f>
        <v>29589441</v>
      </c>
      <c r="D10" s="182">
        <f>ROUND((C10/$C$28)*100,1)</f>
        <v>38.5</v>
      </c>
    </row>
    <row r="11" spans="1:4" x14ac:dyDescent="0.2">
      <c r="A11">
        <v>1200</v>
      </c>
      <c r="B11" t="s">
        <v>703</v>
      </c>
      <c r="C11" s="179">
        <f>ROUND('DOE25'!L199+'DOE25'!L217+'DOE25'!L235+'DOE25'!L278+'DOE25'!L297+'DOE25'!L316,0)</f>
        <v>15888127</v>
      </c>
      <c r="D11" s="182">
        <f>ROUND((C11/$C$28)*100,1)</f>
        <v>20.7</v>
      </c>
    </row>
    <row r="12" spans="1:4" x14ac:dyDescent="0.2">
      <c r="A12">
        <v>1300</v>
      </c>
      <c r="B12" t="s">
        <v>704</v>
      </c>
      <c r="C12" s="179">
        <f>ROUND('DOE25'!L200+'DOE25'!L218+'DOE25'!L236+'DOE25'!L279+'DOE25'!L298+'DOE25'!L317,0)</f>
        <v>101700</v>
      </c>
      <c r="D12" s="182">
        <f>ROUND((C12/$C$28)*100,1)</f>
        <v>0.1</v>
      </c>
    </row>
    <row r="13" spans="1:4" x14ac:dyDescent="0.2">
      <c r="A13">
        <v>1400</v>
      </c>
      <c r="B13" t="s">
        <v>705</v>
      </c>
      <c r="C13" s="179">
        <f>ROUND('DOE25'!L201+'DOE25'!L219+'DOE25'!L237+'DOE25'!L280+'DOE25'!L299+'DOE25'!L318,0)</f>
        <v>1635913</v>
      </c>
      <c r="D13" s="182">
        <f>ROUND((C13/$C$28)*100,1)</f>
        <v>2.1</v>
      </c>
    </row>
    <row r="14" spans="1:4" x14ac:dyDescent="0.2">
      <c r="D14" s="182"/>
    </row>
    <row r="15" spans="1:4" x14ac:dyDescent="0.2">
      <c r="A15">
        <v>2100</v>
      </c>
      <c r="B15" t="s">
        <v>706</v>
      </c>
      <c r="C15" s="179">
        <f>ROUND('DOE25'!L203+'DOE25'!L221+'DOE25'!L239+'DOE25'!L282+'DOE25'!L301+'DOE25'!L320,0)</f>
        <v>7098564</v>
      </c>
      <c r="D15" s="182">
        <f t="shared" ref="D15:D27" si="0">ROUND((C15/$C$28)*100,1)</f>
        <v>9.1999999999999993</v>
      </c>
    </row>
    <row r="16" spans="1:4" x14ac:dyDescent="0.2">
      <c r="A16">
        <v>2200</v>
      </c>
      <c r="B16" t="s">
        <v>707</v>
      </c>
      <c r="C16" s="179">
        <f>ROUND('DOE25'!L204+'DOE25'!L222+'DOE25'!L240+'DOE25'!L283+'DOE25'!L302+'DOE25'!L321,0)</f>
        <v>1820033</v>
      </c>
      <c r="D16" s="182">
        <f t="shared" si="0"/>
        <v>2.4</v>
      </c>
    </row>
    <row r="17" spans="1:4" x14ac:dyDescent="0.2">
      <c r="A17" s="183" t="s">
        <v>723</v>
      </c>
      <c r="B17" t="s">
        <v>738</v>
      </c>
      <c r="C17" s="179">
        <f>ROUND('DOE25'!L205+'DOE25'!L210+'DOE25'!L223+'DOE25'!L228+'DOE25'!L241+'DOE25'!L246+'DOE25'!L284+'DOE25'!L289+'DOE25'!L303+'DOE25'!L308+'DOE25'!L322+'DOE25'!L327,0)</f>
        <v>3173212</v>
      </c>
      <c r="D17" s="182">
        <f t="shared" si="0"/>
        <v>4.0999999999999996</v>
      </c>
    </row>
    <row r="18" spans="1:4" x14ac:dyDescent="0.2">
      <c r="A18">
        <v>2400</v>
      </c>
      <c r="B18" t="s">
        <v>711</v>
      </c>
      <c r="C18" s="179">
        <f>ROUND('DOE25'!L206+'DOE25'!L224+'DOE25'!L242+'DOE25'!L285+'DOE25'!L304+'DOE25'!L323,0)</f>
        <v>3748238</v>
      </c>
      <c r="D18" s="182">
        <f t="shared" si="0"/>
        <v>4.9000000000000004</v>
      </c>
    </row>
    <row r="19" spans="1:4" x14ac:dyDescent="0.2">
      <c r="A19">
        <v>2500</v>
      </c>
      <c r="B19" t="s">
        <v>708</v>
      </c>
      <c r="C19" s="179">
        <f>ROUND('DOE25'!L207+'DOE25'!L225+'DOE25'!L243+'DOE25'!L286+'DOE25'!L305+'DOE25'!L324,0)</f>
        <v>1022100</v>
      </c>
      <c r="D19" s="182">
        <f t="shared" si="0"/>
        <v>1.3</v>
      </c>
    </row>
    <row r="20" spans="1:4" x14ac:dyDescent="0.2">
      <c r="A20">
        <v>2600</v>
      </c>
      <c r="B20" t="s">
        <v>709</v>
      </c>
      <c r="C20" s="179">
        <f>ROUND('DOE25'!L208+'DOE25'!L226+'DOE25'!L244+'DOE25'!L287+'DOE25'!L306+'DOE25'!L325,0)</f>
        <v>7768960</v>
      </c>
      <c r="D20" s="182">
        <f t="shared" si="0"/>
        <v>10.1</v>
      </c>
    </row>
    <row r="21" spans="1:4" x14ac:dyDescent="0.2">
      <c r="A21">
        <v>2700</v>
      </c>
      <c r="B21" t="s">
        <v>710</v>
      </c>
      <c r="C21" s="179">
        <f>ROUND('DOE25'!L209+'DOE25'!L227+'DOE25'!L245+'DOE25'!L288+'DOE25'!L307+'DOE25'!L326,0)</f>
        <v>3955765</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88430</v>
      </c>
      <c r="D24" s="182">
        <f t="shared" si="0"/>
        <v>0.1</v>
      </c>
    </row>
    <row r="25" spans="1:4" x14ac:dyDescent="0.2">
      <c r="A25">
        <v>5120</v>
      </c>
      <c r="B25" t="s">
        <v>716</v>
      </c>
      <c r="C25" s="179">
        <f>ROUND('DOE25'!L262+'DOE25'!L343,0)</f>
        <v>421448</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512558.91000000003</v>
      </c>
      <c r="D27" s="182">
        <f t="shared" si="0"/>
        <v>0.7</v>
      </c>
    </row>
    <row r="28" spans="1:4" x14ac:dyDescent="0.2">
      <c r="B28" s="187" t="s">
        <v>719</v>
      </c>
      <c r="C28" s="180">
        <f>SUM(C10:C27)</f>
        <v>76824489.909999996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76824489.909999996</v>
      </c>
    </row>
    <row r="31" spans="1:4" x14ac:dyDescent="0.2">
      <c r="B31" s="33"/>
      <c r="C31" s="180"/>
    </row>
    <row r="32" spans="1:4" x14ac:dyDescent="0.2">
      <c r="A32">
        <v>5100</v>
      </c>
      <c r="B32" s="33" t="s">
        <v>726</v>
      </c>
      <c r="C32" s="180">
        <f>ROUND('DOE25'!L261+'DOE25'!L342,0)</f>
        <v>1625000</v>
      </c>
    </row>
    <row r="34" spans="1:4" x14ac:dyDescent="0.2">
      <c r="A34" s="187" t="s">
        <v>94</v>
      </c>
      <c r="B34" s="188" t="s">
        <v>1589</v>
      </c>
      <c r="C34" s="181" t="s">
        <v>720</v>
      </c>
      <c r="D34" s="181" t="s">
        <v>721</v>
      </c>
    </row>
    <row r="35" spans="1:4" x14ac:dyDescent="0.2">
      <c r="A35">
        <v>1100</v>
      </c>
      <c r="B35" s="185" t="s">
        <v>727</v>
      </c>
      <c r="C35" s="179">
        <f>ROUND('DOE25'!F60+'DOE25'!G60+'DOE25'!H60+'DOE25'!I60+'DOE25'!J60,0)</f>
        <v>55911934</v>
      </c>
      <c r="D35" s="182">
        <f t="shared" ref="D35:D40" si="1">ROUND((C35/$C$41)*100,1)</f>
        <v>70.8</v>
      </c>
    </row>
    <row r="36" spans="1:4" x14ac:dyDescent="0.2">
      <c r="B36" s="185" t="s">
        <v>739</v>
      </c>
      <c r="C36" s="179">
        <f>SUM('DOE25'!F112:J112)-SUM('DOE25'!G97:G110)+('DOE25'!F175+'DOE25'!F176+'DOE25'!I175+'DOE25'!I176)-C35</f>
        <v>1770417.1799999997</v>
      </c>
      <c r="D36" s="182">
        <f t="shared" si="1"/>
        <v>2.2000000000000002</v>
      </c>
    </row>
    <row r="37" spans="1:4" x14ac:dyDescent="0.2">
      <c r="A37" s="183" t="s">
        <v>835</v>
      </c>
      <c r="B37" s="185" t="s">
        <v>728</v>
      </c>
      <c r="C37" s="179">
        <f>ROUND('DOE25'!F117+'DOE25'!F118,0)</f>
        <v>18291253</v>
      </c>
      <c r="D37" s="182">
        <f t="shared" si="1"/>
        <v>23.2</v>
      </c>
    </row>
    <row r="38" spans="1:4" x14ac:dyDescent="0.2">
      <c r="A38" s="183" t="s">
        <v>734</v>
      </c>
      <c r="B38" s="185" t="s">
        <v>729</v>
      </c>
      <c r="C38" s="179">
        <f>ROUND(SUM('DOE25'!F140:J140)-SUM('DOE25'!F117:F119),0)</f>
        <v>874557</v>
      </c>
      <c r="D38" s="182">
        <f t="shared" si="1"/>
        <v>1.1000000000000001</v>
      </c>
    </row>
    <row r="39" spans="1:4" x14ac:dyDescent="0.2">
      <c r="A39">
        <v>4000</v>
      </c>
      <c r="B39" s="185" t="s">
        <v>730</v>
      </c>
      <c r="C39" s="179">
        <f>ROUND('DOE25'!F170+'DOE25'!G170+'DOE25'!H170+'DOE25'!I170,0)</f>
        <v>2011476</v>
      </c>
      <c r="D39" s="182">
        <f t="shared" si="1"/>
        <v>2.5</v>
      </c>
    </row>
    <row r="40" spans="1:4" x14ac:dyDescent="0.2">
      <c r="A40" s="183" t="s">
        <v>735</v>
      </c>
      <c r="B40" s="185" t="s">
        <v>731</v>
      </c>
      <c r="C40" s="179">
        <f>ROUND(SUM('DOE25'!F190:F192)+SUM('DOE25'!G190:G192)+SUM('DOE25'!H190:H192)+SUM('DOE25'!I190:I192),0)</f>
        <v>135484</v>
      </c>
      <c r="D40" s="182">
        <f t="shared" si="1"/>
        <v>0.2</v>
      </c>
    </row>
    <row r="41" spans="1:4" x14ac:dyDescent="0.2">
      <c r="B41" s="187" t="s">
        <v>732</v>
      </c>
      <c r="C41" s="180">
        <f>SUM(C35:C40)</f>
        <v>78995121.180000007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LONDONDERRY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t="s">
        <v>1651</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2020-09-16T13:57:55Z</cp:lastPrinted>
  <dcterms:created xsi:type="dcterms:W3CDTF">1997-12-04T19:04:30Z</dcterms:created>
  <dcterms:modified xsi:type="dcterms:W3CDTF">2020-12-11T18:30:53Z</dcterms:modified>
</cp:coreProperties>
</file>