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29" i="13" l="1"/>
  <c r="F15" i="13"/>
  <c r="F14" i="13"/>
  <c r="D11" i="13"/>
  <c r="B12" i="12"/>
  <c r="I605" i="1"/>
  <c r="H605" i="1"/>
  <c r="J592" i="1"/>
  <c r="H592" i="1"/>
  <c r="K533" i="1"/>
  <c r="H529" i="1"/>
  <c r="G529" i="1"/>
  <c r="F529" i="1"/>
  <c r="H528" i="1"/>
  <c r="G528" i="1"/>
  <c r="F528" i="1"/>
  <c r="I527" i="1"/>
  <c r="H527" i="1"/>
  <c r="G527" i="1"/>
  <c r="F527" i="1"/>
  <c r="F499" i="1"/>
  <c r="I321" i="1"/>
  <c r="I318" i="1"/>
  <c r="I299" i="1"/>
  <c r="F277" i="1"/>
  <c r="I315" i="1"/>
  <c r="I296" i="1"/>
  <c r="G296" i="1"/>
  <c r="F296" i="1"/>
  <c r="I277" i="1"/>
  <c r="G277" i="1"/>
  <c r="J246" i="1"/>
  <c r="H244" i="1"/>
  <c r="J244" i="1"/>
  <c r="I244" i="1"/>
  <c r="G244" i="1"/>
  <c r="F244" i="1"/>
  <c r="K241" i="1"/>
  <c r="I241" i="1"/>
  <c r="H241" i="1"/>
  <c r="G241" i="1"/>
  <c r="F241" i="1"/>
  <c r="G240" i="1"/>
  <c r="I239" i="1"/>
  <c r="G239" i="1"/>
  <c r="F239" i="1"/>
  <c r="G234" i="1"/>
  <c r="F234" i="1"/>
  <c r="J226" i="1"/>
  <c r="I226" i="1"/>
  <c r="H226" i="1"/>
  <c r="G226" i="1"/>
  <c r="F226" i="1"/>
  <c r="K223" i="1"/>
  <c r="I223" i="1"/>
  <c r="H223" i="1"/>
  <c r="G223" i="1"/>
  <c r="F223" i="1"/>
  <c r="G222" i="1"/>
  <c r="I221" i="1"/>
  <c r="G221" i="1"/>
  <c r="F221" i="1"/>
  <c r="G216" i="1"/>
  <c r="F216" i="1"/>
  <c r="J208" i="1"/>
  <c r="I208" i="1"/>
  <c r="H208" i="1"/>
  <c r="G208" i="1"/>
  <c r="F208" i="1"/>
  <c r="K205" i="1"/>
  <c r="I205" i="1"/>
  <c r="H205" i="1"/>
  <c r="G205" i="1"/>
  <c r="F205" i="1"/>
  <c r="G204" i="1"/>
  <c r="I203" i="1"/>
  <c r="G203" i="1"/>
  <c r="F203" i="1"/>
  <c r="G198" i="1"/>
  <c r="F198" i="1"/>
  <c r="H242" i="1"/>
  <c r="H246" i="1"/>
  <c r="H239" i="1"/>
  <c r="H236" i="1"/>
  <c r="H234" i="1"/>
  <c r="H228" i="1"/>
  <c r="H224" i="1"/>
  <c r="H206" i="1"/>
  <c r="H203" i="1"/>
  <c r="H198" i="1"/>
  <c r="F22" i="1"/>
  <c r="F28" i="1"/>
  <c r="F30" i="1"/>
  <c r="F14" i="1"/>
  <c r="H155" i="1"/>
  <c r="H469" i="1"/>
  <c r="H30" i="1"/>
  <c r="G466" i="1"/>
  <c r="J473" i="1"/>
  <c r="J469" i="1"/>
  <c r="G441" i="1"/>
  <c r="F441" i="1"/>
  <c r="I397" i="1"/>
  <c r="I396" i="1"/>
  <c r="H397" i="1"/>
  <c r="H361" i="1"/>
  <c r="H360" i="1"/>
  <c r="H359" i="1"/>
  <c r="J361" i="1"/>
  <c r="G14" i="1"/>
  <c r="G97" i="1"/>
  <c r="F57"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c r="C15" i="13"/>
  <c r="L227" i="1"/>
  <c r="G663" i="1"/>
  <c r="L245"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L335" i="1"/>
  <c r="L336" i="1"/>
  <c r="L261" i="1"/>
  <c r="C131" i="2"/>
  <c r="L262" i="1"/>
  <c r="C132" i="2"/>
  <c r="L342" i="1"/>
  <c r="E131" i="2"/>
  <c r="L343" i="1"/>
  <c r="L256" i="1"/>
  <c r="L337" i="1"/>
  <c r="E130" i="2"/>
  <c r="C11" i="13"/>
  <c r="C10" i="13"/>
  <c r="C9" i="13"/>
  <c r="L362" i="1"/>
  <c r="B4" i="12"/>
  <c r="B36" i="12"/>
  <c r="C36" i="12"/>
  <c r="B40" i="12"/>
  <c r="C40" i="12"/>
  <c r="B27" i="12"/>
  <c r="C27" i="12"/>
  <c r="B31" i="12"/>
  <c r="A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56" i="2"/>
  <c r="F79" i="1"/>
  <c r="C57" i="2"/>
  <c r="F94" i="1"/>
  <c r="F111" i="1"/>
  <c r="G111" i="1"/>
  <c r="H79" i="1"/>
  <c r="H94" i="1"/>
  <c r="H111" i="1"/>
  <c r="I111" i="1"/>
  <c r="I112" i="1"/>
  <c r="J111" i="1"/>
  <c r="J112" i="1"/>
  <c r="F121" i="1"/>
  <c r="F136" i="1"/>
  <c r="G121" i="1"/>
  <c r="G136" i="1"/>
  <c r="H121" i="1"/>
  <c r="H136" i="1"/>
  <c r="I121" i="1"/>
  <c r="I136" i="1"/>
  <c r="J121" i="1"/>
  <c r="J140" i="1"/>
  <c r="J136" i="1"/>
  <c r="F147" i="1"/>
  <c r="F170" i="1"/>
  <c r="G147" i="1"/>
  <c r="H147" i="1"/>
  <c r="H170" i="1"/>
  <c r="I147" i="1"/>
  <c r="L251" i="1"/>
  <c r="C113" i="2"/>
  <c r="L333" i="1"/>
  <c r="E113" i="2"/>
  <c r="L255" i="1"/>
  <c r="L269" i="1"/>
  <c r="L270" i="1"/>
  <c r="L350" i="1"/>
  <c r="E142" i="2"/>
  <c r="L351" i="1"/>
  <c r="E143" i="2"/>
  <c r="I666" i="1"/>
  <c r="I671" i="1"/>
  <c r="I670" i="1"/>
  <c r="C42" i="10"/>
  <c r="L375" i="1"/>
  <c r="L376" i="1"/>
  <c r="L377" i="1"/>
  <c r="L378" i="1"/>
  <c r="L379" i="1"/>
  <c r="L380" i="1"/>
  <c r="L381" i="1"/>
  <c r="B2" i="10"/>
  <c r="L345" i="1"/>
  <c r="E134" i="2"/>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E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3" i="2"/>
  <c r="E124" i="2"/>
  <c r="E125" i="2"/>
  <c r="F128" i="2"/>
  <c r="G128" i="2"/>
  <c r="C130" i="2"/>
  <c r="D134" i="2"/>
  <c r="D14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G625"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I370" i="1"/>
  <c r="H635" i="1"/>
  <c r="F370" i="1"/>
  <c r="G370" i="1"/>
  <c r="H370" i="1"/>
  <c r="L382" i="1"/>
  <c r="F383" i="1"/>
  <c r="G383" i="1"/>
  <c r="H383" i="1"/>
  <c r="I383" i="1"/>
  <c r="J383" i="1"/>
  <c r="K383" i="1"/>
  <c r="F394" i="1"/>
  <c r="G394" i="1"/>
  <c r="H394" i="1"/>
  <c r="I394" i="1"/>
  <c r="F402" i="1"/>
  <c r="G402" i="1"/>
  <c r="H402" i="1"/>
  <c r="I402" i="1"/>
  <c r="I409" i="1"/>
  <c r="F408" i="1"/>
  <c r="G408"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G477"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J656" i="1"/>
  <c r="A40" i="12"/>
  <c r="G62" i="2"/>
  <c r="I170" i="1"/>
  <c r="H140" i="1"/>
  <c r="J652" i="1"/>
  <c r="E110" i="2"/>
  <c r="E119" i="2"/>
  <c r="E128" i="2"/>
  <c r="K339" i="1"/>
  <c r="K353" i="1"/>
  <c r="G339" i="1"/>
  <c r="G353" i="1"/>
  <c r="C112" i="2"/>
  <c r="C12" i="10"/>
  <c r="C11" i="10"/>
  <c r="J258" i="1"/>
  <c r="J272" i="1"/>
  <c r="C125" i="2"/>
  <c r="C119" i="2"/>
  <c r="C13" i="10"/>
  <c r="C121" i="2"/>
  <c r="C120" i="2"/>
  <c r="F258" i="1"/>
  <c r="F272" i="1"/>
  <c r="H112" i="1"/>
  <c r="G646" i="1"/>
  <c r="H409" i="1"/>
  <c r="H645" i="1"/>
  <c r="G662" i="1"/>
  <c r="C32" i="10"/>
  <c r="H477" i="1"/>
  <c r="H625" i="1"/>
  <c r="J625" i="1"/>
  <c r="C91" i="2"/>
  <c r="G409" i="1"/>
  <c r="H646" i="1"/>
  <c r="H193" i="1"/>
  <c r="E114" i="2"/>
  <c r="C20" i="10"/>
  <c r="D6" i="13"/>
  <c r="C6" i="13"/>
  <c r="E13" i="13"/>
  <c r="C13" i="13"/>
  <c r="L402" i="1"/>
  <c r="C139" i="2"/>
  <c r="H462" i="1"/>
  <c r="H642" i="1"/>
  <c r="G553" i="1"/>
  <c r="F339" i="1"/>
  <c r="F353" i="1"/>
  <c r="J642" i="1"/>
  <c r="L561" i="1"/>
  <c r="G462" i="1"/>
  <c r="H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E81" i="2"/>
  <c r="G546" i="1"/>
  <c r="J644"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L212" i="1"/>
  <c r="H648" i="1"/>
  <c r="J645"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c r="F145" i="2"/>
  <c r="G170" i="1"/>
  <c r="B12" i="16"/>
  <c r="J618" i="1"/>
  <c r="K552" i="1"/>
  <c r="I25" i="13"/>
  <c r="K551" i="1"/>
  <c r="L535" i="1"/>
  <c r="K501" i="1"/>
  <c r="I461" i="1"/>
  <c r="I453" i="1"/>
  <c r="I447" i="1"/>
  <c r="G643" i="1"/>
  <c r="H339" i="1"/>
  <c r="H353" i="1"/>
  <c r="C123" i="2"/>
  <c r="E109"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E144" i="2"/>
  <c r="F50" i="2"/>
  <c r="F51" i="2"/>
  <c r="C24" i="10"/>
  <c r="H31" i="13"/>
  <c r="H33" i="13"/>
  <c r="I339" i="1"/>
  <c r="I353" i="1"/>
  <c r="J651" i="1"/>
  <c r="L408" i="1"/>
  <c r="C140"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D103" i="2"/>
  <c r="I140" i="1"/>
  <c r="A22" i="12"/>
  <c r="G50" i="2"/>
  <c r="J653" i="1"/>
  <c r="G572" i="1"/>
  <c r="I435" i="1"/>
  <c r="G435" i="1"/>
  <c r="I664" i="1"/>
  <c r="E115" i="2"/>
  <c r="E145" i="2"/>
  <c r="G24" i="14"/>
  <c r="H24" i="14"/>
  <c r="I24" i="14"/>
  <c r="H649" i="1"/>
  <c r="J649" i="1"/>
  <c r="H661" i="1"/>
  <c r="H665" i="1"/>
  <c r="H668" i="1"/>
  <c r="F661" i="1"/>
  <c r="F665" i="1"/>
  <c r="F668" i="1"/>
  <c r="G36" i="14"/>
  <c r="H36" i="14"/>
  <c r="I36" i="14"/>
  <c r="E51" i="2"/>
  <c r="J646" i="1"/>
  <c r="F194" i="1"/>
  <c r="G628" i="1"/>
  <c r="J628" i="1"/>
  <c r="C141" i="2"/>
  <c r="C144" i="2"/>
  <c r="C81" i="2"/>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F673" i="1"/>
  <c r="C4" i="10"/>
  <c r="H673" i="1"/>
  <c r="C6" i="10" s="1"/>
  <c r="C104" i="2"/>
  <c r="I661" i="1"/>
  <c r="I665" i="1"/>
  <c r="I673"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 r="C7"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<sst xmlns="http://schemas.openxmlformats.org/spreadsheetml/2006/main" count="5547" uniqueCount="1645">
  <si>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</si>
  <si>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</si>
  <si>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</si>
  <si>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</si>
  <si>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</si>
  <si>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</si>
  <si>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</si>
  <si>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</si>
  <si>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</si>
  <si>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</si>
  <si>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</si>
  <si>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</si>
  <si>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</si>
  <si>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</si>
  <si>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</si>
  <si>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</si>
  <si>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</si>
  <si>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</si>
  <si>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</si>
  <si>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</si>
  <si>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</si>
  <si>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</si>
  <si>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</si>
  <si>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</si>
  <si>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</si>
  <si>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</si>
  <si>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</si>
  <si>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</si>
  <si>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</si>
  <si>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</si>
  <si>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</si>
  <si>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</si>
  <si>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</si>
  <si>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</si>
  <si>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</si>
  <si>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</si>
  <si>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</si>
  <si>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</si>
  <si>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</si>
  <si>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</si>
  <si>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</si>
  <si>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</si>
  <si>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</si>
  <si>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</si>
  <si>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</si>
  <si>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</si>
  <si>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</si>
  <si>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</si>
  <si>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</si>
  <si>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</si>
  <si>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</si>
  <si>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</si>
  <si>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</si>
  <si>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</si>
  <si>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</si>
  <si>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</si>
  <si>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</si>
  <si>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</si>
  <si>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</si>
  <si>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</si>
  <si>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</si>
  <si>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</si>
  <si>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</si>
  <si>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</si>
  <si>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</si>
  <si>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</si>
  <si>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</si>
  <si>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</si>
  <si>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</si>
  <si>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</si>
  <si>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</si>
  <si>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</si>
  <si>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</si>
  <si>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</si>
  <si>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</si>
  <si>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</si>
  <si>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</si>
  <si>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</si>
  <si>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</si>
  <si>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</si>
  <si>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</si>
  <si>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</si>
  <si>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</si>
  <si>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</si>
  <si>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</si>
  <si>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</si>
  <si>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</si>
  <si>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</si>
  <si>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</si>
  <si>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</si>
  <si>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</si>
  <si>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</si>
  <si>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</si>
  <si>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</si>
  <si>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</si>
  <si>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</si>
  <si>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</si>
  <si>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</si>
  <si>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</si>
  <si>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</si>
  <si>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</si>
  <si>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</si>
  <si>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</si>
  <si>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</si>
  <si>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</si>
  <si>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</si>
  <si>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</si>
  <si>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</si>
  <si>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</si>
  <si>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</si>
  <si>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</si>
  <si>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</si>
  <si>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</si>
  <si>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</si>
  <si>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</si>
  <si>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</si>
  <si>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</si>
  <si>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</si>
  <si>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</si>
  <si>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</si>
  <si>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</si>
  <si>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</si>
  <si>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</si>
  <si>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</si>
  <si>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</si>
  <si>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</si>
  <si>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</si>
  <si>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</si>
  <si>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</si>
  <si>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</si>
  <si>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</si>
  <si>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</si>
  <si>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</si>
  <si>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</si>
  <si>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</si>
  <si>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</si>
  <si>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</si>
  <si>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</si>
  <si>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</si>
  <si>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</si>
  <si>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</si>
  <si>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</si>
  <si>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</si>
  <si>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</si>
  <si>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</si>
  <si>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</si>
  <si>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</si>
  <si>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</si>
  <si>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</si>
  <si>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</si>
  <si>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</si>
  <si>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</si>
  <si>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</si>
  <si>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</si>
  <si>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</si>
  <si>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</si>
  <si>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</si>
  <si>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</si>
  <si>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</si>
  <si>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</si>
  <si>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</si>
  <si>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</si>
  <si>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</si>
  <si>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</si>
  <si>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</si>
  <si>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</si>
  <si>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</si>
  <si>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</si>
  <si>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</si>
  <si>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</si>
  <si>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</si>
  <si>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</si>
  <si>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</si>
  <si>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</si>
  <si>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</si>
  <si>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</si>
  <si>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</si>
  <si>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</si>
  <si>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</si>
  <si>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</si>
  <si>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</si>
  <si>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</si>
  <si>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</si>
  <si>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</si>
  <si>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</si>
  <si>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</si>
  <si>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</si>
  <si>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</si>
  <si>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</si>
  <si>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</si>
  <si>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</si>
  <si>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</si>
  <si>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</si>
  <si>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</si>
  <si>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</si>
  <si>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</si>
  <si>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</si>
  <si>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</si>
  <si>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</si>
  <si>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</si>
  <si>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</si>
  <si>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</si>
  <si>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</si>
  <si>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</si>
  <si>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</si>
  <si>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</si>
  <si>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</si>
  <si>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</si>
  <si>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</si>
  <si>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</si>
  <si>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</si>
  <si>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</si>
  <si>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</si>
  <si>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</si>
  <si>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</si>
  <si>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</si>
  <si>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</si>
  <si>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</si>
  <si>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</si>
  <si>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</si>
  <si>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</si>
  <si>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</si>
  <si>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</si>
  <si>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</si>
  <si>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</si>
  <si>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</si>
  <si>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</si>
  <si>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</si>
  <si>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</si>
  <si>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</si>
  <si>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</si>
  <si>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</si>
  <si>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</si>
  <si>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</si>
  <si>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</si>
  <si>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</si>
  <si>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</si>
  <si>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</si>
  <si>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</si>
  <si>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</si>
  <si>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</si>
  <si>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</si>
  <si>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</si>
  <si>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</si>
  <si>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</si>
  <si>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</si>
  <si>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</si>
  <si>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</si>
  <si>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</si>
  <si>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</si>
  <si>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</si>
  <si>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</si>
  <si>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</si>
  <si>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</si>
  <si>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</si>
  <si>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</si>
  <si>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</si>
  <si>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</si>
  <si>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</si>
  <si>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</si>
  <si>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</si>
  <si>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</si>
  <si>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</si>
  <si>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</si>
  <si>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</si>
  <si>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</si>
  <si>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</si>
  <si>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</si>
  <si>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</si>
  <si>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</si>
  <si>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</si>
  <si>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</si>
  <si>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</si>
  <si>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</si>
  <si>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</si>
  <si>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</si>
  <si>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</si>
  <si>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</si>
  <si>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</si>
  <si>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</si>
  <si>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</si>
  <si>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</si>
  <si>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</si>
  <si>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</si>
  <si>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</si>
  <si>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</si>
  <si>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</si>
  <si>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</si>
  <si>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</si>
  <si>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</si>
  <si>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</si>
  <si>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</si>
  <si>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</si>
  <si>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</si>
  <si>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</si>
  <si>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</si>
  <si>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</si>
  <si>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</si>
  <si>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</si>
  <si>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</si>
  <si>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</si>
  <si>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</si>
  <si>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</si>
  <si>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</si>
  <si>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</si>
  <si>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</si>
  <si>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</si>
  <si>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</si>
  <si>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</si>
  <si>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</si>
  <si>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</si>
  <si>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</si>
  <si>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</si>
  <si>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</si>
  <si>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</si>
  <si>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</si>
  <si>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</si>
  <si>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</si>
  <si>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</si>
  <si>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</si>
  <si>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</si>
  <si>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</si>
  <si>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</si>
  <si>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</si>
  <si>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</si>
  <si>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</si>
  <si>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</si>
  <si>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</si>
  <si>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</si>
  <si>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</si>
  <si>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</si>
  <si>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</si>
  <si>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</si>
  <si>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</si>
  <si>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</si>
  <si>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</si>
  <si>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</si>
  <si>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</si>
  <si>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</si>
  <si>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</si>
  <si>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</si>
  <si>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</si>
  <si>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</si>
  <si>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</si>
  <si>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</si>
  <si>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</si>
  <si>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</si>
  <si>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</si>
  <si>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</si>
  <si>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</si>
  <si>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</si>
  <si>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</si>
  <si>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</si>
  <si>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</si>
  <si>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</si>
  <si>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</si>
  <si>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</si>
  <si>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</si>
  <si>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</si>
  <si>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</si>
  <si>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</si>
  <si>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</si>
  <si>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</si>
  <si>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</si>
  <si>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</si>
  <si>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</si>
  <si>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</si>
  <si>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</si>
  <si>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</si>
  <si>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</si>
  <si>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</si>
  <si>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</si>
  <si>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</si>
  <si>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</si>
  <si>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</si>
  <si>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</si>
  <si>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</si>
  <si>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</si>
  <si>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</si>
  <si>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</si>
  <si>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</si>
  <si>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</si>
  <si>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</si>
  <si>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</si>
  <si>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</si>
  <si>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</si>
  <si>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</si>
  <si>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</si>
  <si>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</si>
  <si>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</si>
  <si>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</si>
  <si>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</si>
  <si>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</si>
  <si>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</si>
  <si>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</si>
  <si>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</si>
  <si>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</si>
  <si>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</si>
  <si>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</si>
  <si>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</si>
  <si>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</si>
  <si>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</si>
  <si>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</si>
  <si>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</si>
  <si>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</si>
  <si>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</si>
  <si>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</si>
  <si>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</si>
  <si>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</si>
  <si>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</si>
  <si>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</si>
  <si>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</si>
  <si>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</si>
  <si>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</si>
  <si>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</si>
  <si>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</si>
  <si>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</si>
  <si>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</si>
  <si>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</si>
  <si>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</si>
  <si>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</si>
  <si>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</si>
  <si>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</si>
  <si>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</si>
  <si>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</si>
  <si>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</si>
  <si>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</si>
  <si>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</si>
  <si>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</si>
  <si>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</si>
  <si>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</si>
  <si>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</si>
  <si>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</si>
  <si>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</si>
  <si>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</si>
  <si>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</si>
  <si>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</si>
  <si>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</si>
  <si>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</si>
  <si>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</si>
  <si>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</si>
  <si>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</si>
  <si>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</si>
  <si>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</si>
  <si>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</si>
  <si>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</si>
  <si>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</si>
  <si>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</si>
  <si>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</si>
  <si>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</si>
  <si>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</si>
  <si>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</si>
  <si>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</si>
  <si>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</si>
  <si>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</si>
  <si>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</si>
  <si>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</si>
  <si>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</si>
  <si>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</si>
  <si>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</si>
  <si>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</si>
  <si>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</si>
  <si>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</si>
  <si>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</si>
  <si>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</si>
  <si>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</si>
  <si>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</si>
  <si>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</si>
  <si>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</si>
  <si>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</si>
  <si>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</si>
  <si>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</si>
  <si>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</si>
  <si>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</si>
  <si>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</si>
  <si>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</si>
  <si>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</si>
  <si>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</si>
  <si>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</si>
  <si>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</si>
  <si>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</si>
  <si>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</si>
  <si>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</si>
  <si>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</si>
  <si>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</si>
  <si>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</si>
  <si>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</si>
  <si>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</si>
  <si>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</si>
  <si>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</si>
  <si>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</si>
  <si>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</si>
  <si>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</si>
  <si>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</si>
  <si>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</si>
  <si>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</si>
  <si>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</si>
  <si>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</si>
  <si>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</si>
  <si>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</si>
  <si>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</si>
  <si>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</si>
  <si>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</si>
  <si>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</si>
  <si>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</si>
  <si>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</si>
  <si>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</si>
  <si>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</si>
  <si>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</si>
  <si>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</si>
  <si>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</si>
  <si>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</si>
  <si>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</si>
  <si>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</si>
  <si>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</si>
  <si>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</si>
  <si>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</si>
  <si>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</si>
  <si>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</si>
  <si>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</si>
  <si>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</si>
  <si>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</si>
  <si>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</si>
  <si>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</si>
  <si>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</si>
  <si>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</si>
  <si>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</si>
  <si>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</si>
  <si>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</si>
  <si>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</si>
  <si>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</si>
  <si>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</si>
  <si>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</si>
  <si>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</si>
  <si>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</si>
  <si>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</si>
  <si>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</si>
  <si>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</si>
  <si>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</si>
  <si>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</si>
  <si>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</si>
  <si>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</si>
  <si>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</si>
  <si>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</si>
  <si>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</si>
  <si>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</si>
  <si>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</si>
  <si>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</si>
  <si>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</si>
  <si>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</si>
  <si>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</si>
  <si>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</si>
  <si>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</si>
  <si>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</si>
  <si>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</si>
  <si>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</si>
  <si>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</si>
  <si>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</si>
  <si>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</si>
  <si>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</si>
  <si>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</si>
  <si>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</si>
  <si>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</si>
  <si>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</si>
  <si>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</si>
  <si>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</si>
  <si>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</si>
  <si>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</si>
  <si>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</si>
  <si>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</si>
  <si>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</si>
  <si>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</si>
  <si>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</si>
  <si>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</si>
  <si>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</si>
  <si>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</si>
  <si>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</si>
  <si>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</si>
  <si>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</si>
  <si>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</si>
  <si>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</si>
  <si>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</si>
  <si>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</si>
  <si>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</si>
  <si>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</si>
  <si>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</si>
  <si>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</si>
  <si>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</si>
  <si>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</si>
  <si>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</si>
  <si>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</si>
  <si>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</si>
  <si>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</si>
  <si>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</si>
  <si>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</si>
  <si>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</si>
  <si>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</si>
  <si>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</si>
  <si>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</si>
  <si>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</si>
  <si>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</si>
  <si>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</si>
  <si>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</si>
  <si>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</si>
  <si>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</si>
  <si>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</si>
  <si>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</si>
  <si>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</si>
  <si>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</si>
  <si>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</si>
  <si>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</si>
  <si>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</si>
  <si>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</si>
  <si>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</si>
  <si>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</si>
  <si>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</si>
  <si>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</si>
  <si>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</si>
  <si>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</si>
  <si>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</si>
  <si>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</si>
  <si>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</si>
  <si>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</si>
  <si>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</si>
  <si>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</si>
  <si>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</si>
  <si>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</si>
  <si>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</si>
  <si>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</si>
  <si>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</si>
  <si>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</si>
  <si>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</si>
  <si>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</si>
  <si>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</si>
  <si>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</si>
  <si>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</si>
  <si>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</si>
  <si>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</si>
  <si>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</si>
  <si>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</si>
  <si>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</si>
  <si>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</si>
  <si>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</si>
  <si>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</si>
  <si>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</si>
  <si>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</si>
  <si>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</si>
  <si>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</si>
  <si>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</si>
  <si>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</si>
  <si>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</si>
  <si>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</si>
  <si>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</si>
  <si>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</si>
  <si>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</si>
  <si>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</si>
  <si>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</si>
  <si>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</si>
  <si>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</si>
  <si>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</si>
  <si>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</si>
  <si>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</si>
  <si>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</si>
  <si>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</si>
  <si>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</si>
  <si>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</si>
  <si>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</si>
  <si>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</si>
  <si>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</si>
  <si>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</si>
  <si>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</si>
  <si>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</si>
  <si>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</si>
  <si>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</si>
  <si>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</si>
  <si>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</si>
  <si>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</si>
  <si>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</si>
  <si>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</si>
  <si>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</si>
  <si>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</si>
  <si>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</si>
  <si>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</si>
  <si>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</si>
  <si>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</si>
  <si>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</si>
  <si>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</si>
  <si>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</si>
  <si>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</si>
  <si>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</si>
  <si>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</si>
  <si>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</si>
  <si>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</si>
  <si>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</si>
  <si>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</si>
  <si>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</si>
  <si>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</si>
  <si>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</si>
  <si>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</si>
  <si>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</si>
  <si>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</si>
  <si>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</si>
  <si>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</si>
  <si>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</si>
  <si>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</si>
  <si>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</si>
  <si>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</si>
  <si>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</si>
  <si>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</si>
  <si>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</si>
  <si>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</si>
  <si>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</si>
  <si>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</si>
  <si>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</si>
  <si>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</si>
  <si>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</si>
  <si>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</si>
  <si>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</si>
  <si>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</si>
  <si>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</si>
  <si>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</si>
  <si>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</si>
  <si>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</si>
  <si>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</si>
  <si>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</si>
  <si>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</si>
  <si>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</si>
  <si>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</si>
  <si>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</si>
  <si>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</si>
  <si>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</si>
  <si>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</si>
  <si>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</si>
  <si>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</si>
  <si>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</si>
  <si>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</si>
  <si>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</si>
  <si>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</si>
  <si>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</si>
  <si>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</si>
  <si>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</si>
  <si>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</si>
  <si>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</si>
  <si>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</si>
  <si>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</si>
  <si>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</si>
  <si>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</si>
  <si>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</si>
  <si>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</si>
  <si>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</si>
  <si>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</si>
  <si>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</si>
  <si>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</si>
  <si>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</si>
  <si>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</si>
  <si>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</si>
  <si>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</si>
  <si>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</si>
  <si>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</si>
  <si>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</si>
  <si>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</si>
  <si>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</si>
  <si>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</si>
  <si>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</si>
  <si>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</si>
  <si>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</si>
  <si>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</si>
  <si>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</si>
  <si>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</si>
  <si>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</si>
  <si>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</si>
  <si>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</si>
  <si>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</si>
  <si>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</si>
  <si>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</si>
  <si>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</si>
  <si>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</si>
  <si>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</si>
  <si>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</si>
  <si>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</si>
  <si>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</si>
  <si>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</si>
  <si>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</si>
  <si>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</si>
  <si>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</si>
  <si>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</si>
  <si>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</si>
  <si>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</si>
  <si>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</si>
  <si>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</si>
  <si>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</si>
  <si>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</si>
  <si>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</si>
  <si>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</si>
  <si>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</si>
  <si>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</si>
  <si>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</si>
  <si>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</si>
  <si>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</si>
  <si>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</si>
  <si>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</si>
  <si>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</si>
  <si>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</si>
  <si>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</si>
  <si>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</si>
  <si>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</si>
  <si>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</si>
  <si>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</si>
  <si>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</si>
  <si>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</si>
  <si>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</si>
  <si>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</si>
  <si>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</si>
  <si>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</si>
  <si>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</si>
  <si>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</si>
  <si>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</si>
  <si>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</si>
  <si>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</si>
  <si>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</si>
  <si>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</si>
  <si>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</si>
  <si>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</si>
  <si>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</si>
  <si>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</si>
  <si>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</si>
  <si>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</si>
  <si>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</si>
  <si>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</si>
  <si>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</si>
  <si>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</si>
  <si>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</si>
  <si>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</si>
  <si>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</si>
  <si>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</si>
  <si>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</si>
  <si>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</si>
  <si>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</si>
  <si>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</si>
  <si>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</si>
  <si>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</si>
  <si>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</si>
  <si>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</si>
  <si>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</si>
  <si>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</si>
  <si>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</si>
  <si>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</si>
  <si>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</si>
  <si>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</si>
  <si>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</si>
  <si>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</si>
  <si>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</si>
  <si>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</si>
  <si>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</si>
  <si>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</si>
  <si>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</si>
  <si>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</si>
  <si>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</si>
  <si>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</si>
  <si>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</si>
  <si>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</si>
  <si>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</si>
  <si>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</si>
  <si>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</si>
  <si>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</si>
  <si>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</si>
  <si>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</si>
  <si>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</si>
  <si>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</si>
  <si>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</si>
  <si>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</si>
  <si>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</si>
  <si>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</si>
  <si>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</si>
  <si>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</si>
  <si>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</si>
  <si>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</si>
  <si>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</si>
  <si>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</si>
  <si>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</si>
  <si>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</si>
  <si>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</si>
  <si>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</si>
  <si>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</si>
  <si>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</si>
  <si>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</si>
  <si>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</si>
  <si>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</si>
  <si>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</si>
  <si>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</si>
  <si>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</si>
  <si>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</si>
  <si>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</si>
  <si>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</si>
  <si>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</si>
  <si>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</si>
  <si>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</si>
  <si>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</si>
  <si>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</si>
  <si>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</si>
  <si>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</si>
  <si>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</si>
  <si>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</si>
  <si>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</si>
  <si>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</si>
  <si>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</si>
  <si>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</si>
  <si>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</si>
  <si>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</si>
  <si>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</si>
  <si>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</si>
  <si>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</si>
  <si>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</si>
  <si>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</si>
  <si>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</si>
  <si>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</si>
  <si>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</si>
  <si>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</si>
  <si>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</si>
  <si>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</si>
  <si>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</si>
  <si>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</si>
  <si>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</si>
  <si>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</si>
  <si>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</si>
  <si>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</si>
  <si>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</si>
  <si>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</si>
  <si>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</si>
  <si>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</si>
  <si>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</si>
  <si>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</si>
  <si>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</si>
  <si>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</si>
  <si>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</si>
  <si>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</si>
  <si>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</si>
  <si>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</si>
  <si>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</si>
  <si>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</si>
  <si>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</si>
  <si>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</si>
  <si>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</si>
  <si>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</si>
  <si>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</si>
  <si>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</si>
  <si>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</si>
  <si>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</si>
  <si>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</si>
  <si>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</si>
  <si>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</si>
  <si>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</si>
  <si>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</si>
  <si>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</si>
  <si>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</si>
  <si>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</si>
  <si>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</si>
  <si>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</si>
  <si>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</si>
  <si>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</si>
  <si>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</si>
  <si>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</si>
  <si>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</si>
  <si>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</si>
  <si>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</si>
  <si>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</si>
  <si>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</si>
  <si>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</si>
  <si>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</si>
  <si>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</si>
  <si>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</si>
  <si>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</si>
  <si>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</si>
  <si>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</si>
  <si>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</si>
  <si>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</si>
  <si>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</si>
  <si>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</si>
  <si>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</si>
  <si>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</si>
  <si>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</si>
  <si>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</si>
  <si>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</si>
  <si>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</si>
  <si>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</si>
  <si>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</si>
  <si>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</si>
  <si>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</si>
  <si>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</si>
  <si>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</si>
  <si>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</si>
  <si>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</si>
  <si>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</si>
  <si>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</si>
  <si>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</si>
  <si>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</si>
  <si>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</si>
  <si>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</si>
  <si>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</si>
  <si>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</si>
  <si>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</si>
  <si>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</si>
  <si>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</si>
  <si>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</si>
  <si>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</si>
  <si>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</si>
  <si>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</si>
  <si>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</si>
  <si>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</si>
  <si>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</si>
  <si>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</si>
  <si>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</si>
  <si>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</si>
  <si>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</si>
  <si>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</si>
  <si>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</si>
  <si>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</si>
  <si>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</si>
  <si>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</si>
  <si>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</si>
  <si>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</si>
  <si>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</si>
  <si>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</si>
  <si>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</si>
  <si>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</si>
  <si>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</si>
  <si>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</si>
  <si>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</si>
  <si>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</si>
  <si>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</si>
  <si>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</si>
  <si>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</si>
  <si>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</si>
  <si>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</si>
  <si>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</si>
  <si>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</si>
  <si>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</si>
  <si>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</si>
  <si>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</si>
  <si>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</si>
  <si>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</si>
  <si>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</si>
  <si>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</si>
  <si>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</si>
  <si>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</si>
  <si>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</si>
  <si>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</si>
  <si>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</si>
  <si>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</si>
  <si>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</si>
  <si>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</si>
  <si>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</si>
  <si>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</si>
  <si>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</si>
  <si>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</si>
  <si>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</si>
  <si>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</si>
  <si>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</si>
  <si>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</si>
  <si>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</si>
  <si>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</si>
  <si>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</si>
  <si>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</si>
  <si>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</si>
  <si>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</si>
  <si>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</si>
  <si>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</si>
  <si>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</si>
  <si>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</si>
  <si>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</si>
  <si>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</si>
  <si>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</si>
  <si>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</si>
  <si>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</si>
  <si>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</si>
  <si>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</si>
  <si>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</si>
  <si>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</si>
  <si>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</si>
  <si>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</si>
  <si>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</si>
  <si>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</si>
  <si>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</si>
  <si>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</si>
  <si>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</si>
  <si>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</si>
  <si>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</si>
  <si>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</si>
  <si>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</si>
  <si>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</si>
  <si>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</si>
  <si>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</si>
  <si>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</si>
  <si>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</si>
  <si>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</si>
  <si>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</si>
  <si>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</si>
  <si>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</si>
  <si>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</si>
  <si>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</si>
  <si>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</si>
  <si>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</si>
  <si>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</si>
  <si>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</si>
  <si>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</si>
  <si>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</si>
  <si>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</si>
  <si>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</si>
  <si>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</si>
  <si>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</si>
  <si>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</si>
  <si>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</si>
  <si>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</si>
  <si>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</si>
  <si>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</si>
  <si>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</si>
  <si>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</si>
  <si>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</si>
  <si>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</si>
  <si>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</si>
  <si>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</si>
  <si>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</si>
  <si>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</si>
  <si>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</si>
  <si>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</si>
  <si>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</si>
  <si>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</si>
  <si>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</si>
  <si>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</si>
  <si>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</si>
  <si>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</si>
  <si>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</si>
  <si>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</si>
  <si>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</si>
  <si>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</si>
  <si>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</si>
  <si>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</si>
  <si>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</si>
  <si>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</si>
  <si>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</si>
  <si>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</si>
  <si>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</si>
  <si>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</si>
  <si>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</si>
  <si>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</si>
  <si>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</si>
  <si>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</si>
  <si>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</si>
  <si>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</si>
  <si>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</si>
  <si>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</si>
  <si>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</si>
  <si>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</si>
  <si>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</si>
  <si>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</si>
  <si>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</si>
  <si>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</si>
  <si>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</si>
  <si>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</si>
  <si>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</si>
  <si>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</si>
  <si>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</si>
  <si>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</si>
  <si>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</si>
  <si>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</si>
  <si>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</si>
  <si>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</si>
  <si>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</si>
  <si>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</si>
  <si>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</si>
  <si>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</si>
  <si>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</si>
  <si>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</si>
  <si>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</si>
  <si>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</si>
  <si>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</si>
  <si>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</si>
  <si>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</si>
  <si>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</si>
  <si>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</si>
  <si>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</si>
  <si>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</si>
  <si>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</si>
  <si>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</si>
  <si>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</si>
  <si>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</si>
  <si>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</si>
  <si>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</si>
  <si>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</si>
  <si>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</si>
  <si>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</si>
  <si>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</si>
  <si>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</si>
  <si>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</si>
  <si>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</si>
  <si>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</si>
  <si>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</si>
  <si>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</si>
  <si>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</si>
  <si>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</si>
  <si>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</si>
  <si>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</si>
  <si>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</si>
  <si>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</si>
  <si>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</si>
  <si>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</si>
  <si>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</si>
  <si>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</si>
  <si>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</si>
  <si>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</si>
  <si>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</si>
  <si>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</si>
  <si>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</si>
  <si>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</si>
  <si>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</si>
  <si>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</si>
  <si>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</si>
  <si>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</si>
  <si>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</si>
  <si>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</si>
  <si>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</si>
  <si>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</si>
  <si>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</si>
  <si>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</si>
  <si>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</si>
  <si>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</si>
  <si>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</si>
  <si>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</si>
  <si>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</si>
  <si>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</si>
  <si>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</si>
  <si>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</si>
  <si>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</si>
  <si>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</si>
  <si>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</si>
  <si>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</si>
  <si>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</si>
  <si>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</si>
  <si>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</si>
  <si>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</si>
  <si>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</si>
  <si>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</si>
  <si>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</si>
  <si>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</si>
  <si>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</si>
  <si>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</si>
  <si>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</si>
  <si>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</si>
  <si>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</si>
  <si>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</si>
  <si>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</si>
  <si>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</si>
  <si>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</si>
  <si>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</si>
  <si>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</si>
  <si>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</si>
  <si>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</si>
  <si>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</si>
  <si>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</si>
  <si>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</si>
  <si>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</si>
  <si>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</si>
  <si>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</si>
  <si>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</si>
  <si>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</si>
  <si>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</si>
  <si>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</si>
  <si>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</si>
  <si>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</si>
  <si>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</si>
  <si>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</si>
  <si>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</si>
  <si>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</si>
  <si>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</si>
  <si>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</si>
  <si>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</si>
  <si>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</si>
  <si>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</si>
  <si>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</si>
  <si>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</si>
  <si>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</si>
  <si>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</si>
  <si>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</si>
  <si>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</si>
  <si>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</si>
  <si>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</si>
  <si>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</si>
  <si>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</si>
  <si>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</si>
  <si>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</si>
  <si>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</si>
  <si>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</si>
  <si>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</si>
  <si>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</si>
  <si>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</si>
  <si>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</si>
  <si>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</si>
  <si>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</si>
  <si>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</si>
  <si>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</si>
  <si>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</si>
  <si>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</si>
  <si>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</si>
  <si>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</si>
  <si>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</si>
  <si>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</si>
  <si>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</si>
  <si>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</si>
  <si>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</si>
  <si>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</si>
  <si>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</si>
  <si>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</si>
  <si>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</si>
  <si>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</si>
  <si>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</si>
  <si>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</si>
  <si>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</si>
  <si>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</si>
  <si>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</si>
  <si>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</si>
  <si>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</si>
  <si>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</si>
  <si>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</si>
  <si>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</si>
  <si>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</si>
  <si>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</si>
  <si>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</si>
  <si>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</si>
  <si>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</si>
  <si>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</si>
  <si>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</si>
  <si>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</si>
  <si>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</si>
  <si>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</si>
  <si>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</si>
  <si>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</si>
  <si>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</si>
  <si>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</si>
  <si>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</si>
  <si>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</si>
  <si>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</si>
  <si>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</si>
  <si>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</si>
  <si>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</si>
  <si>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</si>
  <si>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</si>
  <si>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</si>
  <si>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</si>
  <si>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</si>
  <si>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</si>
  <si>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</si>
  <si>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</si>
  <si>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</si>
  <si>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</si>
  <si>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</si>
  <si>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</si>
  <si>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</si>
  <si>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</si>
  <si>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</si>
  <si>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</si>
  <si>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</si>
  <si>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</si>
  <si>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</si>
  <si>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</si>
  <si>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</si>
  <si>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</si>
  <si>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</si>
  <si>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</si>
  <si>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</si>
  <si>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</si>
  <si>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</si>
  <si>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</si>
  <si>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</si>
  <si>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</si>
  <si>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</si>
  <si>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</si>
  <si>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</si>
  <si>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</si>
  <si>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</si>
  <si>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</si>
  <si>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</si>
  <si>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</si>
  <si>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</si>
  <si>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</si>
  <si>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</si>
  <si>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</si>
  <si>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</si>
  <si>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</si>
  <si>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</si>
  <si>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</si>
  <si>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</si>
  <si>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</si>
  <si>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</si>
  <si>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</si>
  <si>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</si>
  <si>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</si>
  <si>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</si>
  <si>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</si>
  <si>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</si>
  <si>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</si>
  <si>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</si>
  <si>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</si>
  <si>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</si>
  <si>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</si>
  <si>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</si>
  <si>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</si>
  <si>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</si>
  <si>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</si>
  <si>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</si>
  <si>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</si>
  <si>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</si>
  <si>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</si>
  <si>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</si>
  <si>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</si>
  <si>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</si>
  <si>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</si>
  <si>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</si>
  <si>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</si>
  <si>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</si>
  <si>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</si>
  <si>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</si>
  <si>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</si>
  <si>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</si>
  <si>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</si>
  <si>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</si>
  <si>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</si>
  <si>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</si>
  <si>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</si>
  <si>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</si>
  <si>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</si>
  <si>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</si>
  <si>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</si>
  <si>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</si>
  <si>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</si>
  <si>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</si>
  <si>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</si>
  <si>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</si>
  <si>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</si>
  <si>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</si>
  <si>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</si>
  <si>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</si>
  <si>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</si>
  <si>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</si>
  <si>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</si>
  <si>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</si>
  <si>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</si>
  <si>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</si>
  <si>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</si>
  <si>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</si>
  <si>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</si>
  <si>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</si>
  <si>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</si>
  <si>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</si>
  <si>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</si>
  <si>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</si>
  <si>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</si>
  <si>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</si>
  <si>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</si>
  <si>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</si>
  <si>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</si>
  <si>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</si>
  <si>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</si>
  <si>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</si>
  <si>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</si>
  <si>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</si>
  <si>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</si>
  <si>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</si>
  <si>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</si>
  <si>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</si>
  <si>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</si>
  <si>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</si>
  <si>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</si>
  <si>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</si>
  <si>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</si>
  <si>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</si>
  <si>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</si>
  <si>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</si>
  <si>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</si>
  <si>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</si>
  <si>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</si>
  <si>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</si>
  <si>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</si>
  <si>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</si>
  <si>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</si>
  <si>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</si>
  <si>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</si>
  <si>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</si>
  <si>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</si>
  <si>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</si>
  <si>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</si>
  <si>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</si>
  <si>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</si>
  <si>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</si>
  <si>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</si>
  <si>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</si>
  <si>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</si>
  <si>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</si>
  <si>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</si>
  <si>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</si>
  <si>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</si>
  <si>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</si>
  <si>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</si>
  <si>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</si>
  <si>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</si>
  <si>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</si>
  <si>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</si>
  <si>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</si>
  <si>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</si>
  <si>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</si>
  <si>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</si>
  <si>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</si>
  <si>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</si>
  <si>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</si>
  <si>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</si>
  <si>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</si>
  <si>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</si>
  <si>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</si>
  <si>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</si>
  <si>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</si>
  <si>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</si>
  <si>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</si>
  <si>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</si>
  <si>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</si>
  <si>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</si>
  <si>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</si>
  <si>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</si>
  <si>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</si>
  <si>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</si>
  <si>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</si>
  <si>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</si>
  <si>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</si>
  <si>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</si>
  <si>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</si>
  <si>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</si>
  <si>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</si>
  <si>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</si>
  <si>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</si>
  <si>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</si>
  <si>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</si>
  <si>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</si>
  <si>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</si>
  <si>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</si>
  <si>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</si>
  <si>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</si>
  <si>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</si>
  <si>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</si>
  <si>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</si>
  <si>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</si>
  <si>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</si>
  <si>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</si>
  <si>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</si>
  <si>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</si>
  <si>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</si>
  <si>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</si>
  <si>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</si>
  <si>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</si>
  <si>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</si>
  <si>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</si>
  <si>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</si>
  <si>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</si>
  <si>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</si>
  <si>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</si>
  <si>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</si>
  <si>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</si>
  <si>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</si>
  <si>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</si>
  <si>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</si>
  <si>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</si>
  <si>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</si>
  <si>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</si>
  <si>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</si>
  <si>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</si>
  <si>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</si>
  <si>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</si>
  <si>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</si>
  <si>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</si>
  <si>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</si>
  <si>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</si>
  <si>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</si>
  <si>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</si>
  <si>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</si>
  <si>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</si>
  <si>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</si>
  <si>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</si>
  <si>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</si>
  <si>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</si>
  <si>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</si>
  <si>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</si>
  <si>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</si>
  <si>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</si>
  <si>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</si>
  <si>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</si>
  <si>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</si>
  <si>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</si>
  <si>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</si>
  <si>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</si>
  <si>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</si>
  <si>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</si>
  <si>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</si>
  <si>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</si>
  <si>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</si>
  <si>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</si>
  <si>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</si>
  <si>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</si>
  <si>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</si>
  <si>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</si>
  <si>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</si>
  <si>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</si>
  <si>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</si>
  <si>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</si>
  <si>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</si>
  <si>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</si>
  <si>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</si>
  <si>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</si>
  <si>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</si>
  <si>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</si>
  <si>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</si>
  <si>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</si>
  <si>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</si>
  <si>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</si>
  <si>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</si>
  <si>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</si>
  <si>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</si>
  <si>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</si>
  <si>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</si>
  <si>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</si>
  <si>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</si>
  <si>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</si>
  <si>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</si>
  <si>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</si>
  <si>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</si>
  <si>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</si>
  <si>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</si>
  <si>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</si>
  <si>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</si>
  <si>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</si>
  <si>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</si>
  <si>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</si>
  <si>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</si>
  <si>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</si>
  <si>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</si>
  <si>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</si>
  <si>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06/2010</t>
  </si>
  <si>
    <t>09/2026</t>
  </si>
  <si>
    <t>SAU 87 MASCENIC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</si>
</sst>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0" fontId="2" fillId="0" borderId="3" xfId="0" applyNumberFormat="1" applyFont="1" applyBorder="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342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2285882.61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671552.57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31526.92</v>
      </c>
      <c r="G13" s="18">
        <v>17232.78</v>
      </c>
      <c r="H13" s="18">
        <v>231658.75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53566.19-F13+2367.3+41.36</f>
        <v>24447.930000000004</v>
      </c>
      <c r="G14" s="18">
        <f>57381.68-G13</f>
        <v>40148.9</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12863.69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2341857.46</v>
      </c>
      <c r="G19" s="41">
        <f>SUM(G9:G18)</f>
        <v>70245.37</v>
      </c>
      <c r="H19" s="41">
        <f>SUM(H9:H18)</f>
        <v>231658.75</v>
      </c>
      <c r="I19" s="41">
        <f>SUM(I9:I18)</f>
        <v>0</v>
      </c>
      <c r="J19" s="41">
        <f>SUM(J9:J18)</f>
        <v>671552.57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-2553449.58+2285882.61</f>
        <v>-267566.9700000002</v>
      </c>
      <c r="G22" s="18">
        <v>55486.01</v>
      </c>
      <c r="H22" s="18">
        <v>212080.96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71540.43-326.24</f>
        <v>71214.189999999988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17744.88+653153.62</f>
        <v>670898.5</v>
      </c>
      <c r="G30" s="18">
        <v>12555.75</v>
      </c>
      <c r="H30" s="18">
        <f>17083.05+2494.74+323.77</f>
        <v>19901.560000000001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474545.7199999998</v>
      </c>
      <c r="G32" s="41">
        <f>SUM(G22:G31)</f>
        <v>68041.760000000009</v>
      </c>
      <c r="H32" s="41">
        <f>SUM(H22:H31)</f>
        <v>231982.52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12863.69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-10660.08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240298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c r="H48" s="18"/>
      <c r="I48" s="18"/>
      <c r="J48" s="13">
        <f>SUM(I460)</f>
        <v>671552.57000000007</v>
      </c>
      <c r="K48" s="24" t="s">
        <v>288</v>
      </c>
      <c r="L48" s="24" t="s">
        <v>288</v>
      </c>
      <c r="M48" s="8"/>
      <c r="N48" s="266"/>
    </row>
    <row r="49" spans="1:14" s="3" customFormat="1" ht="12.2" customHeight="1" x14ac:dyDescent="0.15">
      <c r="A49" s="1" t="s">
        <v>859</v>
      </c>
      <c r="B49" s="2" t="s">
        <v>289</v>
      </c>
      <c r="C49" s="6">
        <v>34</v>
      </c>
      <c r="D49" s="2"/>
      <c r="E49" s="6">
        <v>753</v>
      </c>
      <c r="F49" s="18">
        <v>153681.54999999999</v>
      </c>
      <c r="G49" s="18"/>
      <c r="H49" s="18">
        <v>-323.77</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1428332.19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1867311.74</v>
      </c>
      <c r="G51" s="41">
        <f>SUM(G35:G50)</f>
        <v>2203.6100000000006</v>
      </c>
      <c r="H51" s="41">
        <f>SUM(H35:H50)</f>
        <v>-323.77</v>
      </c>
      <c r="I51" s="41">
        <f>SUM(I35:I50)</f>
        <v>0</v>
      </c>
      <c r="J51" s="41">
        <f>SUM(J35:J50)</f>
        <v>671552.57000000007</v>
      </c>
      <c r="K51" s="45" t="s">
        <v>288</v>
      </c>
      <c r="L51" s="45" t="s">
        <v>288</v>
      </c>
      <c r="N51" s="264"/>
    </row>
    <row r="52" spans="1:14" s="3" customFormat="1" ht="12.2" customHeight="1" thickTop="1" x14ac:dyDescent="0.15">
      <c r="A52" s="38" t="s">
        <v>455</v>
      </c>
      <c r="B52" s="39" t="s">
        <v>289</v>
      </c>
      <c r="C52" s="6">
        <v>37</v>
      </c>
      <c r="D52" s="39" t="s">
        <v>653</v>
      </c>
      <c r="E52" s="39"/>
      <c r="F52" s="41">
        <f>F51+F32</f>
        <v>2341857.46</v>
      </c>
      <c r="G52" s="41">
        <f>G51+G32</f>
        <v>70245.37000000001</v>
      </c>
      <c r="H52" s="41">
        <f>H51+H32</f>
        <v>231658.75</v>
      </c>
      <c r="I52" s="41">
        <f>I51+I32</f>
        <v>0</v>
      </c>
      <c r="J52" s="41">
        <f>J51+J32</f>
        <v>671552.57000000007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9611902-1077644</f>
        <v>8534258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8534258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6625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14545.24</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21170.239999999998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10474.530000000001</v>
      </c>
      <c r="G96" s="18"/>
      <c r="H96" s="18"/>
      <c r="I96" s="18"/>
      <c r="J96" s="18">
        <v>16120.86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107241.87+1229.75</f>
        <v>108471.62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8415.36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31152.95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22715</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344.26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68625.570000000007</v>
      </c>
      <c r="G110" s="18"/>
      <c r="H110" s="18"/>
      <c r="I110" s="18"/>
      <c r="J110" s="18">
        <v>22635.45</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110574.72</v>
      </c>
      <c r="G111" s="41">
        <f>SUM(G96:G110)</f>
        <v>108471.62</v>
      </c>
      <c r="H111" s="41">
        <f>SUM(H96:H110)</f>
        <v>31152.95</v>
      </c>
      <c r="I111" s="41">
        <f>SUM(I96:I110)</f>
        <v>0</v>
      </c>
      <c r="J111" s="41">
        <f>SUM(J96:J110)</f>
        <v>38756.31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8666002.9600000009</v>
      </c>
      <c r="G112" s="41">
        <f>G60+G111</f>
        <v>108471.62</v>
      </c>
      <c r="H112" s="41">
        <f>H60+H79+H94+H111</f>
        <v>31152.95</v>
      </c>
      <c r="I112" s="41">
        <f>I60+I111</f>
        <v>0</v>
      </c>
      <c r="J112" s="41">
        <f>J60+J111</f>
        <v>38756.31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5357862.43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1077644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6435506.4299999997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797013.02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29799.77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37367.279999999999</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1192.5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5525.05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6029.11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865372.57000000007</v>
      </c>
      <c r="G136" s="41">
        <f>SUM(G123:G135)</f>
        <v>5525.05</v>
      </c>
      <c r="H136" s="41">
        <f>SUM(H123:H135)</f>
        <v>6029.11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7300879</v>
      </c>
      <c r="G140" s="41">
        <f>G121+SUM(G136:G137)</f>
        <v>5525.05</v>
      </c>
      <c r="H140" s="41">
        <f>H121+SUM(H136:H139)</f>
        <v>6029.11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v>29646.43</v>
      </c>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29646.43</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227363.56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131159.88-2818.51</f>
        <v>128341.37000000001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161775.01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381779.19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9749.17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9749.17</v>
      </c>
      <c r="G163" s="41">
        <f>SUM(G150:G162)</f>
        <v>161775.01</v>
      </c>
      <c r="H163" s="41">
        <f>SUM(H150:H162)</f>
        <v>737484.12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9749.17</v>
      </c>
      <c r="G170" s="41">
        <f>G147+G163+SUM(G164:G169)</f>
        <v>191421.44</v>
      </c>
      <c r="H170" s="41">
        <f>H147+H163+SUM(H164:H169)</f>
        <v>737484.12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560134.86</v>
      </c>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560134.86</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87562</v>
      </c>
      <c r="H180" s="18"/>
      <c r="I180" s="18"/>
      <c r="J180" s="18">
        <v>76000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43951.32</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43951.32</v>
      </c>
      <c r="G184" s="41">
        <f>SUM(G180:G183)</f>
        <v>87562</v>
      </c>
      <c r="H184" s="41">
        <f>SUM(H180:H183)</f>
        <v>0</v>
      </c>
      <c r="I184" s="41">
        <f>SUM(I180:I183)</f>
        <v>0</v>
      </c>
      <c r="J184" s="41">
        <f>SUM(J180:J183)</f>
        <v>76000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171983</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171983</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776069.17999999993</v>
      </c>
      <c r="G193" s="41">
        <f>G184+SUM(G189:G192)</f>
        <v>87562</v>
      </c>
      <c r="H193" s="41">
        <f>+H184+SUM(H189:H192)</f>
        <v>0</v>
      </c>
      <c r="I193" s="41">
        <f>I178+I184+SUM(I189:I192)</f>
        <v>0</v>
      </c>
      <c r="J193" s="41">
        <f>J184</f>
        <v>76000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16752700.310000001</v>
      </c>
      <c r="G194" s="47">
        <f>G112+G140+G170+G193</f>
        <v>392980.11</v>
      </c>
      <c r="H194" s="47">
        <f>H112+H140+H170+H193</f>
        <v>774666.17999999993</v>
      </c>
      <c r="I194" s="47">
        <f>I112+I140+I170+I193</f>
        <v>0</v>
      </c>
      <c r="J194" s="47">
        <f>J112+J140+J193</f>
        <v>114756.31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1442845.17+1244.5</f>
        <v>1444089.67</v>
      </c>
      <c r="G198" s="18">
        <f>410.98+761543.62</f>
        <v>761954.6</v>
      </c>
      <c r="H198" s="18">
        <f>19615.9</f>
        <v>19615.900000000001</v>
      </c>
      <c r="I198" s="18">
        <v>61017.83</v>
      </c>
      <c r="J198" s="18">
        <v>20476.509999999998</v>
      </c>
      <c r="K198" s="18"/>
      <c r="L198" s="19">
        <f>SUM(F198:K198)</f>
        <v>2307154.5099999998</v>
      </c>
      <c r="M198" s="8"/>
      <c r="N198" s="266"/>
    </row>
    <row r="199" spans="1:14" s="3" customFormat="1" ht="12.2" customHeight="1" x14ac:dyDescent="0.15">
      <c r="A199" s="1" t="s">
        <v>439</v>
      </c>
      <c r="B199" s="2" t="s">
        <v>341</v>
      </c>
      <c r="C199" s="2" t="s">
        <v>291</v>
      </c>
      <c r="D199" s="2" t="s">
        <v>431</v>
      </c>
      <c r="E199" s="6">
        <v>1200</v>
      </c>
      <c r="F199" s="18">
        <v>268336.65000000002</v>
      </c>
      <c r="G199" s="18">
        <v>137766.71</v>
      </c>
      <c r="H199" s="18">
        <v>66048.3</v>
      </c>
      <c r="I199" s="18">
        <v>894.68</v>
      </c>
      <c r="J199" s="18">
        <v>2624.99</v>
      </c>
      <c r="K199" s="18"/>
      <c r="L199" s="19">
        <f>SUM(F199:K199)</f>
        <v>475671.32999999996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2753</v>
      </c>
      <c r="G201" s="18">
        <v>604.38</v>
      </c>
      <c r="H201" s="18"/>
      <c r="I201" s="18">
        <v>325</v>
      </c>
      <c r="J201" s="18"/>
      <c r="K201" s="18"/>
      <c r="L201" s="19">
        <f>SUM(F201:K201)</f>
        <v>3682.38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11485.3+221428.69</f>
        <v>232913.99</v>
      </c>
      <c r="G203" s="18">
        <f>959.79+101554.47</f>
        <v>102514.26</v>
      </c>
      <c r="H203" s="18">
        <f>71904.83+266.69</f>
        <v>72171.520000000004</v>
      </c>
      <c r="I203" s="18">
        <f>145.96+3638.59</f>
        <v>3784.55</v>
      </c>
      <c r="J203" s="18">
        <v>471.7</v>
      </c>
      <c r="K203" s="18"/>
      <c r="L203" s="19">
        <f t="shared" ref="L203:L209" si="0">SUM(F203:K203)</f>
        <v>411856.02</v>
      </c>
      <c r="M203" s="8"/>
      <c r="N203" s="266"/>
    </row>
    <row r="204" spans="1:14" s="3" customFormat="1" ht="12.2" customHeight="1" x14ac:dyDescent="0.15">
      <c r="A204" s="1" t="s">
        <v>443</v>
      </c>
      <c r="B204" s="2" t="s">
        <v>341</v>
      </c>
      <c r="C204" s="2" t="s">
        <v>295</v>
      </c>
      <c r="D204" s="2" t="s">
        <v>431</v>
      </c>
      <c r="E204" s="6">
        <v>2200</v>
      </c>
      <c r="F204" s="18">
        <v>28070.5</v>
      </c>
      <c r="G204" s="18">
        <f>904.49+40203.22</f>
        <v>41107.71</v>
      </c>
      <c r="H204" s="18">
        <v>9.7200000000000006</v>
      </c>
      <c r="I204" s="18">
        <v>10698.95</v>
      </c>
      <c r="J204" s="18"/>
      <c r="K204" s="18"/>
      <c r="L204" s="19">
        <f t="shared" si="0"/>
        <v>79886.87999999999</v>
      </c>
      <c r="M204" s="8"/>
      <c r="N204" s="266"/>
    </row>
    <row r="205" spans="1:14" s="3" customFormat="1" ht="12.2" customHeight="1" x14ac:dyDescent="0.15">
      <c r="A205" s="1" t="s">
        <v>444</v>
      </c>
      <c r="B205" s="2" t="s">
        <v>341</v>
      </c>
      <c r="C205" s="2" t="s">
        <v>296</v>
      </c>
      <c r="D205" s="2" t="s">
        <v>431</v>
      </c>
      <c r="E205" s="6">
        <v>2300</v>
      </c>
      <c r="F205" s="18">
        <f>140242.36+3590.5</f>
        <v>143832.85999999999</v>
      </c>
      <c r="G205" s="18">
        <f>302.81+64522.25</f>
        <v>64825.06</v>
      </c>
      <c r="H205" s="18">
        <f>21849.47+10057.78+10433.59</f>
        <v>42340.84</v>
      </c>
      <c r="I205" s="18">
        <f>1299.97+733.34</f>
        <v>2033.31</v>
      </c>
      <c r="J205" s="18">
        <v>137.09</v>
      </c>
      <c r="K205" s="18">
        <f>1331.82+2030.67</f>
        <v>3362.49</v>
      </c>
      <c r="L205" s="19">
        <f t="shared" si="0"/>
        <v>256531.64999999997</v>
      </c>
      <c r="M205" s="8"/>
      <c r="N205" s="266"/>
    </row>
    <row r="206" spans="1:14" s="3" customFormat="1" ht="12.2" customHeight="1" x14ac:dyDescent="0.15">
      <c r="A206" s="1" t="s">
        <v>445</v>
      </c>
      <c r="B206" s="2" t="s">
        <v>341</v>
      </c>
      <c r="C206" s="2" t="s">
        <v>297</v>
      </c>
      <c r="D206" s="2" t="s">
        <v>431</v>
      </c>
      <c r="E206" s="6">
        <v>2400</v>
      </c>
      <c r="F206" s="18">
        <v>235852.39</v>
      </c>
      <c r="G206" s="18">
        <v>97079.42</v>
      </c>
      <c r="H206" s="18">
        <f>4030.84+11775.34</f>
        <v>15806.18</v>
      </c>
      <c r="I206" s="18">
        <v>1745.15</v>
      </c>
      <c r="J206" s="18"/>
      <c r="K206" s="18">
        <v>425.29</v>
      </c>
      <c r="L206" s="19">
        <f t="shared" si="0"/>
        <v>350908.43</v>
      </c>
      <c r="M206" s="8"/>
      <c r="N206" s="266"/>
    </row>
    <row r="207" spans="1:14" s="3" customFormat="1" ht="12.2" customHeight="1" x14ac:dyDescent="0.15">
      <c r="A207" s="1" t="s">
        <v>446</v>
      </c>
      <c r="B207" s="2" t="s">
        <v>341</v>
      </c>
      <c r="C207" s="2" t="s">
        <v>298</v>
      </c>
      <c r="D207" s="2" t="s">
        <v>431</v>
      </c>
      <c r="E207" s="6">
        <v>2500</v>
      </c>
      <c r="F207" s="18">
        <v>69735.28</v>
      </c>
      <c r="G207" s="18">
        <v>40776.44</v>
      </c>
      <c r="H207" s="18">
        <v>10545.25</v>
      </c>
      <c r="I207" s="18">
        <v>4533.45</v>
      </c>
      <c r="J207" s="18"/>
      <c r="K207" s="18">
        <v>1321.32</v>
      </c>
      <c r="L207" s="19">
        <f t="shared" si="0"/>
        <v>126911.74</v>
      </c>
      <c r="M207" s="8"/>
      <c r="N207" s="266"/>
    </row>
    <row r="208" spans="1:14" s="3" customFormat="1" ht="12.2" customHeight="1" x14ac:dyDescent="0.15">
      <c r="A208" s="1" t="s">
        <v>447</v>
      </c>
      <c r="B208" s="2" t="s">
        <v>341</v>
      </c>
      <c r="C208" s="2" t="s">
        <v>299</v>
      </c>
      <c r="D208" s="2" t="s">
        <v>431</v>
      </c>
      <c r="E208" s="6">
        <v>2600</v>
      </c>
      <c r="F208" s="18">
        <f>12590.76+143484.61</f>
        <v>156075.37</v>
      </c>
      <c r="G208" s="18">
        <f>6560.9+88435.08</f>
        <v>94995.98</v>
      </c>
      <c r="H208" s="18">
        <f>59217.5+10942.29+6626.81</f>
        <v>76786.600000000006</v>
      </c>
      <c r="I208" s="18">
        <f>7530.68+86060.12</f>
        <v>93590.799999999988</v>
      </c>
      <c r="J208" s="18">
        <f>341.28+521.53</f>
        <v>862.81</v>
      </c>
      <c r="K208" s="18"/>
      <c r="L208" s="19">
        <f t="shared" si="0"/>
        <v>422311.55999999994</v>
      </c>
      <c r="M208" s="8"/>
      <c r="N208" s="266"/>
    </row>
    <row r="209" spans="1:14" s="3" customFormat="1" ht="12.2" customHeight="1" x14ac:dyDescent="0.15">
      <c r="A209" s="1" t="s">
        <v>448</v>
      </c>
      <c r="B209" s="2" t="s">
        <v>341</v>
      </c>
      <c r="C209" s="2" t="s">
        <v>300</v>
      </c>
      <c r="D209" s="2" t="s">
        <v>431</v>
      </c>
      <c r="E209" s="6">
        <v>2700</v>
      </c>
      <c r="F209" s="18"/>
      <c r="G209" s="18"/>
      <c r="H209" s="18">
        <v>229932.59</v>
      </c>
      <c r="I209" s="18"/>
      <c r="J209" s="18"/>
      <c r="K209" s="18"/>
      <c r="L209" s="19">
        <f t="shared" si="0"/>
        <v>229932.59</v>
      </c>
      <c r="M209" s="8"/>
      <c r="N209" s="266"/>
    </row>
    <row r="210" spans="1:14" s="3" customFormat="1" ht="12.2" customHeight="1" x14ac:dyDescent="0.15">
      <c r="A210" s="1" t="s">
        <v>449</v>
      </c>
      <c r="B210" s="2" t="s">
        <v>341</v>
      </c>
      <c r="C210" s="2" t="s">
        <v>343</v>
      </c>
      <c r="D210" s="2" t="s">
        <v>431</v>
      </c>
      <c r="E210" s="6">
        <v>2800</v>
      </c>
      <c r="F210" s="18">
        <v>42966.46</v>
      </c>
      <c r="G210" s="18">
        <v>27098.51</v>
      </c>
      <c r="H210" s="18">
        <v>3360</v>
      </c>
      <c r="I210" s="18">
        <v>11874.65</v>
      </c>
      <c r="J210" s="18">
        <v>4123.3</v>
      </c>
      <c r="K210" s="18"/>
      <c r="L210" s="19">
        <f>SUM(F210:K210)</f>
        <v>89422.92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2624626.17</v>
      </c>
      <c r="G212" s="41">
        <f t="shared" si="1"/>
        <v>1368723.0699999998</v>
      </c>
      <c r="H212" s="41">
        <f t="shared" si="1"/>
        <v>536616.9</v>
      </c>
      <c r="I212" s="41">
        <f t="shared" si="1"/>
        <v>190498.36999999997</v>
      </c>
      <c r="J212" s="41">
        <f t="shared" si="1"/>
        <v>28696.400000000001</v>
      </c>
      <c r="K212" s="41">
        <f t="shared" si="1"/>
        <v>5109.0999999999995</v>
      </c>
      <c r="L212" s="41">
        <f t="shared" si="1"/>
        <v>4754270.01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949.75+1271958.77</f>
        <v>1272908.52</v>
      </c>
      <c r="G216" s="18">
        <f>313.64+690063.77</f>
        <v>690377.41</v>
      </c>
      <c r="H216" s="18">
        <v>13113.25</v>
      </c>
      <c r="I216" s="18">
        <v>29415.21</v>
      </c>
      <c r="J216" s="18">
        <v>71283.929999999993</v>
      </c>
      <c r="K216" s="18">
        <v>120</v>
      </c>
      <c r="L216" s="19">
        <f>SUM(F216:K216)</f>
        <v>2077218.32</v>
      </c>
      <c r="M216" s="8"/>
      <c r="N216" s="266"/>
    </row>
    <row r="217" spans="1:14" s="3" customFormat="1" ht="12.2" customHeight="1" x14ac:dyDescent="0.15">
      <c r="A217" s="1" t="s">
        <v>439</v>
      </c>
      <c r="B217" s="2" t="s">
        <v>346</v>
      </c>
      <c r="C217" s="2" t="s">
        <v>291</v>
      </c>
      <c r="D217" s="2" t="s">
        <v>431</v>
      </c>
      <c r="E217" s="6">
        <v>1200</v>
      </c>
      <c r="F217" s="18">
        <v>245754.98</v>
      </c>
      <c r="G217" s="18">
        <v>126870.63</v>
      </c>
      <c r="H217" s="18">
        <v>151447.97</v>
      </c>
      <c r="I217" s="18">
        <v>88.55</v>
      </c>
      <c r="J217" s="18">
        <v>59.77</v>
      </c>
      <c r="K217" s="18"/>
      <c r="L217" s="19">
        <f>SUM(F217:K217)</f>
        <v>524221.89999999997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15768</v>
      </c>
      <c r="G219" s="18">
        <v>2143.5100000000002</v>
      </c>
      <c r="H219" s="18">
        <v>5315</v>
      </c>
      <c r="I219" s="18">
        <v>671.73</v>
      </c>
      <c r="J219" s="18">
        <v>3028</v>
      </c>
      <c r="K219" s="18">
        <v>1165</v>
      </c>
      <c r="L219" s="19">
        <f>SUM(F219:K219)</f>
        <v>28091.24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8765.1+186332.74</f>
        <v>195097.84</v>
      </c>
      <c r="G221" s="18">
        <f>732.47+102813.48</f>
        <v>103545.95</v>
      </c>
      <c r="H221" s="18">
        <v>75649.98</v>
      </c>
      <c r="I221" s="18">
        <f>111.39+2827.22</f>
        <v>2938.6099999999997</v>
      </c>
      <c r="J221" s="18"/>
      <c r="K221" s="18">
        <v>249</v>
      </c>
      <c r="L221" s="19">
        <f t="shared" ref="L221:L227" si="2">SUM(F221:K221)</f>
        <v>377481.37999999995</v>
      </c>
      <c r="M221" s="8"/>
      <c r="N221" s="266"/>
    </row>
    <row r="222" spans="1:14" s="3" customFormat="1" ht="12.2" customHeight="1" x14ac:dyDescent="0.15">
      <c r="A222" s="1" t="s">
        <v>443</v>
      </c>
      <c r="B222" s="2" t="s">
        <v>346</v>
      </c>
      <c r="C222" s="2" t="s">
        <v>295</v>
      </c>
      <c r="D222" s="2" t="s">
        <v>431</v>
      </c>
      <c r="E222" s="6">
        <v>2200</v>
      </c>
      <c r="F222" s="18">
        <v>25445.5</v>
      </c>
      <c r="G222" s="18">
        <f>690.27+31794.11</f>
        <v>32484.38</v>
      </c>
      <c r="H222" s="18">
        <v>22.02</v>
      </c>
      <c r="I222" s="18">
        <v>5313.73</v>
      </c>
      <c r="J222" s="18"/>
      <c r="K222" s="18"/>
      <c r="L222" s="19">
        <f t="shared" si="2"/>
        <v>63265.630000000005</v>
      </c>
      <c r="M222" s="8"/>
      <c r="N222" s="266"/>
    </row>
    <row r="223" spans="1:14" s="3" customFormat="1" ht="12.2" customHeight="1" x14ac:dyDescent="0.15">
      <c r="A223" s="1" t="s">
        <v>444</v>
      </c>
      <c r="B223" s="2" t="s">
        <v>346</v>
      </c>
      <c r="C223" s="2" t="s">
        <v>296</v>
      </c>
      <c r="D223" s="2" t="s">
        <v>431</v>
      </c>
      <c r="E223" s="6">
        <v>2300</v>
      </c>
      <c r="F223" s="18">
        <f>107027.06+3581.5</f>
        <v>110608.56</v>
      </c>
      <c r="G223" s="18">
        <f>49240.67+302.04</f>
        <v>49542.71</v>
      </c>
      <c r="H223" s="18">
        <f>23368.48+9894.3+7962.48</f>
        <v>41225.259999999995</v>
      </c>
      <c r="I223" s="18">
        <f>992.08+733.33</f>
        <v>1725.41</v>
      </c>
      <c r="J223" s="18">
        <v>104.62</v>
      </c>
      <c r="K223" s="18">
        <f>1016.39+2030.67</f>
        <v>3047.06</v>
      </c>
      <c r="L223" s="19">
        <f t="shared" si="2"/>
        <v>206253.61999999997</v>
      </c>
      <c r="M223" s="8"/>
      <c r="N223" s="266"/>
    </row>
    <row r="224" spans="1:14" s="3" customFormat="1" ht="12.2" customHeight="1" x14ac:dyDescent="0.15">
      <c r="A224" s="1" t="s">
        <v>445</v>
      </c>
      <c r="B224" s="2" t="s">
        <v>346</v>
      </c>
      <c r="C224" s="2" t="s">
        <v>297</v>
      </c>
      <c r="D224" s="2" t="s">
        <v>431</v>
      </c>
      <c r="E224" s="6">
        <v>2400</v>
      </c>
      <c r="F224" s="18">
        <v>225132.02</v>
      </c>
      <c r="G224" s="18">
        <v>159858.97</v>
      </c>
      <c r="H224" s="18">
        <f>1198.08+9879.32</f>
        <v>11077.4</v>
      </c>
      <c r="I224" s="18">
        <v>1822.52</v>
      </c>
      <c r="J224" s="18">
        <v>1299.92</v>
      </c>
      <c r="K224" s="18">
        <v>883.73</v>
      </c>
      <c r="L224" s="19">
        <f t="shared" si="2"/>
        <v>400074.56</v>
      </c>
      <c r="M224" s="8"/>
      <c r="N224" s="266"/>
    </row>
    <row r="225" spans="1:14" s="3" customFormat="1" ht="12.2" customHeight="1" x14ac:dyDescent="0.15">
      <c r="A225" s="1" t="s">
        <v>446</v>
      </c>
      <c r="B225" s="2" t="s">
        <v>346</v>
      </c>
      <c r="C225" s="2" t="s">
        <v>298</v>
      </c>
      <c r="D225" s="2" t="s">
        <v>431</v>
      </c>
      <c r="E225" s="6">
        <v>2500</v>
      </c>
      <c r="F225" s="18">
        <v>53219.03</v>
      </c>
      <c r="G225" s="18">
        <v>31118.86</v>
      </c>
      <c r="H225" s="18">
        <v>8047.69</v>
      </c>
      <c r="I225" s="18">
        <v>3459.74</v>
      </c>
      <c r="J225" s="18"/>
      <c r="K225" s="18">
        <v>1008.38</v>
      </c>
      <c r="L225" s="19">
        <f t="shared" si="2"/>
        <v>96853.700000000012</v>
      </c>
      <c r="M225" s="8"/>
      <c r="N225" s="266"/>
    </row>
    <row r="226" spans="1:14" s="3" customFormat="1" ht="12.2" customHeight="1" x14ac:dyDescent="0.15">
      <c r="A226" s="1" t="s">
        <v>447</v>
      </c>
      <c r="B226" s="2" t="s">
        <v>346</v>
      </c>
      <c r="C226" s="2" t="s">
        <v>299</v>
      </c>
      <c r="D226" s="2" t="s">
        <v>431</v>
      </c>
      <c r="E226" s="6">
        <v>2600</v>
      </c>
      <c r="F226" s="18">
        <f>9608.74+137692.6</f>
        <v>147301.34</v>
      </c>
      <c r="G226" s="18">
        <f>5007+93440.18</f>
        <v>98447.18</v>
      </c>
      <c r="H226" s="18">
        <f>142807.36+5480+5057.3</f>
        <v>153344.65999999997</v>
      </c>
      <c r="I226" s="18">
        <f>5747.1+87074.45</f>
        <v>92821.55</v>
      </c>
      <c r="J226" s="18">
        <f>260.45+1416.74</f>
        <v>1677.19</v>
      </c>
      <c r="K226" s="18"/>
      <c r="L226" s="19">
        <f t="shared" si="2"/>
        <v>493591.91999999993</v>
      </c>
      <c r="M226" s="8"/>
      <c r="N226" s="266"/>
    </row>
    <row r="227" spans="1:14" s="3" customFormat="1" ht="12.2" customHeight="1" x14ac:dyDescent="0.15">
      <c r="A227" s="1" t="s">
        <v>448</v>
      </c>
      <c r="B227" s="2" t="s">
        <v>346</v>
      </c>
      <c r="C227" s="2" t="s">
        <v>300</v>
      </c>
      <c r="D227" s="2" t="s">
        <v>431</v>
      </c>
      <c r="E227" s="6">
        <v>2700</v>
      </c>
      <c r="F227" s="18"/>
      <c r="G227" s="18"/>
      <c r="H227" s="18">
        <v>184296.23</v>
      </c>
      <c r="I227" s="18"/>
      <c r="J227" s="18"/>
      <c r="K227" s="18"/>
      <c r="L227" s="19">
        <f t="shared" si="2"/>
        <v>184296.23</v>
      </c>
      <c r="M227" s="8"/>
      <c r="N227" s="266"/>
    </row>
    <row r="228" spans="1:14" s="3" customFormat="1" ht="12.2" customHeight="1" x14ac:dyDescent="0.15">
      <c r="A228" s="1" t="s">
        <v>449</v>
      </c>
      <c r="B228" s="2" t="s">
        <v>346</v>
      </c>
      <c r="C228" s="2" t="s">
        <v>343</v>
      </c>
      <c r="D228" s="2" t="s">
        <v>431</v>
      </c>
      <c r="E228" s="6">
        <v>2800</v>
      </c>
      <c r="F228" s="18">
        <v>49529.14</v>
      </c>
      <c r="G228" s="18">
        <v>31305.119999999999</v>
      </c>
      <c r="H228" s="18">
        <f>19389.66</f>
        <v>19389.66</v>
      </c>
      <c r="I228" s="18">
        <v>11676.65</v>
      </c>
      <c r="J228" s="18">
        <v>2962.3</v>
      </c>
      <c r="K228" s="18"/>
      <c r="L228" s="19">
        <f>SUM(F228:K228)</f>
        <v>114862.87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2340764.9300000002</v>
      </c>
      <c r="G230" s="41">
        <f>SUM(G216:G229)</f>
        <v>1325694.7200000002</v>
      </c>
      <c r="H230" s="41">
        <f>SUM(H216:H229)</f>
        <v>662929.12</v>
      </c>
      <c r="I230" s="41">
        <f>SUM(I216:I229)</f>
        <v>149933.69999999998</v>
      </c>
      <c r="J230" s="41">
        <f>SUM(J216:J229)</f>
        <v>80415.73</v>
      </c>
      <c r="K230" s="41">
        <f t="shared" si="3"/>
        <v>6473.1699999999992</v>
      </c>
      <c r="L230" s="41">
        <f t="shared" si="3"/>
        <v>4566211.370000001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1080.75+1360207.67</f>
        <v>1361288.42</v>
      </c>
      <c r="G234" s="18">
        <f>356.9+706542.89</f>
        <v>706899.79</v>
      </c>
      <c r="H234" s="18">
        <f>40+16753.82+150</f>
        <v>16943.82</v>
      </c>
      <c r="I234" s="18">
        <v>44752.92</v>
      </c>
      <c r="J234" s="18">
        <v>39471.050000000003</v>
      </c>
      <c r="K234" s="18">
        <v>665</v>
      </c>
      <c r="L234" s="19">
        <f>SUM(F234:K234)</f>
        <v>2170021</v>
      </c>
      <c r="M234" s="8"/>
      <c r="N234" s="266"/>
    </row>
    <row r="235" spans="1:14" s="3" customFormat="1" ht="12.2" customHeight="1" x14ac:dyDescent="0.15">
      <c r="A235" s="1" t="s">
        <v>439</v>
      </c>
      <c r="B235" s="2" t="s">
        <v>350</v>
      </c>
      <c r="C235" s="2" t="s">
        <v>291</v>
      </c>
      <c r="D235" s="2" t="s">
        <v>431</v>
      </c>
      <c r="E235" s="6">
        <v>1200</v>
      </c>
      <c r="F235" s="18">
        <v>189709.68</v>
      </c>
      <c r="G235" s="18">
        <v>80814.02</v>
      </c>
      <c r="H235" s="18">
        <v>185596.62</v>
      </c>
      <c r="I235" s="18">
        <v>204</v>
      </c>
      <c r="J235" s="18"/>
      <c r="K235" s="18"/>
      <c r="L235" s="19">
        <f>SUM(F235:K235)</f>
        <v>456324.32</v>
      </c>
      <c r="M235" s="8"/>
      <c r="N235" s="266"/>
    </row>
    <row r="236" spans="1:14" s="3" customFormat="1" ht="12.2" customHeight="1" x14ac:dyDescent="0.15">
      <c r="A236" s="1" t="s">
        <v>440</v>
      </c>
      <c r="B236" s="2" t="s">
        <v>350</v>
      </c>
      <c r="C236" s="2" t="s">
        <v>292</v>
      </c>
      <c r="D236" s="2" t="s">
        <v>431</v>
      </c>
      <c r="E236" s="6">
        <v>1300</v>
      </c>
      <c r="F236" s="18">
        <v>66069</v>
      </c>
      <c r="G236" s="18">
        <v>27303.18</v>
      </c>
      <c r="H236" s="18">
        <f>3934.08+3485.32</f>
        <v>7419.4</v>
      </c>
      <c r="I236" s="18">
        <v>2392.2399999999998</v>
      </c>
      <c r="J236" s="18"/>
      <c r="K236" s="18"/>
      <c r="L236" s="19">
        <f>SUM(F236:K236)</f>
        <v>103183.81999999999</v>
      </c>
      <c r="M236" s="8"/>
      <c r="N236" s="266"/>
    </row>
    <row r="237" spans="1:14" s="3" customFormat="1" ht="12.2" customHeight="1" x14ac:dyDescent="0.15">
      <c r="A237" s="1" t="s">
        <v>441</v>
      </c>
      <c r="B237" s="2" t="s">
        <v>350</v>
      </c>
      <c r="C237" s="2" t="s">
        <v>293</v>
      </c>
      <c r="D237" s="2" t="s">
        <v>431</v>
      </c>
      <c r="E237" s="6">
        <v>1400</v>
      </c>
      <c r="F237" s="18">
        <v>60240</v>
      </c>
      <c r="G237" s="18">
        <v>8073.01</v>
      </c>
      <c r="H237" s="18">
        <v>17579.32</v>
      </c>
      <c r="I237" s="18">
        <v>6516.76</v>
      </c>
      <c r="J237" s="18">
        <v>2084.91</v>
      </c>
      <c r="K237" s="18">
        <v>8225</v>
      </c>
      <c r="L237" s="19">
        <f>SUM(F237:K237)</f>
        <v>102718.99999999999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9974.08+248342.57</f>
        <v>258316.65</v>
      </c>
      <c r="G239" s="18">
        <f>833.5+144026.06</f>
        <v>144859.56</v>
      </c>
      <c r="H239" s="18">
        <f>43453.04+2776.33+26</f>
        <v>46255.37</v>
      </c>
      <c r="I239" s="18">
        <f>126.76+7526.07</f>
        <v>7652.83</v>
      </c>
      <c r="J239" s="18"/>
      <c r="K239" s="18">
        <v>25</v>
      </c>
      <c r="L239" s="19">
        <f t="shared" ref="L239:L245" si="4">SUM(F239:K239)</f>
        <v>457109.41</v>
      </c>
      <c r="M239" s="8"/>
      <c r="N239" s="266"/>
    </row>
    <row r="240" spans="1:14" s="3" customFormat="1" ht="12.2" customHeight="1" x14ac:dyDescent="0.15">
      <c r="A240" s="1" t="s">
        <v>443</v>
      </c>
      <c r="B240" s="2" t="s">
        <v>350</v>
      </c>
      <c r="C240" s="2" t="s">
        <v>295</v>
      </c>
      <c r="D240" s="2" t="s">
        <v>431</v>
      </c>
      <c r="E240" s="6">
        <v>2200</v>
      </c>
      <c r="F240" s="18">
        <v>64170</v>
      </c>
      <c r="G240" s="18">
        <f>785.48+26640.35</f>
        <v>27425.829999999998</v>
      </c>
      <c r="H240" s="18">
        <v>99.56</v>
      </c>
      <c r="I240" s="18">
        <v>8495.14</v>
      </c>
      <c r="J240" s="18">
        <v>614</v>
      </c>
      <c r="K240" s="18"/>
      <c r="L240" s="19">
        <f t="shared" si="4"/>
        <v>100804.53</v>
      </c>
      <c r="M240" s="8"/>
      <c r="N240" s="266"/>
    </row>
    <row r="241" spans="1:14" s="3" customFormat="1" ht="12.2" customHeight="1" x14ac:dyDescent="0.15">
      <c r="A241" s="1" t="s">
        <v>444</v>
      </c>
      <c r="B241" s="2" t="s">
        <v>350</v>
      </c>
      <c r="C241" s="2" t="s">
        <v>296</v>
      </c>
      <c r="D241" s="2" t="s">
        <v>431</v>
      </c>
      <c r="E241" s="6">
        <v>2300</v>
      </c>
      <c r="F241" s="18">
        <f>121789.42+3652.5</f>
        <v>125441.92</v>
      </c>
      <c r="G241" s="18">
        <f>56032.48+308.12</f>
        <v>56340.600000000006</v>
      </c>
      <c r="H241" s="18">
        <f>22065.47+9894.32+9060.75</f>
        <v>41020.54</v>
      </c>
      <c r="I241" s="18">
        <f>1128.92+733.33</f>
        <v>1862.25</v>
      </c>
      <c r="J241" s="18">
        <v>119.05</v>
      </c>
      <c r="K241" s="18">
        <f>1156.58+2030.68</f>
        <v>3187.26</v>
      </c>
      <c r="L241" s="19">
        <f t="shared" si="4"/>
        <v>227971.62000000002</v>
      </c>
      <c r="M241" s="8"/>
      <c r="N241" s="266"/>
    </row>
    <row r="242" spans="1:14" s="3" customFormat="1" ht="12.2" customHeight="1" x14ac:dyDescent="0.15">
      <c r="A242" s="1" t="s">
        <v>445</v>
      </c>
      <c r="B242" s="2" t="s">
        <v>350</v>
      </c>
      <c r="C242" s="2" t="s">
        <v>297</v>
      </c>
      <c r="D242" s="2" t="s">
        <v>431</v>
      </c>
      <c r="E242" s="6">
        <v>2400</v>
      </c>
      <c r="F242" s="18">
        <v>275437.90999999997</v>
      </c>
      <c r="G242" s="18">
        <v>146058.31</v>
      </c>
      <c r="H242" s="18">
        <f>1075.27+9477.98</f>
        <v>10553.25</v>
      </c>
      <c r="I242" s="18">
        <v>3300.93</v>
      </c>
      <c r="J242" s="18">
        <v>0</v>
      </c>
      <c r="K242" s="18">
        <v>21671.919999999998</v>
      </c>
      <c r="L242" s="19">
        <f t="shared" si="4"/>
        <v>457022.31999999995</v>
      </c>
      <c r="M242" s="8"/>
      <c r="N242" s="266"/>
    </row>
    <row r="243" spans="1:14" s="3" customFormat="1" ht="12.2" customHeight="1" x14ac:dyDescent="0.15">
      <c r="A243" s="1" t="s">
        <v>446</v>
      </c>
      <c r="B243" s="2" t="s">
        <v>350</v>
      </c>
      <c r="C243" s="2" t="s">
        <v>298</v>
      </c>
      <c r="D243" s="2" t="s">
        <v>431</v>
      </c>
      <c r="E243" s="6">
        <v>2500</v>
      </c>
      <c r="F243" s="18">
        <v>60559.58</v>
      </c>
      <c r="G243" s="18">
        <v>35411.120000000003</v>
      </c>
      <c r="H243" s="18">
        <v>9157.7199999999993</v>
      </c>
      <c r="I243" s="18">
        <v>3936.94</v>
      </c>
      <c r="J243" s="18"/>
      <c r="K243" s="18">
        <v>1147.46</v>
      </c>
      <c r="L243" s="19">
        <f t="shared" si="4"/>
        <v>110212.82000000002</v>
      </c>
      <c r="M243" s="8"/>
      <c r="N243" s="266"/>
    </row>
    <row r="244" spans="1:14" s="3" customFormat="1" ht="12.2" customHeight="1" x14ac:dyDescent="0.15">
      <c r="A244" s="1" t="s">
        <v>447</v>
      </c>
      <c r="B244" s="2" t="s">
        <v>350</v>
      </c>
      <c r="C244" s="2" t="s">
        <v>299</v>
      </c>
      <c r="D244" s="2" t="s">
        <v>431</v>
      </c>
      <c r="E244" s="6">
        <v>2600</v>
      </c>
      <c r="F244" s="18">
        <f>10934.08+139471.79</f>
        <v>150405.87</v>
      </c>
      <c r="G244" s="18">
        <f>5697.62+83644.05</f>
        <v>89341.67</v>
      </c>
      <c r="H244" s="18">
        <f>245684.59+5754.86+5480</f>
        <v>256919.44999999998</v>
      </c>
      <c r="I244" s="18">
        <f>6539.8+126166.62</f>
        <v>132706.41999999998</v>
      </c>
      <c r="J244" s="18">
        <f>296.37+26000.58</f>
        <v>26296.95</v>
      </c>
      <c r="K244" s="18"/>
      <c r="L244" s="19">
        <f t="shared" si="4"/>
        <v>655670.35999999987</v>
      </c>
      <c r="M244" s="8"/>
      <c r="N244" s="266"/>
    </row>
    <row r="245" spans="1:14" s="3" customFormat="1" ht="12.2" customHeight="1" x14ac:dyDescent="0.15">
      <c r="A245" s="1" t="s">
        <v>448</v>
      </c>
      <c r="B245" s="2" t="s">
        <v>350</v>
      </c>
      <c r="C245" s="2" t="s">
        <v>300</v>
      </c>
      <c r="D245" s="2" t="s">
        <v>431</v>
      </c>
      <c r="E245" s="6">
        <v>2700</v>
      </c>
      <c r="F245" s="18"/>
      <c r="G245" s="18"/>
      <c r="H245" s="18">
        <v>219283.52</v>
      </c>
      <c r="I245" s="18"/>
      <c r="J245" s="18"/>
      <c r="K245" s="18"/>
      <c r="L245" s="19">
        <f t="shared" si="4"/>
        <v>219283.52</v>
      </c>
      <c r="M245" s="8"/>
      <c r="N245" s="266"/>
    </row>
    <row r="246" spans="1:14" s="3" customFormat="1" ht="12.2" customHeight="1" x14ac:dyDescent="0.15">
      <c r="A246" s="1" t="s">
        <v>449</v>
      </c>
      <c r="B246" s="2" t="s">
        <v>350</v>
      </c>
      <c r="C246" s="2" t="s">
        <v>343</v>
      </c>
      <c r="D246" s="2" t="s">
        <v>431</v>
      </c>
      <c r="E246" s="6">
        <v>2800</v>
      </c>
      <c r="F246" s="18">
        <v>83205.960000000006</v>
      </c>
      <c r="G246" s="18">
        <v>52966.64</v>
      </c>
      <c r="H246" s="18">
        <f>1900+17956.79</f>
        <v>19856.79</v>
      </c>
      <c r="I246" s="18">
        <v>12071.62</v>
      </c>
      <c r="J246" s="18">
        <f>0.04+4696.3</f>
        <v>4696.34</v>
      </c>
      <c r="K246" s="18"/>
      <c r="L246" s="19">
        <f>SUM(F246:K246)</f>
        <v>172797.35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2694844.99</v>
      </c>
      <c r="G248" s="41">
        <f t="shared" si="5"/>
        <v>1375493.73</v>
      </c>
      <c r="H248" s="41">
        <f t="shared" si="5"/>
        <v>830685.36</v>
      </c>
      <c r="I248" s="41">
        <f t="shared" si="5"/>
        <v>223892.05</v>
      </c>
      <c r="J248" s="41">
        <f t="shared" si="5"/>
        <v>73282.3</v>
      </c>
      <c r="K248" s="41">
        <f t="shared" si="5"/>
        <v>34921.64</v>
      </c>
      <c r="L248" s="41">
        <f t="shared" si="5"/>
        <v>5233120.0699999984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7660236.0899999999</v>
      </c>
      <c r="G258" s="41">
        <f t="shared" si="8"/>
        <v>4069911.52</v>
      </c>
      <c r="H258" s="41">
        <f t="shared" si="8"/>
        <v>2030231.38</v>
      </c>
      <c r="I258" s="41">
        <f t="shared" si="8"/>
        <v>564324.11999999988</v>
      </c>
      <c r="J258" s="41">
        <f t="shared" si="8"/>
        <v>182394.43</v>
      </c>
      <c r="K258" s="41">
        <f t="shared" si="8"/>
        <v>46503.909999999996</v>
      </c>
      <c r="L258" s="41">
        <f t="shared" si="8"/>
        <v>14553601.449999999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1475000</v>
      </c>
      <c r="L261" s="19">
        <f>SUM(F261:K261)</f>
        <v>1475000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596268.75</v>
      </c>
      <c r="L262" s="19">
        <f>SUM(F262:K262)</f>
        <v>596268.75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87562</v>
      </c>
      <c r="L264" s="19">
        <f>SUM(F264:K264)</f>
        <v>87562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76000</v>
      </c>
      <c r="L267" s="19">
        <f t="shared" si="9"/>
        <v>76000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2234830.75</v>
      </c>
      <c r="L271" s="41">
        <f t="shared" si="9"/>
        <v>2234830.75</v>
      </c>
      <c r="M271" s="8"/>
      <c r="N271" s="266"/>
    </row>
    <row r="272" spans="1:14" s="34" customFormat="1" ht="12.2" customHeight="1" thickTop="1" x14ac:dyDescent="0.2">
      <c r="A272" s="43" t="s">
        <v>464</v>
      </c>
      <c r="B272" s="40">
        <v>10</v>
      </c>
      <c r="C272" s="40">
        <v>18</v>
      </c>
      <c r="D272" s="39" t="s">
        <v>431</v>
      </c>
      <c r="E272" s="40"/>
      <c r="F272" s="42">
        <f t="shared" ref="F272:L272" si="11">F258+F271</f>
        <v>7660236.0899999999</v>
      </c>
      <c r="G272" s="42">
        <f t="shared" si="11"/>
        <v>4069911.52</v>
      </c>
      <c r="H272" s="42">
        <f t="shared" si="11"/>
        <v>2030231.38</v>
      </c>
      <c r="I272" s="42">
        <f t="shared" si="11"/>
        <v>564324.11999999988</v>
      </c>
      <c r="J272" s="42">
        <f t="shared" si="11"/>
        <v>182394.43</v>
      </c>
      <c r="K272" s="42">
        <f t="shared" si="11"/>
        <v>2281334.66</v>
      </c>
      <c r="L272" s="42">
        <f t="shared" si="11"/>
        <v>16788432.199999999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132191.25-15.76</f>
        <v>132175.49</v>
      </c>
      <c r="G277" s="18">
        <f>80540.44</f>
        <v>80540.44</v>
      </c>
      <c r="H277" s="18"/>
      <c r="I277" s="18">
        <f>9208.06</f>
        <v>9208.06</v>
      </c>
      <c r="J277" s="18"/>
      <c r="K277" s="18"/>
      <c r="L277" s="19">
        <f>SUM(F277:K277)</f>
        <v>221923.99</v>
      </c>
      <c r="M277" s="8"/>
      <c r="N277" s="266"/>
    </row>
    <row r="278" spans="1:14" s="3" customFormat="1" ht="12.2" customHeight="1" x14ac:dyDescent="0.15">
      <c r="A278" s="1" t="s">
        <v>439</v>
      </c>
      <c r="B278" s="2" t="s">
        <v>357</v>
      </c>
      <c r="C278" s="2" t="s">
        <v>291</v>
      </c>
      <c r="D278" s="2" t="s">
        <v>431</v>
      </c>
      <c r="E278" s="6">
        <v>1200</v>
      </c>
      <c r="F278" s="18">
        <v>88618.42</v>
      </c>
      <c r="G278" s="18">
        <v>42934.22</v>
      </c>
      <c r="H278" s="18"/>
      <c r="I278" s="18">
        <v>1276.4100000000001</v>
      </c>
      <c r="J278" s="18">
        <v>2755.34</v>
      </c>
      <c r="K278" s="18"/>
      <c r="L278" s="19">
        <f>SUM(F278:K278)</f>
        <v>135584.39000000001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2694.14</v>
      </c>
      <c r="J280" s="18"/>
      <c r="K280" s="18"/>
      <c r="L280" s="19">
        <f>SUM(F280:K280)</f>
        <v>2694.14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25365.759999999998</v>
      </c>
      <c r="G283" s="18">
        <v>2609.9</v>
      </c>
      <c r="H283" s="18">
        <v>15264.96</v>
      </c>
      <c r="I283" s="18">
        <v>773.07</v>
      </c>
      <c r="J283" s="18"/>
      <c r="K283" s="18"/>
      <c r="L283" s="19">
        <f t="shared" si="12"/>
        <v>44013.689999999995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246159.66999999998</v>
      </c>
      <c r="G291" s="42">
        <f t="shared" si="13"/>
        <v>126084.56</v>
      </c>
      <c r="H291" s="42">
        <f t="shared" si="13"/>
        <v>15264.96</v>
      </c>
      <c r="I291" s="42">
        <f t="shared" si="13"/>
        <v>13951.679999999998</v>
      </c>
      <c r="J291" s="42">
        <f t="shared" si="13"/>
        <v>2755.34</v>
      </c>
      <c r="K291" s="42">
        <f t="shared" si="13"/>
        <v>0</v>
      </c>
      <c r="L291" s="41">
        <f t="shared" si="13"/>
        <v>404216.21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2039</f>
        <v>2039</v>
      </c>
      <c r="G296" s="18">
        <f>518.93</f>
        <v>518.92999999999995</v>
      </c>
      <c r="H296" s="18"/>
      <c r="I296" s="18">
        <f>11782.59</f>
        <v>11782.59</v>
      </c>
      <c r="J296" s="18"/>
      <c r="K296" s="18"/>
      <c r="L296" s="19">
        <f>SUM(F296:K296)</f>
        <v>14340.52</v>
      </c>
      <c r="M296" s="8"/>
      <c r="N296" s="266"/>
    </row>
    <row r="297" spans="1:14" s="3" customFormat="1" ht="12.2" customHeight="1" x14ac:dyDescent="0.15">
      <c r="A297" s="1" t="s">
        <v>439</v>
      </c>
      <c r="B297" s="2" t="s">
        <v>358</v>
      </c>
      <c r="C297" s="2" t="s">
        <v>291</v>
      </c>
      <c r="D297" s="2" t="s">
        <v>431</v>
      </c>
      <c r="E297" s="6">
        <v>1200</v>
      </c>
      <c r="F297" s="18">
        <v>67629.84</v>
      </c>
      <c r="G297" s="18">
        <v>32765.59</v>
      </c>
      <c r="H297" s="18"/>
      <c r="I297" s="18">
        <v>974.1</v>
      </c>
      <c r="J297" s="18">
        <v>2102.7600000000002</v>
      </c>
      <c r="K297" s="18"/>
      <c r="L297" s="19">
        <f>SUM(F297:K297)</f>
        <v>103472.29</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f>2056.06+1239.65</f>
        <v>3295.71</v>
      </c>
      <c r="J299" s="18"/>
      <c r="K299" s="18"/>
      <c r="L299" s="19">
        <f>SUM(F299:K299)</f>
        <v>3295.71</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19358.080000000002</v>
      </c>
      <c r="G302" s="18">
        <v>1991.77</v>
      </c>
      <c r="H302" s="18">
        <v>11649.57</v>
      </c>
      <c r="I302" s="18">
        <v>589.97</v>
      </c>
      <c r="J302" s="18"/>
      <c r="K302" s="18"/>
      <c r="L302" s="19">
        <f t="shared" si="14"/>
        <v>33589.39</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89026.92</v>
      </c>
      <c r="G310" s="42">
        <f t="shared" si="15"/>
        <v>35276.289999999994</v>
      </c>
      <c r="H310" s="42">
        <f t="shared" si="15"/>
        <v>11649.57</v>
      </c>
      <c r="I310" s="42">
        <f t="shared" si="15"/>
        <v>16642.370000000003</v>
      </c>
      <c r="J310" s="42">
        <f t="shared" si="15"/>
        <v>2102.7600000000002</v>
      </c>
      <c r="K310" s="42">
        <f t="shared" si="15"/>
        <v>0</v>
      </c>
      <c r="L310" s="41">
        <f t="shared" si="15"/>
        <v>154697.91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f>9442</f>
        <v>9442</v>
      </c>
      <c r="J315" s="18"/>
      <c r="K315" s="18"/>
      <c r="L315" s="19">
        <f>SUM(F315:K315)</f>
        <v>9442</v>
      </c>
      <c r="M315" s="8"/>
      <c r="N315" s="266"/>
    </row>
    <row r="316" spans="1:14" s="3" customFormat="1" ht="12.2" customHeight="1" x14ac:dyDescent="0.15">
      <c r="A316" s="1" t="s">
        <v>439</v>
      </c>
      <c r="B316" s="2" t="s">
        <v>359</v>
      </c>
      <c r="C316" s="2" t="s">
        <v>291</v>
      </c>
      <c r="D316" s="2" t="s">
        <v>431</v>
      </c>
      <c r="E316" s="6">
        <v>1200</v>
      </c>
      <c r="F316" s="18">
        <v>76958.100000000006</v>
      </c>
      <c r="G316" s="18">
        <v>37284.980000000003</v>
      </c>
      <c r="H316" s="18"/>
      <c r="I316" s="18">
        <v>1108.46</v>
      </c>
      <c r="J316" s="18">
        <v>2392.79</v>
      </c>
      <c r="K316" s="18"/>
      <c r="L316" s="19">
        <f>SUM(F316:K316)</f>
        <v>117744.33000000002</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f>4068.1+2339.65</f>
        <v>6407.75</v>
      </c>
      <c r="J318" s="18"/>
      <c r="K318" s="18"/>
      <c r="L318" s="19">
        <f>SUM(F318:K318)</f>
        <v>6407.75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22028.16</v>
      </c>
      <c r="G321" s="18">
        <v>2266.4899999999998</v>
      </c>
      <c r="H321" s="18">
        <v>13256.41</v>
      </c>
      <c r="I321" s="18">
        <f>671.35+0.01</f>
        <v>671.36</v>
      </c>
      <c r="J321" s="18"/>
      <c r="K321" s="18"/>
      <c r="L321" s="19">
        <f t="shared" si="16"/>
        <v>38222.42</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98986.260000000009</v>
      </c>
      <c r="G329" s="42">
        <f t="shared" si="17"/>
        <v>39551.47</v>
      </c>
      <c r="H329" s="42">
        <f t="shared" si="17"/>
        <v>13256.41</v>
      </c>
      <c r="I329" s="42">
        <f t="shared" si="17"/>
        <v>17629.57</v>
      </c>
      <c r="J329" s="42">
        <f t="shared" si="17"/>
        <v>2392.79</v>
      </c>
      <c r="K329" s="42">
        <f t="shared" si="17"/>
        <v>0</v>
      </c>
      <c r="L329" s="41">
        <f t="shared" si="17"/>
        <v>171816.5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434172.85</v>
      </c>
      <c r="G339" s="41">
        <f t="shared" si="20"/>
        <v>200912.31999999998</v>
      </c>
      <c r="H339" s="41">
        <f t="shared" si="20"/>
        <v>40170.94</v>
      </c>
      <c r="I339" s="41">
        <f t="shared" si="20"/>
        <v>48223.62</v>
      </c>
      <c r="J339" s="41">
        <f t="shared" si="20"/>
        <v>7250.89</v>
      </c>
      <c r="K339" s="41">
        <f t="shared" si="20"/>
        <v>0</v>
      </c>
      <c r="L339" s="41">
        <f t="shared" si="20"/>
        <v>730730.62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43951.32</v>
      </c>
      <c r="L345" s="19">
        <f t="shared" ref="L345:L351" si="21">SUM(F345:K345)</f>
        <v>43951.32</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43951.32</v>
      </c>
      <c r="L352" s="41">
        <f>SUM(L342:L351)</f>
        <v>43951.32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434172.85</v>
      </c>
      <c r="G353" s="41">
        <f>G339</f>
        <v>200912.31999999998</v>
      </c>
      <c r="H353" s="41">
        <f>H339</f>
        <v>40170.94</v>
      </c>
      <c r="I353" s="41">
        <f>I339</f>
        <v>48223.62</v>
      </c>
      <c r="J353" s="41">
        <f>J339</f>
        <v>7250.89</v>
      </c>
      <c r="K353" s="47">
        <f>K339+K352</f>
        <v>43951.32</v>
      </c>
      <c r="L353" s="41">
        <f>L339+L352</f>
        <v>774681.94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SUM(336544.55*0.38)+3580.21</f>
        <v>131467.139</v>
      </c>
      <c r="I359" s="18"/>
      <c r="J359" s="18"/>
      <c r="K359" s="18"/>
      <c r="L359" s="13">
        <f>SUM(F359:K359)</f>
        <v>131467.139</v>
      </c>
      <c r="M359" s="8"/>
      <c r="N359" s="266"/>
    </row>
    <row r="360" spans="1:22" s="3" customFormat="1" ht="12.2" customHeight="1" x14ac:dyDescent="0.15">
      <c r="A360" s="1" t="s">
        <v>542</v>
      </c>
      <c r="B360" s="2" t="s">
        <v>366</v>
      </c>
      <c r="C360" s="6">
        <v>2</v>
      </c>
      <c r="D360" s="2" t="s">
        <v>431</v>
      </c>
      <c r="E360" s="6"/>
      <c r="F360" s="18"/>
      <c r="G360" s="18"/>
      <c r="H360" s="18">
        <f>SUM(336544.55*0.29)+2861.63</f>
        <v>100459.54949999999</v>
      </c>
      <c r="I360" s="18"/>
      <c r="J360" s="18"/>
      <c r="K360" s="18"/>
      <c r="L360" s="19">
        <f>SUM(F360:K360)</f>
        <v>100459.54949999999</v>
      </c>
      <c r="M360" s="8"/>
      <c r="N360" s="266"/>
    </row>
    <row r="361" spans="1:22" s="3" customFormat="1" ht="12.2" customHeight="1" x14ac:dyDescent="0.15">
      <c r="A361" s="3" t="s">
        <v>543</v>
      </c>
      <c r="B361" s="2" t="s">
        <v>366</v>
      </c>
      <c r="C361" s="6">
        <v>3</v>
      </c>
      <c r="D361" s="2" t="s">
        <v>431</v>
      </c>
      <c r="E361" s="6"/>
      <c r="F361" s="18"/>
      <c r="G361" s="18"/>
      <c r="H361" s="18">
        <f>SUM(336544.55*0.33)+4056.8</f>
        <v>115116.5015</v>
      </c>
      <c r="I361" s="18"/>
      <c r="J361" s="18">
        <f>4035</f>
        <v>4035</v>
      </c>
      <c r="K361" s="18"/>
      <c r="L361" s="19">
        <f>SUM(F361:K361)</f>
        <v>119151.5015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347043.19</v>
      </c>
      <c r="I363" s="47">
        <f t="shared" si="22"/>
        <v>0</v>
      </c>
      <c r="J363" s="47">
        <f t="shared" si="22"/>
        <v>4035</v>
      </c>
      <c r="K363" s="47">
        <f t="shared" si="22"/>
        <v>0</v>
      </c>
      <c r="L363" s="47">
        <f t="shared" si="22"/>
        <v>351078.19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v>25000</v>
      </c>
      <c r="H396" s="18">
        <v>238.32</v>
      </c>
      <c r="I396" s="18">
        <f>1934.96</f>
        <v>1934.96</v>
      </c>
      <c r="J396" s="24" t="s">
        <v>288</v>
      </c>
      <c r="K396" s="24" t="s">
        <v>288</v>
      </c>
      <c r="L396" s="56">
        <f t="shared" ref="L396:L401" si="26">SUM(F396:K396)</f>
        <v>27173.279999999999</v>
      </c>
      <c r="M396" s="8"/>
      <c r="N396" s="266"/>
    </row>
    <row r="397" spans="1:14" s="3" customFormat="1" ht="12.2" customHeight="1" x14ac:dyDescent="0.15">
      <c r="A397" s="79" t="s">
        <v>557</v>
      </c>
      <c r="B397" s="2" t="s">
        <v>381</v>
      </c>
      <c r="C397" s="6">
        <v>9</v>
      </c>
      <c r="D397" s="2" t="s">
        <v>432</v>
      </c>
      <c r="E397" s="6"/>
      <c r="F397" s="18"/>
      <c r="G397" s="18">
        <v>50000</v>
      </c>
      <c r="H397" s="18">
        <f>7554.15+64.65</f>
        <v>7618.7999999999993</v>
      </c>
      <c r="I397" s="18">
        <f>-55.77+6179.87</f>
        <v>6124.0999999999995</v>
      </c>
      <c r="J397" s="24" t="s">
        <v>288</v>
      </c>
      <c r="K397" s="24" t="s">
        <v>288</v>
      </c>
      <c r="L397" s="56">
        <f t="shared" si="26"/>
        <v>63742.9</v>
      </c>
      <c r="M397" s="8"/>
      <c r="N397" s="266"/>
    </row>
    <row r="398" spans="1:14" s="3" customFormat="1" ht="12.2" customHeight="1" x14ac:dyDescent="0.15">
      <c r="A398" s="79" t="s">
        <v>515</v>
      </c>
      <c r="B398" s="2" t="s">
        <v>381</v>
      </c>
      <c r="C398" s="6">
        <v>10</v>
      </c>
      <c r="D398" s="2" t="s">
        <v>432</v>
      </c>
      <c r="E398" s="6"/>
      <c r="F398" s="18"/>
      <c r="G398" s="18"/>
      <c r="H398" s="18">
        <v>8255.2199999999993</v>
      </c>
      <c r="I398" s="18">
        <v>14500.79</v>
      </c>
      <c r="J398" s="24" t="s">
        <v>288</v>
      </c>
      <c r="K398" s="24" t="s">
        <v>288</v>
      </c>
      <c r="L398" s="56">
        <f t="shared" si="26"/>
        <v>22756.010000000002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v>
      </c>
      <c r="H401" s="18">
        <v>8.52</v>
      </c>
      <c r="I401" s="18">
        <v>75.599999999999994</v>
      </c>
      <c r="J401" s="24" t="s">
        <v>288</v>
      </c>
      <c r="K401" s="24" t="s">
        <v>288</v>
      </c>
      <c r="L401" s="56">
        <f t="shared" si="26"/>
        <v>1084.1199999999999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76000</v>
      </c>
      <c r="H402" s="47">
        <f>SUM(H396:H401)</f>
        <v>16120.859999999999</v>
      </c>
      <c r="I402" s="47">
        <f>SUM(I396:I401)</f>
        <v>22635.449999999997</v>
      </c>
      <c r="J402" s="45" t="s">
        <v>288</v>
      </c>
      <c r="K402" s="45" t="s">
        <v>288</v>
      </c>
      <c r="L402" s="47">
        <f>SUM(L396:L401)</f>
        <v>114756.31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76000</v>
      </c>
      <c r="H409" s="47">
        <f>H394+H402+H408</f>
        <v>16120.859999999999</v>
      </c>
      <c r="I409" s="47">
        <f>I394+I402+I408</f>
        <v>22635.449999999997</v>
      </c>
      <c r="J409" s="24" t="s">
        <v>288</v>
      </c>
      <c r="K409" s="24" t="s">
        <v>288</v>
      </c>
      <c r="L409" s="47">
        <f>L394+L402+L408</f>
        <v>114756.31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171983</v>
      </c>
      <c r="L423" s="56">
        <f t="shared" si="29"/>
        <v>171983</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171983</v>
      </c>
      <c r="L428" s="47">
        <f t="shared" si="30"/>
        <v>171983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171983</v>
      </c>
      <c r="L435" s="47">
        <f t="shared" si="32"/>
        <v>171983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275981.13+2024.79</f>
        <v>278005.92</v>
      </c>
      <c r="G441" s="18">
        <f>671552.57-F441</f>
        <v>393546.64999999997</v>
      </c>
      <c r="H441" s="18"/>
      <c r="I441" s="56">
        <f t="shared" si="33"/>
        <v>671552.57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278005.92</v>
      </c>
      <c r="G447" s="13">
        <f>SUM(G440:G446)</f>
        <v>393546.64999999997</v>
      </c>
      <c r="H447" s="13">
        <f>SUM(H440:H446)</f>
        <v>0</v>
      </c>
      <c r="I447" s="13">
        <f>SUM(I440:I446)</f>
        <v>671552.57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278005.92</v>
      </c>
      <c r="G460" s="18">
        <v>393546.65</v>
      </c>
      <c r="H460" s="18"/>
      <c r="I460" s="56">
        <f t="shared" si="34"/>
        <v>671552.57000000007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278005.92</v>
      </c>
      <c r="G461" s="83">
        <f>SUM(G455:G460)</f>
        <v>393546.65</v>
      </c>
      <c r="H461" s="83">
        <f>SUM(H455:H460)</f>
        <v>0</v>
      </c>
      <c r="I461" s="83">
        <f>SUM(I455:I460)</f>
        <v>671552.57000000007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278005.92</v>
      </c>
      <c r="G462" s="42">
        <f>G453+G461</f>
        <v>393546.65</v>
      </c>
      <c r="H462" s="42">
        <f>H453+H461</f>
        <v>0</v>
      </c>
      <c r="I462" s="42">
        <f>I453+I461</f>
        <v>671552.57000000007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1903043.63</v>
      </c>
      <c r="G466" s="18">
        <f>12970.57-52596.54-72.34</f>
        <v>-39698.31</v>
      </c>
      <c r="H466" s="18">
        <v>-308.01</v>
      </c>
      <c r="I466" s="18"/>
      <c r="J466" s="18">
        <v>728779.26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16752700.310000001</v>
      </c>
      <c r="G469" s="18">
        <v>392980.11</v>
      </c>
      <c r="H469" s="18">
        <f>777484.69-2818.51</f>
        <v>774666.17999999993</v>
      </c>
      <c r="I469" s="18"/>
      <c r="J469" s="18">
        <f>L409</f>
        <v>114756.31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16752700.310000001</v>
      </c>
      <c r="G471" s="53">
        <f>SUM(G469:G470)</f>
        <v>392980.11</v>
      </c>
      <c r="H471" s="53">
        <f>SUM(H469:H470)</f>
        <v>774666.17999999993</v>
      </c>
      <c r="I471" s="53">
        <f>SUM(I469:I470)</f>
        <v>0</v>
      </c>
      <c r="J471" s="53">
        <f>SUM(J469:J470)</f>
        <v>114756.31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16788432.199999999</v>
      </c>
      <c r="G473" s="18">
        <v>351078.19</v>
      </c>
      <c r="H473" s="18">
        <v>774681.94</v>
      </c>
      <c r="I473" s="18"/>
      <c r="J473" s="18">
        <f>L435</f>
        <v>171983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16788432.199999999</v>
      </c>
      <c r="G475" s="53">
        <f>SUM(G473:G474)</f>
        <v>351078.19</v>
      </c>
      <c r="H475" s="53">
        <f>SUM(H473:H474)</f>
        <v>774681.94</v>
      </c>
      <c r="I475" s="53">
        <f>SUM(I473:I474)</f>
        <v>0</v>
      </c>
      <c r="J475" s="53">
        <f>SUM(J473:J474)</f>
        <v>171983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1867311.7400000021</v>
      </c>
      <c r="G477" s="53">
        <f>(G466+G471)- G475</f>
        <v>2203.609999999986</v>
      </c>
      <c r="H477" s="53">
        <f>(H466+H471)- H475</f>
        <v>-323.77000000001863</v>
      </c>
      <c r="I477" s="53">
        <f>(I466+I471)- I475</f>
        <v>0</v>
      </c>
      <c r="J477" s="53">
        <f>(J466+J471)- J475</f>
        <v>671552.57000000007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16</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23623315</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5.39</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11800000</v>
      </c>
      <c r="G496" s="18"/>
      <c r="H496" s="18"/>
      <c r="I496" s="18"/>
      <c r="J496" s="18"/>
      <c r="K496" s="53">
        <f>SUM(F496:J496)</f>
        <v>11800000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1475000</v>
      </c>
      <c r="G498" s="18"/>
      <c r="H498" s="18"/>
      <c r="I498" s="18"/>
      <c r="J498" s="18"/>
      <c r="K498" s="53">
        <f t="shared" si="35"/>
        <v>1475000</v>
      </c>
      <c r="L498" s="24" t="s">
        <v>288</v>
      </c>
      <c r="N498" s="265"/>
    </row>
    <row r="499" spans="1:14" s="52" customFormat="1" ht="12.2" customHeight="1" x14ac:dyDescent="0.2">
      <c r="A499" s="200" t="s">
        <v>622</v>
      </c>
      <c r="B499" s="201">
        <v>20</v>
      </c>
      <c r="C499" s="202">
        <v>9</v>
      </c>
      <c r="D499" s="203" t="s">
        <v>432</v>
      </c>
      <c r="E499" s="202"/>
      <c r="F499" s="204">
        <f>F496-F498</f>
        <v>10325000</v>
      </c>
      <c r="G499" s="204"/>
      <c r="H499" s="204"/>
      <c r="I499" s="204"/>
      <c r="J499" s="204"/>
      <c r="K499" s="205">
        <f t="shared" si="35"/>
        <v>10325000</v>
      </c>
      <c r="L499" s="206" t="s">
        <v>288</v>
      </c>
      <c r="N499" s="265"/>
    </row>
    <row r="500" spans="1:14" s="52" customFormat="1" ht="12.2" customHeight="1" thickBot="1" x14ac:dyDescent="0.25">
      <c r="A500" s="22" t="s">
        <v>623</v>
      </c>
      <c r="B500" s="75">
        <v>20</v>
      </c>
      <c r="C500" s="115">
        <v>10</v>
      </c>
      <c r="D500" s="2" t="s">
        <v>432</v>
      </c>
      <c r="E500" s="115"/>
      <c r="F500" s="18">
        <v>1947810</v>
      </c>
      <c r="G500" s="18"/>
      <c r="H500" s="18"/>
      <c r="I500" s="18"/>
      <c r="J500" s="18"/>
      <c r="K500" s="53">
        <f t="shared" si="35"/>
        <v>1947810</v>
      </c>
      <c r="L500" s="24" t="s">
        <v>288</v>
      </c>
      <c r="N500" s="265"/>
    </row>
    <row r="501" spans="1:14" s="52" customFormat="1" ht="12.2" customHeight="1" thickTop="1" x14ac:dyDescent="0.2">
      <c r="A501" s="139" t="s">
        <v>624</v>
      </c>
      <c r="B501" s="44">
        <v>20</v>
      </c>
      <c r="C501" s="195">
        <v>11</v>
      </c>
      <c r="D501" s="39" t="s">
        <v>432</v>
      </c>
      <c r="E501" s="195"/>
      <c r="F501" s="42">
        <f>SUM(F499:F500)</f>
        <v>12272810</v>
      </c>
      <c r="G501" s="42">
        <f>SUM(G499:G500)</f>
        <v>0</v>
      </c>
      <c r="H501" s="42">
        <f>SUM(H499:H500)</f>
        <v>0</v>
      </c>
      <c r="I501" s="42">
        <f>SUM(I499:I500)</f>
        <v>0</v>
      </c>
      <c r="J501" s="42">
        <f>SUM(J499:J500)</f>
        <v>0</v>
      </c>
      <c r="K501" s="42">
        <f t="shared" si="35"/>
        <v>12272810</v>
      </c>
      <c r="L501" s="45" t="s">
        <v>288</v>
      </c>
      <c r="N501" s="265"/>
    </row>
    <row r="502" spans="1:14" s="52" customFormat="1" ht="12.2" customHeight="1" x14ac:dyDescent="0.2">
      <c r="A502" s="200" t="s">
        <v>651</v>
      </c>
      <c r="B502" s="201">
        <v>20</v>
      </c>
      <c r="C502" s="202">
        <v>12</v>
      </c>
      <c r="D502" s="203" t="s">
        <v>432</v>
      </c>
      <c r="E502" s="202"/>
      <c r="F502" s="204">
        <v>1475000</v>
      </c>
      <c r="G502" s="204"/>
      <c r="H502" s="204"/>
      <c r="I502" s="204"/>
      <c r="J502" s="204"/>
      <c r="K502" s="205">
        <f t="shared" si="35"/>
        <v>1475000</v>
      </c>
      <c r="L502" s="206" t="s">
        <v>288</v>
      </c>
      <c r="N502" s="265"/>
    </row>
    <row r="503" spans="1:14" s="52" customFormat="1" ht="12.2" customHeight="1" thickBot="1" x14ac:dyDescent="0.25">
      <c r="A503" s="22" t="s">
        <v>625</v>
      </c>
      <c r="B503" s="75">
        <v>20</v>
      </c>
      <c r="C503" s="115">
        <v>13</v>
      </c>
      <c r="D503" s="2" t="s">
        <v>432</v>
      </c>
      <c r="E503" s="115"/>
      <c r="F503" s="18">
        <v>516765</v>
      </c>
      <c r="G503" s="18"/>
      <c r="H503" s="18"/>
      <c r="I503" s="18"/>
      <c r="J503" s="18"/>
      <c r="K503" s="53">
        <f t="shared" si="35"/>
        <v>516765</v>
      </c>
      <c r="L503" s="24" t="s">
        <v>288</v>
      </c>
      <c r="N503" s="265"/>
    </row>
    <row r="504" spans="1:14" s="52" customFormat="1" ht="12.2" customHeight="1" thickTop="1" x14ac:dyDescent="0.2">
      <c r="A504" s="139" t="s">
        <v>626</v>
      </c>
      <c r="B504" s="44">
        <v>20</v>
      </c>
      <c r="C504" s="195">
        <v>14</v>
      </c>
      <c r="D504" s="39" t="s">
        <v>432</v>
      </c>
      <c r="E504" s="195"/>
      <c r="F504" s="42">
        <f>SUM(F502:F503)</f>
        <v>1991765</v>
      </c>
      <c r="G504" s="42">
        <f>SUM(G502:G503)</f>
        <v>0</v>
      </c>
      <c r="H504" s="42">
        <f>SUM(H502:H503)</f>
        <v>0</v>
      </c>
      <c r="I504" s="42">
        <f>SUM(I502:I503)</f>
        <v>0</v>
      </c>
      <c r="J504" s="42">
        <f>SUM(J502:J503)</f>
        <v>0</v>
      </c>
      <c r="K504" s="42">
        <f t="shared" si="35"/>
        <v>1991765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356955.07</v>
      </c>
      <c r="G522" s="18">
        <v>180700.93</v>
      </c>
      <c r="H522" s="18">
        <v>66048.3</v>
      </c>
      <c r="I522" s="18">
        <v>2171.09</v>
      </c>
      <c r="J522" s="18">
        <v>5380.33</v>
      </c>
      <c r="K522" s="18"/>
      <c r="L522" s="88">
        <f>SUM(F522:K522)</f>
        <v>611255.72</v>
      </c>
      <c r="N522" s="265"/>
    </row>
    <row r="523" spans="1:14" s="52" customFormat="1" ht="12.2" customHeight="1" x14ac:dyDescent="0.2">
      <c r="A523" s="22" t="s">
        <v>634</v>
      </c>
      <c r="B523" s="105">
        <v>21</v>
      </c>
      <c r="C523" s="115">
        <v>2</v>
      </c>
      <c r="D523" s="2" t="s">
        <v>432</v>
      </c>
      <c r="E523" s="115"/>
      <c r="F523" s="18">
        <v>313384.82</v>
      </c>
      <c r="G523" s="18">
        <v>159636.22</v>
      </c>
      <c r="H523" s="18">
        <v>151447.97</v>
      </c>
      <c r="I523" s="18">
        <v>1062.6500000000001</v>
      </c>
      <c r="J523" s="18">
        <v>2162.5300000000002</v>
      </c>
      <c r="K523" s="18"/>
      <c r="L523" s="88">
        <f>SUM(F523:K523)</f>
        <v>627694.19000000006</v>
      </c>
      <c r="N523" s="265"/>
    </row>
    <row r="524" spans="1:14" s="52" customFormat="1" ht="12.2" customHeight="1" thickBot="1" x14ac:dyDescent="0.25">
      <c r="A524" s="22" t="s">
        <v>635</v>
      </c>
      <c r="B524" s="105">
        <v>21</v>
      </c>
      <c r="C524" s="115">
        <v>3</v>
      </c>
      <c r="D524" s="2" t="s">
        <v>432</v>
      </c>
      <c r="E524" s="115"/>
      <c r="F524" s="18">
        <v>266667.78000000003</v>
      </c>
      <c r="G524" s="18">
        <v>118099</v>
      </c>
      <c r="H524" s="18">
        <v>185596.62</v>
      </c>
      <c r="I524" s="18">
        <v>1312.46</v>
      </c>
      <c r="J524" s="18">
        <v>2392.79</v>
      </c>
      <c r="K524" s="18"/>
      <c r="L524" s="88">
        <f>SUM(F524:K524)</f>
        <v>574068.65</v>
      </c>
      <c r="N524" s="265"/>
    </row>
    <row r="525" spans="1:14" s="52" customFormat="1" ht="12.2" customHeight="1" thickTop="1" x14ac:dyDescent="0.2">
      <c r="A525" s="139" t="s">
        <v>63</v>
      </c>
      <c r="B525" s="107">
        <v>21</v>
      </c>
      <c r="C525" s="195">
        <v>4</v>
      </c>
      <c r="D525" s="196" t="s">
        <v>432</v>
      </c>
      <c r="E525" s="195"/>
      <c r="F525" s="108">
        <f>SUM(F522:F524)</f>
        <v>937007.67</v>
      </c>
      <c r="G525" s="108">
        <f t="shared" ref="G525:L525" si="36">SUM(G522:G524)</f>
        <v>458436.15</v>
      </c>
      <c r="H525" s="108">
        <f t="shared" si="36"/>
        <v>403092.89</v>
      </c>
      <c r="I525" s="108">
        <f t="shared" si="36"/>
        <v>4546.2000000000007</v>
      </c>
      <c r="J525" s="108">
        <f t="shared" si="36"/>
        <v>9935.6500000000015</v>
      </c>
      <c r="K525" s="108">
        <f t="shared" si="36"/>
        <v>0</v>
      </c>
      <c r="L525" s="89">
        <f t="shared" si="36"/>
        <v>1813018.56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122173.93+11485.3</f>
        <v>133659.22999999998</v>
      </c>
      <c r="G527" s="18">
        <f>52709.74+959.79</f>
        <v>53669.53</v>
      </c>
      <c r="H527" s="18">
        <f>67419.52</f>
        <v>67419.520000000004</v>
      </c>
      <c r="I527" s="18">
        <f>620.25+145.96</f>
        <v>766.21</v>
      </c>
      <c r="J527" s="18">
        <v>471.7</v>
      </c>
      <c r="K527" s="18"/>
      <c r="L527" s="88">
        <f>SUM(F527:K527)</f>
        <v>255986.18999999997</v>
      </c>
      <c r="M527" s="8"/>
      <c r="N527" s="266"/>
    </row>
    <row r="528" spans="1:14" s="3" customFormat="1" ht="12.2" customHeight="1" x14ac:dyDescent="0.15">
      <c r="A528" s="22" t="s">
        <v>634</v>
      </c>
      <c r="B528" s="105">
        <v>21</v>
      </c>
      <c r="C528" s="115">
        <v>6</v>
      </c>
      <c r="D528" s="2" t="s">
        <v>432</v>
      </c>
      <c r="E528" s="115"/>
      <c r="F528" s="18">
        <f>63684.9+8765.1</f>
        <v>72450</v>
      </c>
      <c r="G528" s="18">
        <f>27093.27+732.47</f>
        <v>27825.74</v>
      </c>
      <c r="H528" s="18">
        <f>72085.98</f>
        <v>72085.98</v>
      </c>
      <c r="I528" s="18">
        <v>111.39</v>
      </c>
      <c r="J528" s="18"/>
      <c r="K528" s="18"/>
      <c r="L528" s="88">
        <f>SUM(F528:K528)</f>
        <v>172473.11000000002</v>
      </c>
      <c r="M528" s="8"/>
      <c r="N528" s="266"/>
    </row>
    <row r="529" spans="1:14" s="3" customFormat="1" ht="12.2" customHeight="1" thickBot="1" x14ac:dyDescent="0.2">
      <c r="A529" s="22" t="s">
        <v>635</v>
      </c>
      <c r="B529" s="118">
        <v>21</v>
      </c>
      <c r="C529" s="118">
        <v>7</v>
      </c>
      <c r="D529" s="2" t="s">
        <v>432</v>
      </c>
      <c r="E529" s="118"/>
      <c r="F529" s="18">
        <f>63549.89+9974.08</f>
        <v>73523.97</v>
      </c>
      <c r="G529" s="18">
        <f>27080.99+833.5</f>
        <v>27914.49</v>
      </c>
      <c r="H529" s="18">
        <f>39899.04</f>
        <v>39899.040000000001</v>
      </c>
      <c r="I529" s="18">
        <v>126.76</v>
      </c>
      <c r="J529" s="18"/>
      <c r="K529" s="18"/>
      <c r="L529" s="88">
        <f>SUM(F529:K529)</f>
        <v>141464.26</v>
      </c>
      <c r="M529" s="8"/>
      <c r="N529" s="266"/>
    </row>
    <row r="530" spans="1:14" s="3" customFormat="1" ht="12.2" customHeight="1" thickTop="1" x14ac:dyDescent="0.15">
      <c r="A530" s="139" t="s">
        <v>65</v>
      </c>
      <c r="B530" s="107">
        <v>21</v>
      </c>
      <c r="C530" s="107">
        <v>8</v>
      </c>
      <c r="D530" s="158" t="s">
        <v>432</v>
      </c>
      <c r="E530" s="107"/>
      <c r="F530" s="89">
        <f>SUM(F527:F529)</f>
        <v>279633.19999999995</v>
      </c>
      <c r="G530" s="89">
        <f t="shared" ref="G530:L530" si="37">SUM(G527:G529)</f>
        <v>109409.76000000001</v>
      </c>
      <c r="H530" s="89">
        <f t="shared" si="37"/>
        <v>179404.54</v>
      </c>
      <c r="I530" s="89">
        <f t="shared" si="37"/>
        <v>1004.36</v>
      </c>
      <c r="J530" s="89">
        <f t="shared" si="37"/>
        <v>471.7</v>
      </c>
      <c r="K530" s="89">
        <f t="shared" si="37"/>
        <v>0</v>
      </c>
      <c r="L530" s="89">
        <f t="shared" si="37"/>
        <v>569923.56000000006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76859.27</v>
      </c>
      <c r="G532" s="18">
        <v>42002.49</v>
      </c>
      <c r="H532" s="18">
        <v>4132.95</v>
      </c>
      <c r="I532" s="18">
        <v>442.07</v>
      </c>
      <c r="J532" s="18">
        <v>7.6</v>
      </c>
      <c r="K532" s="18">
        <v>593.79</v>
      </c>
      <c r="L532" s="88">
        <f>SUM(F532:K532)</f>
        <v>124038.17000000001</v>
      </c>
      <c r="M532" s="8"/>
      <c r="N532" s="266"/>
    </row>
    <row r="533" spans="1:14" s="3" customFormat="1" ht="12.2" customHeight="1" x14ac:dyDescent="0.15">
      <c r="A533" s="22" t="s">
        <v>634</v>
      </c>
      <c r="B533" s="105">
        <v>21</v>
      </c>
      <c r="C533" s="105">
        <v>10</v>
      </c>
      <c r="D533" s="2" t="s">
        <v>432</v>
      </c>
      <c r="E533" s="105"/>
      <c r="F533" s="18">
        <v>58655.76</v>
      </c>
      <c r="G533" s="18">
        <v>32054.53</v>
      </c>
      <c r="H533" s="18">
        <v>3154.1</v>
      </c>
      <c r="I533" s="18">
        <v>337.37</v>
      </c>
      <c r="J533" s="18">
        <v>5.8</v>
      </c>
      <c r="K533" s="18">
        <f>453.16-0.01</f>
        <v>453.15000000000003</v>
      </c>
      <c r="L533" s="88">
        <f>SUM(F533:K533)</f>
        <v>94660.71</v>
      </c>
      <c r="M533" s="8"/>
      <c r="N533" s="266"/>
    </row>
    <row r="534" spans="1:14" s="3" customFormat="1" ht="12.2" customHeight="1" thickBot="1" x14ac:dyDescent="0.2">
      <c r="A534" s="22" t="s">
        <v>635</v>
      </c>
      <c r="B534" s="105">
        <v>21</v>
      </c>
      <c r="C534" s="105">
        <v>11</v>
      </c>
      <c r="D534" s="2" t="s">
        <v>432</v>
      </c>
      <c r="E534" s="105"/>
      <c r="F534" s="18">
        <v>66746.210000000006</v>
      </c>
      <c r="G534" s="18">
        <v>36475.839999999997</v>
      </c>
      <c r="H534" s="18">
        <v>3589.14</v>
      </c>
      <c r="I534" s="18">
        <v>383.9</v>
      </c>
      <c r="J534" s="18">
        <v>6.6</v>
      </c>
      <c r="K534" s="18">
        <v>515.66</v>
      </c>
      <c r="L534" s="88">
        <f>SUM(F534:K534)</f>
        <v>107717.35</v>
      </c>
      <c r="M534" s="8"/>
      <c r="N534" s="266"/>
    </row>
    <row r="535" spans="1:14" s="3" customFormat="1" ht="12.2" customHeight="1" thickTop="1" x14ac:dyDescent="0.15">
      <c r="A535" s="139" t="s">
        <v>67</v>
      </c>
      <c r="B535" s="107">
        <v>21</v>
      </c>
      <c r="C535" s="107">
        <v>12</v>
      </c>
      <c r="D535" s="158" t="s">
        <v>432</v>
      </c>
      <c r="E535" s="107"/>
      <c r="F535" s="89">
        <f>SUM(F532:F534)</f>
        <v>202261.24</v>
      </c>
      <c r="G535" s="89">
        <f t="shared" ref="G535:L535" si="38">SUM(G532:G534)</f>
        <v>110532.85999999999</v>
      </c>
      <c r="H535" s="89">
        <f t="shared" si="38"/>
        <v>10876.189999999999</v>
      </c>
      <c r="I535" s="89">
        <f t="shared" si="38"/>
        <v>1163.3400000000001</v>
      </c>
      <c r="J535" s="89">
        <f t="shared" si="38"/>
        <v>20</v>
      </c>
      <c r="K535" s="89">
        <f t="shared" si="38"/>
        <v>1562.6</v>
      </c>
      <c r="L535" s="89">
        <f t="shared" si="38"/>
        <v>326416.23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25</v>
      </c>
      <c r="I537" s="18"/>
      <c r="J537" s="18"/>
      <c r="K537" s="18"/>
      <c r="L537" s="88">
        <f>SUM(F537:K537)</f>
        <v>25</v>
      </c>
      <c r="M537" s="8"/>
      <c r="N537" s="266"/>
    </row>
    <row r="538" spans="1:14" s="3" customFormat="1" ht="12.2" customHeight="1" x14ac:dyDescent="0.15">
      <c r="A538" s="22" t="s">
        <v>634</v>
      </c>
      <c r="B538" s="105">
        <v>21</v>
      </c>
      <c r="C538" s="105">
        <v>14</v>
      </c>
      <c r="D538" s="2" t="s">
        <v>432</v>
      </c>
      <c r="E538" s="105"/>
      <c r="F538" s="18"/>
      <c r="G538" s="18"/>
      <c r="H538" s="18">
        <v>150</v>
      </c>
      <c r="I538" s="18"/>
      <c r="J538" s="18"/>
      <c r="K538" s="18"/>
      <c r="L538" s="88">
        <f>SUM(F538:K538)</f>
        <v>150</v>
      </c>
      <c r="M538" s="8"/>
      <c r="N538" s="266"/>
    </row>
    <row r="539" spans="1:14" s="3" customFormat="1" ht="12.2" customHeight="1" thickBot="1" x14ac:dyDescent="0.2">
      <c r="A539" s="22" t="s">
        <v>635</v>
      </c>
      <c r="B539" s="105">
        <v>21</v>
      </c>
      <c r="C539" s="105">
        <v>15</v>
      </c>
      <c r="D539" s="2" t="s">
        <v>432</v>
      </c>
      <c r="E539" s="105"/>
      <c r="F539" s="18"/>
      <c r="G539" s="18"/>
      <c r="H539" s="18">
        <v>225.5</v>
      </c>
      <c r="I539" s="18"/>
      <c r="J539" s="18"/>
      <c r="K539" s="18"/>
      <c r="L539" s="88">
        <f>SUM(F539:K539)</f>
        <v>225.5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400.5</v>
      </c>
      <c r="I540" s="89">
        <f t="shared" si="39"/>
        <v>0</v>
      </c>
      <c r="J540" s="89">
        <f t="shared" si="39"/>
        <v>0</v>
      </c>
      <c r="K540" s="89">
        <f t="shared" si="39"/>
        <v>0</v>
      </c>
      <c r="L540" s="89">
        <f t="shared" si="39"/>
        <v>400.5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89403.59</v>
      </c>
      <c r="I542" s="18"/>
      <c r="J542" s="18"/>
      <c r="K542" s="18"/>
      <c r="L542" s="88">
        <f>SUM(F542:K542)</f>
        <v>89403.59</v>
      </c>
      <c r="M542" s="8"/>
      <c r="N542" s="266"/>
    </row>
    <row r="543" spans="1:14" s="3" customFormat="1" ht="12.2" customHeight="1" x14ac:dyDescent="0.15">
      <c r="A543" s="22" t="s">
        <v>634</v>
      </c>
      <c r="B543" s="105">
        <v>21</v>
      </c>
      <c r="C543" s="105">
        <v>18</v>
      </c>
      <c r="D543" s="2" t="s">
        <v>432</v>
      </c>
      <c r="E543" s="105"/>
      <c r="F543" s="18"/>
      <c r="G543" s="18"/>
      <c r="H543" s="18">
        <v>36114.730000000003</v>
      </c>
      <c r="I543" s="18"/>
      <c r="J543" s="18"/>
      <c r="K543" s="18"/>
      <c r="L543" s="88">
        <f>SUM(F543:K543)</f>
        <v>36114.730000000003</v>
      </c>
      <c r="M543" s="8"/>
      <c r="N543" s="266"/>
    </row>
    <row r="544" spans="1:14" s="3" customFormat="1" ht="12.2" customHeight="1" thickBot="1" x14ac:dyDescent="0.2">
      <c r="A544" s="22" t="s">
        <v>635</v>
      </c>
      <c r="B544" s="105">
        <v>21</v>
      </c>
      <c r="C544" s="105">
        <v>19</v>
      </c>
      <c r="D544" s="2" t="s">
        <v>432</v>
      </c>
      <c r="E544" s="105"/>
      <c r="F544" s="18"/>
      <c r="G544" s="18"/>
      <c r="H544" s="18">
        <v>35021.68</v>
      </c>
      <c r="I544" s="18"/>
      <c r="J544" s="18"/>
      <c r="K544" s="18"/>
      <c r="L544" s="88">
        <f>SUM(F544:K544)</f>
        <v>35021.68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160540</v>
      </c>
      <c r="I545" s="193">
        <f t="shared" si="40"/>
        <v>0</v>
      </c>
      <c r="J545" s="193">
        <f t="shared" si="40"/>
        <v>0</v>
      </c>
      <c r="K545" s="193">
        <f t="shared" si="40"/>
        <v>0</v>
      </c>
      <c r="L545" s="193">
        <f t="shared" si="40"/>
        <v>160540</v>
      </c>
      <c r="M545" s="8"/>
      <c r="N545" s="266"/>
    </row>
    <row r="546" spans="1:14" s="3" customFormat="1" ht="12.2" customHeight="1" thickTop="1" x14ac:dyDescent="0.15">
      <c r="A546" s="98" t="s">
        <v>72</v>
      </c>
      <c r="B546" s="107">
        <v>21</v>
      </c>
      <c r="C546" s="107">
        <v>21</v>
      </c>
      <c r="D546" s="158" t="s">
        <v>432</v>
      </c>
      <c r="E546" s="107"/>
      <c r="F546" s="89">
        <f>F525+F530+F535+F540+F545</f>
        <v>1418902.11</v>
      </c>
      <c r="G546" s="89">
        <f t="shared" ref="G546:L546" si="41">G525+G530+G535+G540+G545</f>
        <v>678378.77</v>
      </c>
      <c r="H546" s="89">
        <f t="shared" si="41"/>
        <v>754314.12</v>
      </c>
      <c r="I546" s="89">
        <f t="shared" si="41"/>
        <v>6713.9000000000005</v>
      </c>
      <c r="J546" s="89">
        <f t="shared" si="41"/>
        <v>10427.350000000002</v>
      </c>
      <c r="K546" s="89">
        <f t="shared" si="41"/>
        <v>1562.6</v>
      </c>
      <c r="L546" s="89">
        <f t="shared" si="41"/>
        <v>2870298.85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611255.72</v>
      </c>
      <c r="G550" s="87">
        <f>L527</f>
        <v>255986.18999999997</v>
      </c>
      <c r="H550" s="87">
        <f>L532</f>
        <v>124038.17000000001</v>
      </c>
      <c r="I550" s="87">
        <f>L537</f>
        <v>25</v>
      </c>
      <c r="J550" s="87">
        <f>L542</f>
        <v>89403.59</v>
      </c>
      <c r="K550" s="87">
        <f>SUM(F550:J550)</f>
        <v>1080708.67</v>
      </c>
      <c r="L550" s="24" t="s">
        <v>288</v>
      </c>
      <c r="M550" s="8"/>
      <c r="N550" s="266"/>
    </row>
    <row r="551" spans="1:14" s="3" customFormat="1" ht="12.2" customHeight="1" x14ac:dyDescent="0.15">
      <c r="A551" s="22" t="s">
        <v>634</v>
      </c>
      <c r="B551" s="75">
        <v>21</v>
      </c>
      <c r="C551" s="75">
        <v>23</v>
      </c>
      <c r="D551" s="2" t="s">
        <v>432</v>
      </c>
      <c r="E551" s="75"/>
      <c r="F551" s="87">
        <f>L523</f>
        <v>627694.19000000006</v>
      </c>
      <c r="G551" s="87">
        <f>L528</f>
        <v>172473.11000000002</v>
      </c>
      <c r="H551" s="87">
        <f>L533</f>
        <v>94660.71</v>
      </c>
      <c r="I551" s="87">
        <f>L538</f>
        <v>150</v>
      </c>
      <c r="J551" s="87">
        <f>L543</f>
        <v>36114.730000000003</v>
      </c>
      <c r="K551" s="87">
        <f>SUM(F551:J551)</f>
        <v>931092.74</v>
      </c>
      <c r="L551" s="24" t="s">
        <v>288</v>
      </c>
      <c r="M551" s="8"/>
      <c r="N551" s="266"/>
    </row>
    <row r="552" spans="1:14" s="3" customFormat="1" ht="12.2" customHeight="1" thickBot="1" x14ac:dyDescent="0.2">
      <c r="A552" s="22" t="s">
        <v>635</v>
      </c>
      <c r="B552" s="75">
        <v>21</v>
      </c>
      <c r="C552" s="75">
        <v>24</v>
      </c>
      <c r="D552" s="2" t="s">
        <v>432</v>
      </c>
      <c r="E552" s="75"/>
      <c r="F552" s="87">
        <f>L524</f>
        <v>574068.65</v>
      </c>
      <c r="G552" s="87">
        <f>L529</f>
        <v>141464.26</v>
      </c>
      <c r="H552" s="87">
        <f>L534</f>
        <v>107717.35</v>
      </c>
      <c r="I552" s="87">
        <f>L539</f>
        <v>225.5</v>
      </c>
      <c r="J552" s="87">
        <f>L544</f>
        <v>35021.68</v>
      </c>
      <c r="K552" s="87">
        <f>SUM(F552:J552)</f>
        <v>858497.44000000006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1813018.56</v>
      </c>
      <c r="G553" s="89">
        <f t="shared" si="42"/>
        <v>569923.56000000006</v>
      </c>
      <c r="H553" s="89">
        <f t="shared" si="42"/>
        <v>326416.23</v>
      </c>
      <c r="I553" s="89">
        <f t="shared" si="42"/>
        <v>400.5</v>
      </c>
      <c r="J553" s="89">
        <f t="shared" si="42"/>
        <v>160540</v>
      </c>
      <c r="K553" s="89">
        <f t="shared" si="42"/>
        <v>2870298.85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3485.32</v>
      </c>
      <c r="I576" s="87">
        <f>SUM(F576:H576)</f>
        <v>3485.32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66048.3</v>
      </c>
      <c r="G583" s="18">
        <v>151447.97</v>
      </c>
      <c r="H583" s="18">
        <v>185596.62</v>
      </c>
      <c r="I583" s="87">
        <f t="shared" si="47"/>
        <v>403092.89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139609+920</f>
        <v>140529</v>
      </c>
      <c r="I592" s="18">
        <v>134551.5</v>
      </c>
      <c r="J592" s="18">
        <f>1540+134551.5</f>
        <v>136091.5</v>
      </c>
      <c r="K592" s="104">
        <f t="shared" ref="K592:K598" si="48">SUM(H592:J592)</f>
        <v>411172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89403.59</v>
      </c>
      <c r="I593" s="18">
        <v>36114.730000000003</v>
      </c>
      <c r="J593" s="18">
        <v>35021.68</v>
      </c>
      <c r="K593" s="104">
        <f t="shared" si="48"/>
        <v>160540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4396.59</v>
      </c>
      <c r="K594" s="104">
        <f t="shared" si="48"/>
        <v>4396.59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13630</v>
      </c>
      <c r="J595" s="18">
        <v>42256</v>
      </c>
      <c r="K595" s="104">
        <f t="shared" si="48"/>
        <v>55886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1517.75</v>
      </c>
      <c r="K596" s="104">
        <f t="shared" si="48"/>
        <v>1517.75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229932.59</v>
      </c>
      <c r="I599" s="108">
        <f>SUM(I592:I598)</f>
        <v>184296.23</v>
      </c>
      <c r="J599" s="108">
        <f>SUM(J592:J598)</f>
        <v>219283.52</v>
      </c>
      <c r="K599" s="108">
        <f>SUM(K592:K598)</f>
        <v>633512.34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2892.43+33151.13</f>
        <v>36043.56</v>
      </c>
      <c r="I605" s="18">
        <f>2207.38+80050.66</f>
        <v>82258.040000000008</v>
      </c>
      <c r="J605" s="18">
        <v>71343.72</v>
      </c>
      <c r="K605" s="104">
        <f>SUM(H605:J605)</f>
        <v>189645.32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36043.56</v>
      </c>
      <c r="I606" s="108">
        <f>SUM(I603:I605)</f>
        <v>82258.040000000008</v>
      </c>
      <c r="J606" s="108">
        <f>SUM(J603:J605)</f>
        <v>71343.72</v>
      </c>
      <c r="K606" s="108">
        <f>SUM(K603:K605)</f>
        <v>189645.32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2341857.46</v>
      </c>
      <c r="H618" s="109">
        <f>SUM(F52)</f>
        <v>2341857.46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70245.37</v>
      </c>
      <c r="H619" s="109">
        <f>SUM(G52)</f>
        <v>70245.37000000001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231658.75</v>
      </c>
      <c r="H620" s="109">
        <f>SUM(H52)</f>
        <v>231658.75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671552.57</v>
      </c>
      <c r="H622" s="109">
        <f>SUM(J52)</f>
        <v>671552.57000000007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1867311.74</v>
      </c>
      <c r="H623" s="109">
        <f>F477</f>
        <v>1867311.7400000021</v>
      </c>
      <c r="I623" s="121" t="s">
        <v>101</v>
      </c>
      <c r="J623" s="109">
        <f t="shared" ref="J623:J656" si="50">G623-H623</f>
        <v>-2.0954757928848267E-9</v>
      </c>
      <c r="K623" s="109"/>
      <c r="L623" s="109"/>
      <c r="M623" s="8"/>
    </row>
    <row r="624" spans="1:14" s="3" customFormat="1" ht="12.2" customHeight="1" x14ac:dyDescent="0.15">
      <c r="A624" s="97"/>
      <c r="B624" s="105"/>
      <c r="C624" s="119"/>
      <c r="D624" s="119"/>
      <c r="E624" s="119"/>
      <c r="F624" s="119" t="s">
        <v>866</v>
      </c>
      <c r="G624" s="109">
        <f>G51</f>
        <v>2203.6100000000006</v>
      </c>
      <c r="H624" s="109">
        <f>G477</f>
        <v>2203.609999999986</v>
      </c>
      <c r="I624" s="121" t="s">
        <v>102</v>
      </c>
      <c r="J624" s="109">
        <f t="shared" si="50"/>
        <v>1.4551915228366852E-11</v>
      </c>
      <c r="K624" s="109"/>
      <c r="L624" s="109"/>
      <c r="M624" s="8"/>
    </row>
    <row r="625" spans="1:13" s="3" customFormat="1" ht="12.2" customHeight="1" x14ac:dyDescent="0.15">
      <c r="A625" s="97"/>
      <c r="B625" s="105"/>
      <c r="C625" s="105"/>
      <c r="D625" s="105"/>
      <c r="E625" s="105"/>
      <c r="F625" s="120" t="s">
        <v>867</v>
      </c>
      <c r="G625" s="109">
        <f>H51</f>
        <v>-323.77</v>
      </c>
      <c r="H625" s="109">
        <f>H477</f>
        <v>-323.77000000001863</v>
      </c>
      <c r="I625" s="121" t="s">
        <v>103</v>
      </c>
      <c r="J625" s="109">
        <f t="shared" si="50"/>
        <v>1.8644641386345029E-11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671552.57000000007</v>
      </c>
      <c r="H627" s="109">
        <f>J477</f>
        <v>671552.57000000007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16752700.310000001</v>
      </c>
      <c r="H628" s="104">
        <f>SUM(F469)</f>
        <v>16752700.310000001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392980.11</v>
      </c>
      <c r="H629" s="104">
        <f>SUM(G469)</f>
        <v>392980.11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774666.17999999993</v>
      </c>
      <c r="H630" s="104">
        <f>SUM(H469)</f>
        <v>774666.17999999993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114756.31</v>
      </c>
      <c r="H632" s="104">
        <f>SUM(J469)</f>
        <v>114756.31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16788432.199999999</v>
      </c>
      <c r="H633" s="104">
        <f>SUM(F473)</f>
        <v>16788432.199999999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774681.94</v>
      </c>
      <c r="H634" s="104">
        <f>SUM(H473)</f>
        <v>774681.94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351078.19</v>
      </c>
      <c r="H636" s="104">
        <f>SUM(G473)</f>
        <v>351078.19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114756.31</v>
      </c>
      <c r="H638" s="164">
        <f>SUM(J469)</f>
        <v>114756.31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171983</v>
      </c>
      <c r="H639" s="164">
        <f>SUM(J473)</f>
        <v>171983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278005.92</v>
      </c>
      <c r="H640" s="104">
        <f>SUM(F462)</f>
        <v>278005.92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393546.64999999997</v>
      </c>
      <c r="H641" s="104">
        <f>SUM(G462)</f>
        <v>393546.65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671552.57</v>
      </c>
      <c r="H643" s="104">
        <f>SUM(I462)</f>
        <v>671552.57000000007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16120.86</v>
      </c>
      <c r="H645" s="104">
        <f>H409</f>
        <v>16120.859999999999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76000</v>
      </c>
      <c r="H646" s="104">
        <f>G409</f>
        <v>76000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114756.31</v>
      </c>
      <c r="H647" s="104">
        <f>L409</f>
        <v>114756.31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633512.34</v>
      </c>
      <c r="H648" s="104">
        <f>L209+L227+L245</f>
        <v>633512.34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189645.32</v>
      </c>
      <c r="H649" s="104">
        <f>(J258+J339)-(J256+J337)</f>
        <v>189645.32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229932.59</v>
      </c>
      <c r="H650" s="104">
        <f>H599</f>
        <v>229932.59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184296.23</v>
      </c>
      <c r="H651" s="104">
        <f>I599</f>
        <v>184296.23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219283.52</v>
      </c>
      <c r="H652" s="104">
        <f>J599</f>
        <v>219283.52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87562</v>
      </c>
      <c r="H653" s="104">
        <f>K264+K346</f>
        <v>87562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76000</v>
      </c>
      <c r="H656" s="104">
        <f>K267+K348</f>
        <v>76000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5289953.3590000002</v>
      </c>
      <c r="G661" s="19">
        <f>(L230+L310+L360)</f>
        <v>4821368.8295000009</v>
      </c>
      <c r="H661" s="19">
        <f>(L248+L329+L361)</f>
        <v>5524088.0714999987</v>
      </c>
      <c r="I661" s="19">
        <f>SUM(F661:H661)</f>
        <v>15635410.260000002</v>
      </c>
      <c r="J661" s="13"/>
      <c r="K661" s="13"/>
      <c r="L661" s="13"/>
      <c r="M661" s="9"/>
    </row>
    <row r="662" spans="1:13" s="3" customFormat="1" ht="12.2" customHeight="1" x14ac:dyDescent="0.2">
      <c r="A662" s="1" t="s">
        <v>127</v>
      </c>
      <c r="F662" s="19">
        <f>(L359/IF(SUM(L359:L361)=0,1,SUM(L359:L361))*(SUM(G97:G110)))</f>
        <v>40619.024337841038</v>
      </c>
      <c r="G662" s="19">
        <f>(L360/IF(SUM(L359:L361)=0,1,SUM(L359:L361))*(SUM(G97:G110)))</f>
        <v>31038.698469805797</v>
      </c>
      <c r="H662" s="19">
        <f>(L361/IF(SUM(L359:L361)=0,1,SUM(L359:L361))*(SUM(G97:G110)))</f>
        <v>36813.897192353157</v>
      </c>
      <c r="I662" s="19">
        <f>SUM(F662:H662)</f>
        <v>108471.62</v>
      </c>
      <c r="J662"/>
      <c r="K662" s="13"/>
      <c r="L662" s="13"/>
      <c r="M662" s="8"/>
    </row>
    <row r="663" spans="1:13" s="3" customFormat="1" ht="12.2" customHeight="1" x14ac:dyDescent="0.2">
      <c r="A663" s="1" t="s">
        <v>128</v>
      </c>
      <c r="F663" s="19">
        <f>(L209+L288)-(J209+J288)</f>
        <v>229932.59</v>
      </c>
      <c r="G663" s="19">
        <f>(L227+L307)-(J227+J307)</f>
        <v>184296.23</v>
      </c>
      <c r="H663" s="19">
        <f>(L245+L326)-(J245+J326)</f>
        <v>219283.52</v>
      </c>
      <c r="I663" s="19">
        <f>SUM(F663:H663)</f>
        <v>633512.34</v>
      </c>
      <c r="J663"/>
      <c r="K663" s="13"/>
      <c r="L663" s="13"/>
      <c r="M663" s="9"/>
    </row>
    <row r="664" spans="1:13" s="3" customFormat="1" ht="12.2" customHeight="1" x14ac:dyDescent="0.15">
      <c r="A664" s="198" t="s">
        <v>129</v>
      </c>
      <c r="B664" s="169"/>
      <c r="C664" s="169"/>
      <c r="D664" s="169"/>
      <c r="E664" s="169"/>
      <c r="F664" s="199">
        <f>SUM(F576:F588)+SUM(H603:H605)+SUM(L612)</f>
        <v>102091.86</v>
      </c>
      <c r="G664" s="199">
        <f>SUM(G576:G588)+SUM(I603:I605)+L613</f>
        <v>233706.01</v>
      </c>
      <c r="H664" s="199">
        <f>SUM(H576:H588)+SUM(J603:J605)+L614</f>
        <v>260425.66</v>
      </c>
      <c r="I664" s="19">
        <f>SUM(F664:H664)</f>
        <v>596223.53</v>
      </c>
      <c r="J664" s="13"/>
      <c r="K664" s="13"/>
      <c r="L664" s="13"/>
      <c r="M664" s="9"/>
    </row>
    <row r="665" spans="1:13" s="3" customFormat="1" ht="12.2" customHeight="1" x14ac:dyDescent="0.15">
      <c r="A665" s="1" t="s">
        <v>130</v>
      </c>
      <c r="F665" s="19">
        <f>F661-SUM(F662:F664)</f>
        <v>4917309.8846621588</v>
      </c>
      <c r="G665" s="19">
        <f>G661-SUM(G662:G664)</f>
        <v>4372327.8910301952</v>
      </c>
      <c r="H665" s="19">
        <f>H661-SUM(H662:H664)</f>
        <v>5007564.9943076456</v>
      </c>
      <c r="I665" s="19">
        <f>I661-SUM(I662:I664)</f>
        <v>14297202.770000001</v>
      </c>
      <c r="J665" s="13"/>
      <c r="K665" s="13"/>
      <c r="L665" s="13"/>
      <c r="M665" s="8"/>
    </row>
    <row r="666" spans="1:13" s="3" customFormat="1" ht="12.2" customHeight="1" x14ac:dyDescent="0.2">
      <c r="A666" s="1" t="s">
        <v>131</v>
      </c>
      <c r="F666" s="246">
        <f>9.23+36.15+334.54</f>
        <v>379.92</v>
      </c>
      <c r="G666" s="247">
        <v>301.27999999999997</v>
      </c>
      <c r="H666" s="247">
        <v>285.77</v>
      </c>
      <c r="I666" s="19">
        <f>SUM(F666:H666)</f>
        <v>966.97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12943.01</v>
      </c>
      <c r="G668" s="19">
        <f>ROUND(G665/G666,2)</f>
        <v>14512.51</v>
      </c>
      <c r="H668" s="19">
        <f>ROUND(H665/H666,2)</f>
        <v>17523.060000000001</v>
      </c>
      <c r="I668" s="19">
        <f>ROUND(I665/I666,2)</f>
        <v>14785.57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3.5</v>
      </c>
      <c r="I671" s="19">
        <f>SUM(F671:H671)</f>
        <v>3.5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12943.01</v>
      </c>
      <c r="G673" s="19">
        <f>ROUND((G665+G670)/(G666+G671),2)</f>
        <v>14512.51</v>
      </c>
      <c r="H673" s="19">
        <f>ROUND((H665+H670)/(H666+H671),2)</f>
        <v>17311.04</v>
      </c>
      <c r="I673" s="19">
        <f>ROUND((I665+I670)/(I666+I671),2)</f>
        <v>14732.25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SAU 87 MASCENIC REGIONAL SCHOOL DISTRICT</v>
      </c>
      <c r="C5" s="345"/>
      <c r="D5" s="345"/>
      <c r="E5" s="345"/>
      <c r="F5" s="345"/>
    </row>
    <row r="8" spans="1:9" ht="18" x14ac:dyDescent="0.25">
      <c r="A8" s="323" t="s">
        <v>1591</v>
      </c>
      <c r="F8" s="330" t="s">
        <v>1609</v>
      </c>
    </row>
    <row r="9" spans="1:9" ht="15" x14ac:dyDescent="0.2">
      <c r="A9" s="321" t="s">
        <v>1592</v>
      </c>
      <c r="B9" s="324">
        <f>'DOE25'!G97</f>
        <v>108471.62</v>
      </c>
      <c r="F9" s="321" t="s">
        <v>1605</v>
      </c>
    </row>
    <row r="10" spans="1:9" ht="15" x14ac:dyDescent="0.2">
      <c r="A10" s="321" t="s">
        <v>1593</v>
      </c>
      <c r="B10" s="324">
        <f>'DOE25'!G112-'DOE25'!G97</f>
        <v>0</v>
      </c>
      <c r="F10" s="321" t="s">
        <v>1606</v>
      </c>
    </row>
    <row r="11" spans="1:9" ht="15" x14ac:dyDescent="0.2">
      <c r="A11" s="321" t="s">
        <v>1594</v>
      </c>
      <c r="B11" s="324">
        <f>'DOE25'!G140</f>
        <v>5525.05</v>
      </c>
      <c r="F11" s="321" t="s">
        <v>1607</v>
      </c>
    </row>
    <row r="12" spans="1:9" ht="15" x14ac:dyDescent="0.2">
      <c r="A12" s="321" t="s">
        <v>1595</v>
      </c>
      <c r="B12" s="324">
        <f>'DOE25'!G170</f>
        <v>191421.44</v>
      </c>
      <c r="F12" s="321" t="s">
        <v>1608</v>
      </c>
    </row>
    <row r="13" spans="1:9" ht="15" x14ac:dyDescent="0.2">
      <c r="A13" s="321" t="s">
        <v>1596</v>
      </c>
      <c r="B13" s="324">
        <f>'DOE25'!G193-'DOE25'!G180</f>
        <v>0</v>
      </c>
      <c r="F13" s="321" t="s">
        <v>1618</v>
      </c>
    </row>
    <row r="14" spans="1:9" ht="18" x14ac:dyDescent="0.25">
      <c r="A14" s="323" t="s">
        <v>732</v>
      </c>
      <c r="B14" s="325">
        <f>SUM(B9:B13)</f>
        <v>305418.11</v>
      </c>
    </row>
    <row r="16" spans="1:9" ht="18" x14ac:dyDescent="0.25">
      <c r="A16" s="323" t="s">
        <v>786</v>
      </c>
      <c r="F16" s="330" t="s">
        <v>1610</v>
      </c>
    </row>
    <row r="17" spans="1:6" ht="15" x14ac:dyDescent="0.2">
      <c r="A17" s="321" t="s">
        <v>1597</v>
      </c>
      <c r="B17" s="324">
        <f>'DOE25'!L363-'DOE25'!L362</f>
        <v>351078.19</v>
      </c>
      <c r="F17" s="321" t="s">
        <v>1611</v>
      </c>
    </row>
    <row r="18" spans="1:6" ht="15" x14ac:dyDescent="0.2">
      <c r="A18" s="321" t="s">
        <v>1598</v>
      </c>
      <c r="B18" s="338">
        <v>0</v>
      </c>
      <c r="F18" s="330" t="s">
        <v>1637</v>
      </c>
    </row>
    <row r="19" spans="1:6" ht="18" x14ac:dyDescent="0.25">
      <c r="A19" s="323" t="s">
        <v>725</v>
      </c>
      <c r="B19" s="325">
        <f>SUM(B17:B18)</f>
        <v>351078.19</v>
      </c>
    </row>
    <row r="21" spans="1:6" ht="18.75" thickBot="1" x14ac:dyDescent="0.3">
      <c r="A21" s="323" t="s">
        <v>1599</v>
      </c>
    </row>
    <row r="22" spans="1:6" ht="18.75" thickTop="1" x14ac:dyDescent="0.25">
      <c r="A22" s="323" t="s">
        <v>1600</v>
      </c>
      <c r="B22" s="329">
        <f>B14-B19</f>
        <v>-45660.080000000016</v>
      </c>
      <c r="F22" s="321" t="s">
        <v>1612</v>
      </c>
    </row>
    <row r="26" spans="1:6" ht="18" x14ac:dyDescent="0.25">
      <c r="A26" s="323" t="s">
        <v>186</v>
      </c>
    </row>
    <row r="27" spans="1:6" ht="15" x14ac:dyDescent="0.2">
      <c r="A27" s="321" t="s">
        <v>1601</v>
      </c>
      <c r="B27" s="324">
        <f>'DOE25'!G180</f>
        <v>87562</v>
      </c>
      <c r="F27" s="321" t="s">
        <v>1613</v>
      </c>
    </row>
    <row r="28" spans="1:6" ht="15" x14ac:dyDescent="0.2">
      <c r="A28" s="321" t="s">
        <v>1603</v>
      </c>
      <c r="B28" s="324">
        <f>'DOE25'!L362</f>
        <v>0</v>
      </c>
      <c r="F28" s="321" t="s">
        <v>1614</v>
      </c>
    </row>
    <row r="31" spans="1:6" ht="15" x14ac:dyDescent="0.2">
      <c r="A31" s="321" t="s">
        <v>1640</v>
      </c>
      <c r="B31" s="324">
        <f>'DOE25'!G466</f>
        <v>-39698.31</v>
      </c>
      <c r="F31" s="321" t="s">
        <v>1615</v>
      </c>
    </row>
    <row r="33" spans="1:6" ht="15" x14ac:dyDescent="0.2">
      <c r="A33" s="321" t="s">
        <v>1641</v>
      </c>
      <c r="B33" s="324">
        <f>'DOE25'!G477</f>
        <v>2203.609999999986</v>
      </c>
      <c r="F33" s="321" t="s">
        <v>1616</v>
      </c>
    </row>
    <row r="36" spans="1:6" ht="15" x14ac:dyDescent="0.2">
      <c r="A36" s="321" t="s">
        <v>1602</v>
      </c>
      <c r="B36" s="339">
        <v>29004.55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SAU 87 MASCENIC REGIONAL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4212501.0999999996</v>
      </c>
      <c r="C9" s="229">
        <f>'DOE25'!G198+'DOE25'!G216+'DOE25'!G234+'DOE25'!G277+'DOE25'!G296+'DOE25'!G315</f>
        <v>2240291.17</v>
      </c>
    </row>
    <row r="10" spans="1:3" x14ac:dyDescent="0.2">
      <c r="A10" t="s">
        <v>775</v>
      </c>
      <c r="B10" s="240">
        <v>4046547.44</v>
      </c>
      <c r="C10" s="240">
        <v>2206884.4300000002</v>
      </c>
    </row>
    <row r="11" spans="1:3" x14ac:dyDescent="0.2">
      <c r="A11" t="s">
        <v>776</v>
      </c>
      <c r="B11" s="240">
        <v>65780.08</v>
      </c>
      <c r="C11" s="240">
        <v>23712.44</v>
      </c>
    </row>
    <row r="12" spans="1:3" x14ac:dyDescent="0.2">
      <c r="A12" t="s">
        <v>777</v>
      </c>
      <c r="B12" s="240">
        <f>100189.34-15.76</f>
        <v>100173.58</v>
      </c>
      <c r="C12" s="240">
        <v>9694.2999999999993</v>
      </c>
    </row>
    <row r="13" spans="1:3" x14ac:dyDescent="0.2">
      <c r="A13" t="str">
        <f>IF(B9=B13,IF(C9=C13,"Check Total OK","Check Total Error"),"Check Total Error")</f>
        <v>Check Total OK</v>
      </c>
      <c r="B13" s="231">
        <f>SUM(B10:B12)</f>
        <v>4212501.0999999996</v>
      </c>
      <c r="C13" s="231">
        <f>SUM(C10:C12)</f>
        <v>2240291.17</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937007.67</v>
      </c>
      <c r="C18" s="229">
        <f>'DOE25'!G199+'DOE25'!G217+'DOE25'!G235+'DOE25'!G278+'DOE25'!G297+'DOE25'!G316</f>
        <v>458436.14999999997</v>
      </c>
    </row>
    <row r="19" spans="1:3" x14ac:dyDescent="0.2">
      <c r="A19" t="s">
        <v>775</v>
      </c>
      <c r="B19" s="240">
        <v>458583.69</v>
      </c>
      <c r="C19" s="240">
        <v>272161.05</v>
      </c>
    </row>
    <row r="20" spans="1:3" x14ac:dyDescent="0.2">
      <c r="A20" t="s">
        <v>776</v>
      </c>
      <c r="B20" s="240">
        <v>457534.82</v>
      </c>
      <c r="C20" s="240">
        <v>182771.87</v>
      </c>
    </row>
    <row r="21" spans="1:3" x14ac:dyDescent="0.2">
      <c r="A21" t="s">
        <v>777</v>
      </c>
      <c r="B21" s="240">
        <v>20889.16</v>
      </c>
      <c r="C21" s="240">
        <v>3503.23</v>
      </c>
    </row>
    <row r="22" spans="1:3" x14ac:dyDescent="0.2">
      <c r="A22" t="str">
        <f>IF(B18=B22,IF(C18=C22,"Check Total OK","Check Total Error"),"Check Total Error")</f>
        <v>Check Total OK</v>
      </c>
      <c r="B22" s="231">
        <f>SUM(B19:B21)</f>
        <v>937007.67</v>
      </c>
      <c r="C22" s="231">
        <f>SUM(C19:C21)</f>
        <v>458436.14999999997</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66069</v>
      </c>
      <c r="C27" s="234">
        <f>'DOE25'!G200+'DOE25'!G218+'DOE25'!G236+'DOE25'!G279+'DOE25'!G298+'DOE25'!G317</f>
        <v>27303.18</v>
      </c>
    </row>
    <row r="28" spans="1:3" x14ac:dyDescent="0.2">
      <c r="A28" t="s">
        <v>775</v>
      </c>
      <c r="B28" s="240">
        <v>66069</v>
      </c>
      <c r="C28" s="240">
        <v>27303.18</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66069</v>
      </c>
      <c r="C31" s="231">
        <f>SUM(C28:C30)</f>
        <v>27303.18</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78761</v>
      </c>
      <c r="C36" s="235">
        <f>'DOE25'!G201+'DOE25'!G219+'DOE25'!G237+'DOE25'!G280+'DOE25'!G299+'DOE25'!G318</f>
        <v>10820.900000000001</v>
      </c>
    </row>
    <row r="37" spans="1:3" x14ac:dyDescent="0.2">
      <c r="A37" t="s">
        <v>775</v>
      </c>
      <c r="B37" s="240"/>
      <c r="C37" s="240"/>
    </row>
    <row r="38" spans="1:3" x14ac:dyDescent="0.2">
      <c r="A38" t="s">
        <v>776</v>
      </c>
      <c r="B38" s="240"/>
      <c r="C38" s="240"/>
    </row>
    <row r="39" spans="1:3" x14ac:dyDescent="0.2">
      <c r="A39" t="s">
        <v>777</v>
      </c>
      <c r="B39" s="240">
        <v>78761</v>
      </c>
      <c r="C39" s="240">
        <v>10820.9</v>
      </c>
    </row>
    <row r="40" spans="1:3" x14ac:dyDescent="0.2">
      <c r="A40" t="str">
        <f>IF(B36=B40,IF(C36=C40,"Check Total OK","Check Total Error"),"Check Total Error")</f>
        <v>Check Total OK</v>
      </c>
      <c r="B40" s="231">
        <f>SUM(B37:B39)</f>
        <v>78761</v>
      </c>
      <c r="C40" s="231">
        <f>SUM(C37:C39)</f>
        <v>10820.9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85" zoomScaleNormal="85"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SAU 87 MASCENIC REGIONAL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8248287.8199999994</v>
      </c>
      <c r="D5" s="20">
        <f>SUM('DOE25'!L198:L201)+SUM('DOE25'!L216:L219)+SUM('DOE25'!L234:L237)-F5-G5-H5</f>
        <v>8099083.6599999992</v>
      </c>
      <c r="E5" s="243"/>
      <c r="F5" s="244"/>
      <c r="G5" s="53">
        <f>SUM('DOE25'!J198:J201)+SUM('DOE25'!J216:J219)+SUM('DOE25'!J234:J237)</f>
        <v>139029.16</v>
      </c>
      <c r="H5" s="53">
        <f>SUM('DOE25'!K198:K201)+SUM('DOE25'!K216:K219)+SUM('DOE25'!K234:K237)</f>
        <v>10175</v>
      </c>
      <c r="I5" s="256"/>
    </row>
    <row r="6" spans="1:9" x14ac:dyDescent="0.2">
      <c r="A6" s="32">
        <v>2100</v>
      </c>
      <c r="B6" t="s">
        <v>796</v>
      </c>
      <c r="C6" s="276">
        <f t="shared" si="0"/>
        <v>1246446.8099999998</v>
      </c>
      <c r="D6" s="20">
        <f>'DOE25'!L203+'DOE25'!L221+'DOE25'!L239-F6-G6-H6</f>
        <v>1151453.1099999999</v>
      </c>
      <c r="E6" s="243"/>
      <c r="F6" s="244">
        <v>94248</v>
      </c>
      <c r="G6" s="53">
        <f>'DOE25'!J203+'DOE25'!J221+'DOE25'!J239</f>
        <v>471.7</v>
      </c>
      <c r="H6" s="53">
        <f>'DOE25'!K203+'DOE25'!K221+'DOE25'!K239</f>
        <v>274</v>
      </c>
      <c r="I6" s="256"/>
    </row>
    <row r="7" spans="1:9" x14ac:dyDescent="0.2">
      <c r="A7" s="32">
        <v>2200</v>
      </c>
      <c r="B7" t="s">
        <v>821</v>
      </c>
      <c r="C7" s="276">
        <f t="shared" si="0"/>
        <v>243957.04</v>
      </c>
      <c r="D7" s="20">
        <f>'DOE25'!L204+'DOE25'!L222+'DOE25'!L240-F7-G7-H7</f>
        <v>243343.04</v>
      </c>
      <c r="E7" s="243"/>
      <c r="F7" s="244">
        <v>0</v>
      </c>
      <c r="G7" s="53">
        <f>'DOE25'!J204+'DOE25'!J222+'DOE25'!J240</f>
        <v>614</v>
      </c>
      <c r="H7" s="53">
        <f>'DOE25'!K204+'DOE25'!K222+'DOE25'!K240</f>
        <v>0</v>
      </c>
      <c r="I7" s="256"/>
    </row>
    <row r="8" spans="1:9" x14ac:dyDescent="0.2">
      <c r="A8" s="32">
        <v>2300</v>
      </c>
      <c r="B8" t="s">
        <v>797</v>
      </c>
      <c r="C8" s="276">
        <f t="shared" si="0"/>
        <v>267639.58999999985</v>
      </c>
      <c r="D8" s="243"/>
      <c r="E8" s="20">
        <f>'DOE25'!L205+'DOE25'!L223+'DOE25'!L241-F8-G8-H8-D9-D11</f>
        <v>257682.01999999984</v>
      </c>
      <c r="F8" s="244">
        <v>0</v>
      </c>
      <c r="G8" s="53">
        <f>'DOE25'!J205+'DOE25'!J223+'DOE25'!J241</f>
        <v>360.76</v>
      </c>
      <c r="H8" s="53">
        <f>'DOE25'!K205+'DOE25'!K223+'DOE25'!K241</f>
        <v>9596.81</v>
      </c>
      <c r="I8" s="256"/>
    </row>
    <row r="9" spans="1:9" ht="14.25" x14ac:dyDescent="0.2">
      <c r="A9" s="32">
        <v>2310</v>
      </c>
      <c r="B9" s="185" t="s">
        <v>890</v>
      </c>
      <c r="C9" s="276">
        <f t="shared" si="0"/>
        <v>22304.97</v>
      </c>
      <c r="D9" s="244">
        <v>22304.97</v>
      </c>
      <c r="E9" s="243"/>
      <c r="F9" s="253"/>
      <c r="G9" s="253"/>
      <c r="H9" s="253"/>
      <c r="I9" s="256"/>
    </row>
    <row r="10" spans="1:9" ht="14.25" x14ac:dyDescent="0.2">
      <c r="A10" s="32">
        <v>2317</v>
      </c>
      <c r="B10" s="185" t="s">
        <v>891</v>
      </c>
      <c r="C10" s="276">
        <f t="shared" si="0"/>
        <v>20850</v>
      </c>
      <c r="D10" s="243"/>
      <c r="E10" s="244">
        <v>20850</v>
      </c>
      <c r="F10" s="253"/>
      <c r="G10" s="253"/>
      <c r="H10" s="253"/>
      <c r="I10" s="256"/>
    </row>
    <row r="11" spans="1:9" ht="14.25" x14ac:dyDescent="0.2">
      <c r="A11" s="32">
        <v>2321</v>
      </c>
      <c r="B11" s="185" t="s">
        <v>892</v>
      </c>
      <c r="C11" s="276">
        <f t="shared" si="0"/>
        <v>400812.33</v>
      </c>
      <c r="D11" s="244">
        <f>244898.41+147104.13+8809.79</f>
        <v>400812.33</v>
      </c>
      <c r="E11" s="243"/>
      <c r="F11" s="253"/>
      <c r="G11" s="253"/>
      <c r="H11" s="253"/>
      <c r="I11" s="256"/>
    </row>
    <row r="12" spans="1:9" x14ac:dyDescent="0.2">
      <c r="A12" s="32">
        <v>2400</v>
      </c>
      <c r="B12" t="s">
        <v>711</v>
      </c>
      <c r="C12" s="276">
        <f t="shared" si="0"/>
        <v>1208005.31</v>
      </c>
      <c r="D12" s="20">
        <f>'DOE25'!L206+'DOE25'!L224+'DOE25'!L242-F12-G12-H12</f>
        <v>1183724.4500000002</v>
      </c>
      <c r="E12" s="243"/>
      <c r="F12" s="244">
        <v>0</v>
      </c>
      <c r="G12" s="53">
        <f>'DOE25'!J206+'DOE25'!J224+'DOE25'!J242</f>
        <v>1299.92</v>
      </c>
      <c r="H12" s="53">
        <f>'DOE25'!K206+'DOE25'!K224+'DOE25'!K242</f>
        <v>22980.94</v>
      </c>
      <c r="I12" s="256"/>
    </row>
    <row r="13" spans="1:9" x14ac:dyDescent="0.2">
      <c r="A13" s="32">
        <v>2500</v>
      </c>
      <c r="B13" t="s">
        <v>798</v>
      </c>
      <c r="C13" s="276">
        <f t="shared" si="0"/>
        <v>333978.26</v>
      </c>
      <c r="D13" s="243"/>
      <c r="E13" s="20">
        <f>'DOE25'!L207+'DOE25'!L225+'DOE25'!L243-F13-G13-H13</f>
        <v>330501.10000000003</v>
      </c>
      <c r="F13" s="244">
        <v>0</v>
      </c>
      <c r="G13" s="53">
        <f>'DOE25'!J207+'DOE25'!J225+'DOE25'!J243</f>
        <v>0</v>
      </c>
      <c r="H13" s="53">
        <f>'DOE25'!K207+'DOE25'!K225+'DOE25'!K243</f>
        <v>3477.16</v>
      </c>
      <c r="I13" s="256"/>
    </row>
    <row r="14" spans="1:9" x14ac:dyDescent="0.2">
      <c r="A14" s="32">
        <v>2600</v>
      </c>
      <c r="B14" t="s">
        <v>819</v>
      </c>
      <c r="C14" s="276">
        <f t="shared" si="0"/>
        <v>1571573.8399999999</v>
      </c>
      <c r="D14" s="20">
        <f>'DOE25'!L208+'DOE25'!L226+'DOE25'!L244-F14-G14-H14</f>
        <v>1538160.89</v>
      </c>
      <c r="E14" s="243"/>
      <c r="F14" s="244">
        <f>29576-25000</f>
        <v>4576</v>
      </c>
      <c r="G14" s="53">
        <f>'DOE25'!J208+'DOE25'!J226+'DOE25'!J244</f>
        <v>28836.95</v>
      </c>
      <c r="H14" s="53">
        <f>'DOE25'!K208+'DOE25'!K226+'DOE25'!K244</f>
        <v>0</v>
      </c>
      <c r="I14" s="256"/>
    </row>
    <row r="15" spans="1:9" x14ac:dyDescent="0.2">
      <c r="A15" s="32">
        <v>2700</v>
      </c>
      <c r="B15" t="s">
        <v>799</v>
      </c>
      <c r="C15" s="276">
        <f t="shared" si="0"/>
        <v>633512.34</v>
      </c>
      <c r="D15" s="20">
        <f>'DOE25'!L209+'DOE25'!L227+'DOE25'!L245-F15-G15-H15</f>
        <v>201360.33999999997</v>
      </c>
      <c r="E15" s="243"/>
      <c r="F15" s="244">
        <f>399927+82225-50000</f>
        <v>432152</v>
      </c>
      <c r="G15" s="53">
        <f>'DOE25'!J209+'DOE25'!J227+'DOE25'!J245</f>
        <v>0</v>
      </c>
      <c r="H15" s="53">
        <f>'DOE25'!K209+'DOE25'!K227+'DOE25'!K245</f>
        <v>0</v>
      </c>
      <c r="I15" s="256"/>
    </row>
    <row r="16" spans="1:9" x14ac:dyDescent="0.2">
      <c r="A16" s="32">
        <v>2800</v>
      </c>
      <c r="B16" t="s">
        <v>800</v>
      </c>
      <c r="C16" s="276">
        <f t="shared" si="0"/>
        <v>377083.14</v>
      </c>
      <c r="D16" s="243"/>
      <c r="E16" s="20">
        <f>'DOE25'!L210+'DOE25'!L228+'DOE25'!L246-F16-G16-H16</f>
        <v>365301.2</v>
      </c>
      <c r="F16" s="244">
        <v>0</v>
      </c>
      <c r="G16" s="53">
        <f>'DOE25'!J210+'DOE25'!J228+'DOE25'!J246</f>
        <v>11781.94</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2071268.75</v>
      </c>
      <c r="D25" s="243"/>
      <c r="E25" s="243"/>
      <c r="F25" s="255"/>
      <c r="G25" s="253"/>
      <c r="H25" s="253"/>
      <c r="I25" s="254">
        <f>'DOE25'!L261+'DOE25'!L262+'DOE25'!L342+'DOE25'!L343</f>
        <v>2071268.75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351078.19</v>
      </c>
      <c r="D29" s="284">
        <f>'DOE25'!L359+'DOE25'!L360+'DOE25'!L361-'DOE25'!I368-F29-G29-H29</f>
        <v>157857.19</v>
      </c>
      <c r="E29" s="243"/>
      <c r="F29" s="244">
        <f>307540-93354-25000</f>
        <v>189186</v>
      </c>
      <c r="G29" s="53">
        <f>'DOE25'!J359+'DOE25'!J360+'DOE25'!J361</f>
        <v>4035</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730730.62</v>
      </c>
      <c r="D31" s="20">
        <f>'DOE25'!L291+'DOE25'!L310+'DOE25'!L329+'DOE25'!L334+'DOE25'!L335+'DOE25'!L336-F31-G31-H31</f>
        <v>723479.73</v>
      </c>
      <c r="E31" s="243"/>
      <c r="F31" s="244">
        <v>0</v>
      </c>
      <c r="G31" s="53">
        <f>'DOE25'!J291+'DOE25'!J310+'DOE25'!J329+'DOE25'!J334+'DOE25'!J335+'DOE25'!J336</f>
        <v>7250.89</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13721579.709999999</v>
      </c>
      <c r="E33" s="245">
        <f t="shared" si="1"/>
        <v>974334.31999999983</v>
      </c>
      <c r="F33" s="245">
        <f t="shared" si="1"/>
        <v>720162</v>
      </c>
      <c r="G33" s="245">
        <f t="shared" si="1"/>
        <v>193680.32000000007</v>
      </c>
      <c r="H33" s="245">
        <f t="shared" si="1"/>
        <v>46503.91</v>
      </c>
      <c r="I33" s="245">
        <f t="shared" si="1"/>
        <v>2071268.75</v>
      </c>
    </row>
    <row r="35" spans="1:9" ht="12" thickBot="1" x14ac:dyDescent="0.25">
      <c r="B35" s="251" t="s">
        <v>831</v>
      </c>
      <c r="D35" s="252">
        <f>E33</f>
        <v>974334.31999999983</v>
      </c>
      <c r="E35" s="248"/>
    </row>
    <row r="36" spans="1:9" ht="12" thickTop="1" x14ac:dyDescent="0.2">
      <c r="B36" t="s">
        <v>810</v>
      </c>
      <c r="D36" s="20">
        <f>D33</f>
        <v>13721579.709999999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55" sqref="I5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SAU 87 MASCENIC REGIONAL SCHOOL DISTRICT</v>
      </c>
      <c r="B2" s="126">
        <f>'DOE25'!B2</f>
        <v>342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5158486.22</v>
      </c>
      <c r="G4" s="303">
        <f>'DOE25'!L212+'DOE25'!L291</f>
        <v>5158486.22</v>
      </c>
      <c r="H4" s="337">
        <f>F4-G4</f>
        <v>0</v>
      </c>
      <c r="I4" s="309" t="str">
        <f>IF(H4=0,"","Does not match DOE25 page 7 and 11 Totals!!")</f>
        <v/>
      </c>
      <c r="N4"/>
    </row>
    <row r="5" spans="1:18" x14ac:dyDescent="0.2">
      <c r="A5" s="21" t="s">
        <v>1241</v>
      </c>
      <c r="B5" s="304">
        <f>IFERROR(VLOOKUP(A5,'School Tables'!$C$3:$D$365,2,FALSE),"")</f>
        <v>28990</v>
      </c>
      <c r="C5" s="297" t="str">
        <f>IFERROR(INDEX('School Tables'!$B$3:$B$365,MATCH('School Level Expenditures'!B5,'School Tables'!$D$3:$D$365,0)),"")</f>
        <v>Mascenic Regional</v>
      </c>
      <c r="D5" s="294">
        <v>4754270.01</v>
      </c>
      <c r="E5" s="294">
        <v>404216.21</v>
      </c>
      <c r="F5" s="312">
        <f>D5+E5</f>
        <v>5158486.22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4720909.2800000012</v>
      </c>
      <c r="G24" s="303">
        <f>'DOE25'!L230+'DOE25'!L310</f>
        <v>4720909.2800000012</v>
      </c>
      <c r="H24" s="337">
        <f>F24-G24</f>
        <v>0</v>
      </c>
      <c r="I24" s="309" t="str">
        <f>IF(H24=0,"","Does not match DOE25 page 8 and 12 Totals!!")</f>
        <v/>
      </c>
      <c r="N24"/>
    </row>
    <row r="25" spans="1:14" ht="12" thickTop="1" x14ac:dyDescent="0.2">
      <c r="A25" s="21" t="s">
        <v>1239</v>
      </c>
      <c r="B25" s="304">
        <f>IFERROR(VLOOKUP(A25,'School Tables'!$I$3:$J$80,2,FALSE),"")</f>
        <v>26685</v>
      </c>
      <c r="C25" s="297" t="str">
        <f t="array" ref="C25">IFERROR(INDEX('School Tables'!$H$3:$H$80,MATCH('School Level Expenditures'!B25,'School Tables'!$J$3:$J$80,0)),"")</f>
        <v>Mascenic Regional</v>
      </c>
      <c r="D25" s="342">
        <v>4566211.370000001</v>
      </c>
      <c r="E25" s="342">
        <v>154697.91</v>
      </c>
      <c r="F25" s="307">
        <f>D25+E25</f>
        <v>4720909.2800000012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5404936.5699999984</v>
      </c>
      <c r="G36" s="303">
        <f>'DOE25'!L248+'DOE25'!L329</f>
        <v>5404936.5699999984</v>
      </c>
      <c r="H36" s="337">
        <f>F36-G36</f>
        <v>0</v>
      </c>
      <c r="I36" s="309" t="str">
        <f>IF(H36=0,"","Does not match DOE25 page 9 and 13 Totals!!")</f>
        <v/>
      </c>
      <c r="N36"/>
    </row>
    <row r="37" spans="1:14" x14ac:dyDescent="0.2">
      <c r="A37" s="21" t="s">
        <v>1240</v>
      </c>
      <c r="B37" s="304">
        <f>IFERROR(VLOOKUP(A37,'School Tables'!$O$3:$P$118,2,FALSE),"")</f>
        <v>23050</v>
      </c>
      <c r="C37" s="297" t="str">
        <f t="array" ref="C37">IFERROR(INDEX('School Tables'!$N$3:$N$118,MATCH('School Level Expenditures'!B37,'School Tables'!$P$3:$P$118,0)),"")</f>
        <v>Mascenic Regional</v>
      </c>
      <c r="D37" s="294">
        <v>5233120.0699999984</v>
      </c>
      <c r="E37" s="294">
        <v>171816.5</v>
      </c>
      <c r="F37" s="307">
        <f>D37+E37</f>
        <v>5404936.5699999984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I32" sqref="I3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 87 MASCENIC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2285882.61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671552.57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31526.92</v>
      </c>
      <c r="D12" s="95">
        <f>'DOE25'!G13</f>
        <v>17232.78</v>
      </c>
      <c r="E12" s="95">
        <f>'DOE25'!H13</f>
        <v>231658.75</v>
      </c>
      <c r="F12" s="95">
        <f>'DOE25'!I13</f>
        <v>0</v>
      </c>
      <c r="G12" s="95">
        <f>'DOE25'!J13</f>
        <v>0</v>
      </c>
      <c r="H12" s="124"/>
      <c r="I12" s="124"/>
    </row>
    <row r="13" spans="1:9" x14ac:dyDescent="0.2">
      <c r="A13" s="1" t="s">
        <v>144</v>
      </c>
      <c r="B13" s="6">
        <v>150</v>
      </c>
      <c r="C13" s="95">
        <f>'DOE25'!F14</f>
        <v>24447.930000000004</v>
      </c>
      <c r="D13" s="95">
        <f>'DOE25'!G14</f>
        <v>40148.9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12863.69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2341857.46</v>
      </c>
      <c r="D18" s="41">
        <f>SUM(D8:D17)</f>
        <v>70245.37</v>
      </c>
      <c r="E18" s="41">
        <f>SUM(E8:E17)</f>
        <v>231658.75</v>
      </c>
      <c r="F18" s="41">
        <f>SUM(F8:F17)</f>
        <v>0</v>
      </c>
      <c r="G18" s="41">
        <f>SUM(G8:G17)</f>
        <v>671552.57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-267566.9700000002</v>
      </c>
      <c r="D21" s="95">
        <f>'DOE25'!G22</f>
        <v>55486.01</v>
      </c>
      <c r="E21" s="95">
        <f>'DOE25'!H22</f>
        <v>212080.96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71214.189999999988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670898.5</v>
      </c>
      <c r="D29" s="95">
        <f>'DOE25'!G30</f>
        <v>12555.75</v>
      </c>
      <c r="E29" s="95">
        <f>'DOE25'!H30</f>
        <v>19901.560000000001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474545.7199999998</v>
      </c>
      <c r="D31" s="41">
        <f>SUM(D21:D30)</f>
        <v>68041.760000000009</v>
      </c>
      <c r="E31" s="41">
        <f>SUM(E21:E30)</f>
        <v>231982.52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12863.69</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-10660.08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240298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671552.57000000007</v>
      </c>
      <c r="H47" s="124"/>
      <c r="I47" s="124"/>
    </row>
    <row r="48" spans="1:9" x14ac:dyDescent="0.2">
      <c r="A48" s="1" t="s">
        <v>882</v>
      </c>
      <c r="B48" s="6">
        <v>753</v>
      </c>
      <c r="C48" s="95">
        <f>'DOE25'!F49</f>
        <v>153681.54999999999</v>
      </c>
      <c r="D48" s="95">
        <f>'DOE25'!G49</f>
        <v>0</v>
      </c>
      <c r="E48" s="95">
        <f>'DOE25'!H49</f>
        <v>-323.77</v>
      </c>
      <c r="F48" s="95">
        <f>'DOE25'!I49</f>
        <v>0</v>
      </c>
      <c r="G48" s="95">
        <f>'DOE25'!J49</f>
        <v>0</v>
      </c>
      <c r="H48" s="124"/>
      <c r="I48" s="124"/>
    </row>
    <row r="49" spans="1:9" ht="12" thickBot="1" x14ac:dyDescent="0.25">
      <c r="A49" s="29" t="s">
        <v>883</v>
      </c>
      <c r="B49" s="71">
        <v>770</v>
      </c>
      <c r="C49" s="95">
        <f>'DOE25'!F50</f>
        <v>1428332.19</v>
      </c>
      <c r="D49" s="24" t="s">
        <v>288</v>
      </c>
      <c r="E49" s="24" t="s">
        <v>288</v>
      </c>
      <c r="F49" s="24" t="s">
        <v>288</v>
      </c>
      <c r="G49" s="24" t="s">
        <v>288</v>
      </c>
      <c r="H49" s="124"/>
      <c r="I49" s="124"/>
    </row>
    <row r="50" spans="1:9" ht="12.75" thickTop="1" thickBot="1" x14ac:dyDescent="0.25">
      <c r="A50" s="38" t="s">
        <v>884</v>
      </c>
      <c r="B50" s="48"/>
      <c r="C50" s="41">
        <f>SUM(C34:C49)</f>
        <v>1867311.74</v>
      </c>
      <c r="D50" s="41">
        <f>SUM(D34:D49)</f>
        <v>2203.6100000000006</v>
      </c>
      <c r="E50" s="41">
        <f>SUM(E34:E49)</f>
        <v>-323.77</v>
      </c>
      <c r="F50" s="41">
        <f>SUM(F34:F49)</f>
        <v>0</v>
      </c>
      <c r="G50" s="41">
        <f>SUM(G34:G49)</f>
        <v>671552.57000000007</v>
      </c>
      <c r="H50" s="124"/>
      <c r="I50" s="124"/>
    </row>
    <row r="51" spans="1:9" ht="12" thickTop="1" x14ac:dyDescent="0.2">
      <c r="A51" s="38" t="s">
        <v>885</v>
      </c>
      <c r="B51" s="2"/>
      <c r="C51" s="41">
        <f>C50+C31</f>
        <v>2341857.46</v>
      </c>
      <c r="D51" s="41">
        <f>D50+D31</f>
        <v>70245.37000000001</v>
      </c>
      <c r="E51" s="41">
        <f>E50+E31</f>
        <v>231658.75</v>
      </c>
      <c r="F51" s="41">
        <f>F50+F31</f>
        <v>0</v>
      </c>
      <c r="G51" s="41">
        <f>G50+G31</f>
        <v>671552.57000000007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8534258</v>
      </c>
      <c r="D56" s="95">
        <f>'DOE25'!G60</f>
        <v>0</v>
      </c>
      <c r="E56" s="95">
        <f>'DOE25'!H60</f>
        <v>0</v>
      </c>
      <c r="F56" s="95">
        <f>'DOE25'!I60</f>
        <v>0</v>
      </c>
      <c r="G56" s="95">
        <f>'DOE25'!J60</f>
        <v>0</v>
      </c>
      <c r="H56"/>
      <c r="I56"/>
    </row>
    <row r="57" spans="1:9" x14ac:dyDescent="0.2">
      <c r="A57" s="1" t="s">
        <v>164</v>
      </c>
      <c r="B57" s="6" t="s">
        <v>165</v>
      </c>
      <c r="C57" s="95">
        <f>'DOE25'!F79</f>
        <v>21170.239999999998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10474.530000000001</v>
      </c>
      <c r="D59" s="95">
        <f>'DOE25'!G96</f>
        <v>0</v>
      </c>
      <c r="E59" s="95">
        <f>'DOE25'!H96</f>
        <v>0</v>
      </c>
      <c r="F59" s="95">
        <f>'DOE25'!I96</f>
        <v>0</v>
      </c>
      <c r="G59" s="95">
        <f>'DOE25'!J96</f>
        <v>16120.86</v>
      </c>
      <c r="H59"/>
      <c r="I59"/>
    </row>
    <row r="60" spans="1:9" x14ac:dyDescent="0.2">
      <c r="A60" s="1" t="s">
        <v>170</v>
      </c>
      <c r="B60" s="118" t="s">
        <v>171</v>
      </c>
      <c r="C60" s="24" t="s">
        <v>288</v>
      </c>
      <c r="D60" s="95">
        <f>'DOE25'!G97</f>
        <v>108471.62</v>
      </c>
      <c r="E60" s="24" t="s">
        <v>288</v>
      </c>
      <c r="F60" s="24" t="s">
        <v>288</v>
      </c>
      <c r="G60" s="24" t="s">
        <v>288</v>
      </c>
      <c r="H60"/>
      <c r="I60"/>
    </row>
    <row r="61" spans="1:9" ht="12" thickBot="1" x14ac:dyDescent="0.25">
      <c r="A61" s="1" t="s">
        <v>172</v>
      </c>
      <c r="B61" s="118" t="s">
        <v>173</v>
      </c>
      <c r="C61" s="95">
        <f>SUM('DOE25'!F98:F110)</f>
        <v>100100.19</v>
      </c>
      <c r="D61" s="95">
        <f>SUM('DOE25'!G98:G110)</f>
        <v>0</v>
      </c>
      <c r="E61" s="95">
        <f>SUM('DOE25'!H98:H110)</f>
        <v>31152.95</v>
      </c>
      <c r="F61" s="95">
        <f>SUM('DOE25'!I98:I110)</f>
        <v>0</v>
      </c>
      <c r="G61" s="95">
        <f>SUM('DOE25'!J98:J110)</f>
        <v>22635.45</v>
      </c>
      <c r="H61"/>
      <c r="I61"/>
    </row>
    <row r="62" spans="1:9" ht="12.75" thickTop="1" thickBot="1" x14ac:dyDescent="0.25">
      <c r="A62" s="29" t="s">
        <v>174</v>
      </c>
      <c r="B62" s="6"/>
      <c r="C62" s="130">
        <f>SUM(C57:C61)</f>
        <v>131744.95999999999</v>
      </c>
      <c r="D62" s="130">
        <f>SUM(D57:D61)</f>
        <v>108471.62</v>
      </c>
      <c r="E62" s="130">
        <f>SUM(E57:E61)</f>
        <v>31152.95</v>
      </c>
      <c r="F62" s="130">
        <f>SUM(F57:F61)</f>
        <v>0</v>
      </c>
      <c r="G62" s="130">
        <f>SUM(G57:G61)</f>
        <v>38756.31</v>
      </c>
      <c r="H62"/>
      <c r="I62"/>
    </row>
    <row r="63" spans="1:9" ht="12" thickTop="1" x14ac:dyDescent="0.2">
      <c r="A63" s="29" t="s">
        <v>175</v>
      </c>
      <c r="B63" s="6"/>
      <c r="C63" s="22">
        <f>C56+C62</f>
        <v>8666002.9600000009</v>
      </c>
      <c r="D63" s="22">
        <f>D56+D62</f>
        <v>108471.62</v>
      </c>
      <c r="E63" s="22">
        <f>E56+E62</f>
        <v>31152.95</v>
      </c>
      <c r="F63" s="22">
        <f>F56+F62</f>
        <v>0</v>
      </c>
      <c r="G63" s="22">
        <f>G56+G62</f>
        <v>38756.31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5357862.43</v>
      </c>
      <c r="D66" s="24" t="s">
        <v>288</v>
      </c>
      <c r="E66" s="24" t="s">
        <v>288</v>
      </c>
      <c r="F66" s="24" t="s">
        <v>288</v>
      </c>
      <c r="G66" s="24" t="s">
        <v>288</v>
      </c>
      <c r="H66"/>
      <c r="I66"/>
    </row>
    <row r="67" spans="1:9" x14ac:dyDescent="0.2">
      <c r="A67" s="1" t="s">
        <v>770</v>
      </c>
      <c r="B67" s="6">
        <v>3112</v>
      </c>
      <c r="C67" s="95">
        <f>'DOE25'!F118</f>
        <v>1077644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6435506.4299999997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797013.02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29799.77</v>
      </c>
      <c r="D75" s="24" t="s">
        <v>288</v>
      </c>
      <c r="E75" s="24" t="s">
        <v>288</v>
      </c>
      <c r="F75" s="24" t="s">
        <v>288</v>
      </c>
      <c r="G75" s="24" t="s">
        <v>288</v>
      </c>
      <c r="H75"/>
      <c r="I75"/>
    </row>
    <row r="76" spans="1:9" x14ac:dyDescent="0.2">
      <c r="A76" s="1" t="s">
        <v>257</v>
      </c>
      <c r="B76" s="6" t="s">
        <v>179</v>
      </c>
      <c r="C76" s="95">
        <f>SUM('DOE25'!F127:F130)</f>
        <v>38559.78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5525.05</v>
      </c>
      <c r="E77" s="95">
        <f>SUM('DOE25'!H131:H135)</f>
        <v>6029.11</v>
      </c>
      <c r="F77" s="95">
        <f>SUM('DOE25'!I131:I135)</f>
        <v>0</v>
      </c>
      <c r="G77" s="95">
        <f>SUM('DOE25'!J131:J135)</f>
        <v>0</v>
      </c>
      <c r="H77"/>
      <c r="I77"/>
    </row>
    <row r="78" spans="1:9" ht="12.75" thickTop="1" thickBot="1" x14ac:dyDescent="0.25">
      <c r="A78" s="29" t="s">
        <v>259</v>
      </c>
      <c r="B78" s="6"/>
      <c r="C78" s="130">
        <f>SUM(C72:C77)</f>
        <v>865372.57000000007</v>
      </c>
      <c r="D78" s="130">
        <f>SUM(D72:D77)</f>
        <v>5525.05</v>
      </c>
      <c r="E78" s="130">
        <f>SUM(E72:E77)</f>
        <v>6029.11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7300879</v>
      </c>
      <c r="D81" s="130">
        <f>SUM(D79:D80)+D78+D70</f>
        <v>5525.05</v>
      </c>
      <c r="E81" s="130">
        <f>SUM(E79:E80)+E78+E70</f>
        <v>6029.11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29646.43</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9749.17</v>
      </c>
      <c r="D88" s="341">
        <f>SUM('DOE25'!G153:G162)</f>
        <v>161775.01</v>
      </c>
      <c r="E88" s="341">
        <f>SUM('DOE25'!H153:H162)</f>
        <v>737484.12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9749.17</v>
      </c>
      <c r="D91" s="131">
        <f>SUM(D85:D90)</f>
        <v>191421.44</v>
      </c>
      <c r="E91" s="131">
        <f>SUM(E85:E90)</f>
        <v>737484.12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560134.86</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87562</v>
      </c>
      <c r="E96" s="95">
        <f>'DOE25'!H180</f>
        <v>0</v>
      </c>
      <c r="F96" s="95">
        <f>'DOE25'!I180</f>
        <v>0</v>
      </c>
      <c r="G96" s="95">
        <f>'DOE25'!J180</f>
        <v>76000</v>
      </c>
    </row>
    <row r="97" spans="1:7" x14ac:dyDescent="0.2">
      <c r="A97" t="s">
        <v>754</v>
      </c>
      <c r="B97" s="32" t="s">
        <v>188</v>
      </c>
      <c r="C97" s="95">
        <f>SUM('DOE25'!F181:F182)</f>
        <v>43951.32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171983</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776069.17999999993</v>
      </c>
      <c r="D103" s="86">
        <f>SUM(D93:D102)</f>
        <v>87562</v>
      </c>
      <c r="E103" s="86">
        <f>SUM(E93:E102)</f>
        <v>0</v>
      </c>
      <c r="F103" s="86">
        <f>SUM(F93:F102)</f>
        <v>0</v>
      </c>
      <c r="G103" s="86">
        <f>SUM(G93:G102)</f>
        <v>76000</v>
      </c>
    </row>
    <row r="104" spans="1:7" ht="12.75" thickTop="1" thickBot="1" x14ac:dyDescent="0.25">
      <c r="A104" s="33" t="s">
        <v>761</v>
      </c>
      <c r="C104" s="86">
        <f>C63+C81+C91+C103</f>
        <v>16752700.310000001</v>
      </c>
      <c r="D104" s="86">
        <f>D63+D81+D91+D103</f>
        <v>392980.11</v>
      </c>
      <c r="E104" s="86">
        <f>E63+E81+E91+E103</f>
        <v>774666.17999999993</v>
      </c>
      <c r="F104" s="86">
        <f>F63+F81+F91+F103</f>
        <v>0</v>
      </c>
      <c r="G104" s="86">
        <f>G63+G81+G103</f>
        <v>114756.31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6554393.8300000001</v>
      </c>
      <c r="D109" s="24" t="s">
        <v>288</v>
      </c>
      <c r="E109" s="95">
        <f>('DOE25'!L277)+('DOE25'!L296)+('DOE25'!L315)</f>
        <v>245706.50999999998</v>
      </c>
      <c r="F109" s="24" t="s">
        <v>288</v>
      </c>
      <c r="G109" s="24" t="s">
        <v>288</v>
      </c>
    </row>
    <row r="110" spans="1:7" x14ac:dyDescent="0.2">
      <c r="A110" t="s">
        <v>198</v>
      </c>
      <c r="B110" s="32" t="s">
        <v>199</v>
      </c>
      <c r="C110" s="95">
        <f>('DOE25'!L199)+('DOE25'!L217)+('DOE25'!L235)</f>
        <v>1456217.55</v>
      </c>
      <c r="D110" s="24" t="s">
        <v>288</v>
      </c>
      <c r="E110" s="95">
        <f>('DOE25'!L278)+('DOE25'!L297)+('DOE25'!L316)</f>
        <v>356801.01</v>
      </c>
      <c r="F110" s="24" t="s">
        <v>288</v>
      </c>
      <c r="G110" s="24" t="s">
        <v>288</v>
      </c>
    </row>
    <row r="111" spans="1:7" x14ac:dyDescent="0.2">
      <c r="A111" t="s">
        <v>200</v>
      </c>
      <c r="B111" s="32" t="s">
        <v>165</v>
      </c>
      <c r="C111" s="95">
        <f>('DOE25'!L200)+('DOE25'!L218)+('DOE25'!L236)</f>
        <v>103183.81999999999</v>
      </c>
      <c r="D111" s="24" t="s">
        <v>288</v>
      </c>
      <c r="E111" s="95">
        <f>('DOE25'!L279)+('DOE25'!L298)+('DOE25'!L317)</f>
        <v>0</v>
      </c>
      <c r="F111" s="24" t="s">
        <v>288</v>
      </c>
      <c r="G111" s="24" t="s">
        <v>288</v>
      </c>
    </row>
    <row r="112" spans="1:7" x14ac:dyDescent="0.2">
      <c r="A112" t="s">
        <v>201</v>
      </c>
      <c r="B112" s="32" t="s">
        <v>167</v>
      </c>
      <c r="C112" s="95">
        <f>('DOE25'!L201)+('DOE25'!L219)+('DOE25'!L237)</f>
        <v>134492.62</v>
      </c>
      <c r="D112" s="24" t="s">
        <v>288</v>
      </c>
      <c r="E112" s="95">
        <f>+('DOE25'!L280)+('DOE25'!L299)+('DOE25'!L318)</f>
        <v>12397.6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8248287.8200000003</v>
      </c>
      <c r="D115" s="86">
        <f>SUM(D109:D114)</f>
        <v>0</v>
      </c>
      <c r="E115" s="86">
        <f>SUM(E109:E114)</f>
        <v>614905.12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1246446.8099999998</v>
      </c>
      <c r="D118" s="24" t="s">
        <v>288</v>
      </c>
      <c r="E118" s="95">
        <f>+('DOE25'!L282)+('DOE25'!L301)+('DOE25'!L320)</f>
        <v>0</v>
      </c>
      <c r="F118" s="24" t="s">
        <v>288</v>
      </c>
      <c r="G118" s="24" t="s">
        <v>288</v>
      </c>
    </row>
    <row r="119" spans="1:7" x14ac:dyDescent="0.2">
      <c r="A119" t="s">
        <v>208</v>
      </c>
      <c r="B119" s="32" t="s">
        <v>209</v>
      </c>
      <c r="C119" s="95">
        <f>('DOE25'!L204)+('DOE25'!L222)+('DOE25'!L240)</f>
        <v>243957.04</v>
      </c>
      <c r="D119" s="24" t="s">
        <v>288</v>
      </c>
      <c r="E119" s="95">
        <f>+('DOE25'!L283)+('DOE25'!L302)+('DOE25'!L321)</f>
        <v>115825.49999999999</v>
      </c>
      <c r="F119" s="24" t="s">
        <v>288</v>
      </c>
      <c r="G119" s="24" t="s">
        <v>288</v>
      </c>
    </row>
    <row r="120" spans="1:7" x14ac:dyDescent="0.2">
      <c r="A120" t="s">
        <v>210</v>
      </c>
      <c r="B120" s="32" t="s">
        <v>211</v>
      </c>
      <c r="C120" s="95">
        <f>('DOE25'!L205)+('DOE25'!L223)+('DOE25'!L241)</f>
        <v>690756.8899999999</v>
      </c>
      <c r="D120" s="24" t="s">
        <v>288</v>
      </c>
      <c r="E120" s="95">
        <f>+('DOE25'!L284)+('DOE25'!L303)+('DOE25'!L322)</f>
        <v>0</v>
      </c>
      <c r="F120" s="24" t="s">
        <v>288</v>
      </c>
      <c r="G120" s="24" t="s">
        <v>288</v>
      </c>
    </row>
    <row r="121" spans="1:7" x14ac:dyDescent="0.2">
      <c r="A121" t="s">
        <v>212</v>
      </c>
      <c r="B121" s="32" t="s">
        <v>213</v>
      </c>
      <c r="C121" s="95">
        <f>('DOE25'!L206)+('DOE25'!L224)+('DOE25'!L242)</f>
        <v>1208005.31</v>
      </c>
      <c r="D121" s="24" t="s">
        <v>288</v>
      </c>
      <c r="E121" s="95">
        <f>+('DOE25'!L285)+('DOE25'!L304)+('DOE25'!L323)</f>
        <v>0</v>
      </c>
      <c r="F121" s="24" t="s">
        <v>288</v>
      </c>
      <c r="G121" s="24" t="s">
        <v>288</v>
      </c>
    </row>
    <row r="122" spans="1:7" x14ac:dyDescent="0.2">
      <c r="A122" t="s">
        <v>214</v>
      </c>
      <c r="B122" s="32" t="s">
        <v>215</v>
      </c>
      <c r="C122" s="95">
        <f>('DOE25'!L207)+('DOE25'!L225)+('DOE25'!L243)</f>
        <v>333978.26</v>
      </c>
      <c r="D122" s="24" t="s">
        <v>288</v>
      </c>
      <c r="E122" s="95">
        <f>+('DOE25'!L286)+('DOE25'!L305)+('DOE25'!L324)</f>
        <v>0</v>
      </c>
      <c r="F122" s="24" t="s">
        <v>288</v>
      </c>
      <c r="G122" s="24" t="s">
        <v>288</v>
      </c>
    </row>
    <row r="123" spans="1:7" x14ac:dyDescent="0.2">
      <c r="A123" t="s">
        <v>216</v>
      </c>
      <c r="B123" s="32" t="s">
        <v>217</v>
      </c>
      <c r="C123" s="95">
        <f>('DOE25'!L208)+('DOE25'!L226)+('DOE25'!L244)</f>
        <v>1571573.8399999999</v>
      </c>
      <c r="D123" s="24" t="s">
        <v>288</v>
      </c>
      <c r="E123" s="95">
        <f>+('DOE25'!L287)+('DOE25'!L306)+('DOE25'!L325)</f>
        <v>0</v>
      </c>
      <c r="F123" s="24" t="s">
        <v>288</v>
      </c>
      <c r="G123" s="24" t="s">
        <v>288</v>
      </c>
    </row>
    <row r="124" spans="1:7" x14ac:dyDescent="0.2">
      <c r="A124" t="s">
        <v>218</v>
      </c>
      <c r="B124" s="32" t="s">
        <v>219</v>
      </c>
      <c r="C124" s="95">
        <f>('DOE25'!L209)+('DOE25'!L227)+('DOE25'!L245+'DOE25'!L255)</f>
        <v>633512.34</v>
      </c>
      <c r="D124" s="24" t="s">
        <v>288</v>
      </c>
      <c r="E124" s="95">
        <f>+('DOE25'!L288)+('DOE25'!L307)+('DOE25'!L326)</f>
        <v>0</v>
      </c>
      <c r="F124" s="24" t="s">
        <v>288</v>
      </c>
      <c r="G124" s="24" t="s">
        <v>288</v>
      </c>
    </row>
    <row r="125" spans="1:7" x14ac:dyDescent="0.2">
      <c r="A125" t="s">
        <v>220</v>
      </c>
      <c r="B125" s="32" t="s">
        <v>221</v>
      </c>
      <c r="C125" s="95">
        <f>('DOE25'!L210)+('DOE25'!L228)+('DOE25'!L246)</f>
        <v>377083.14</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351078.19</v>
      </c>
      <c r="E127" s="24" t="s">
        <v>288</v>
      </c>
      <c r="F127" s="24" t="s">
        <v>288</v>
      </c>
      <c r="G127" s="24" t="s">
        <v>288</v>
      </c>
    </row>
    <row r="128" spans="1:7" ht="12.75" thickTop="1" thickBot="1" x14ac:dyDescent="0.25">
      <c r="A128" s="33" t="s">
        <v>226</v>
      </c>
      <c r="C128" s="86">
        <f>SUM(C118:C127)</f>
        <v>6305313.629999999</v>
      </c>
      <c r="D128" s="86">
        <f>SUM(D118:D127)</f>
        <v>351078.19</v>
      </c>
      <c r="E128" s="86">
        <f>SUM(E118:E127)</f>
        <v>115825.49999999999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1475000</v>
      </c>
      <c r="D131" s="24" t="s">
        <v>288</v>
      </c>
      <c r="E131" s="129">
        <f>'DOE25'!L342</f>
        <v>0</v>
      </c>
      <c r="F131" s="24" t="s">
        <v>288</v>
      </c>
      <c r="G131" s="24" t="s">
        <v>288</v>
      </c>
    </row>
    <row r="132" spans="1:7" x14ac:dyDescent="0.2">
      <c r="A132" t="s">
        <v>230</v>
      </c>
      <c r="B132" s="32">
        <v>5120</v>
      </c>
      <c r="C132" s="95">
        <f>'DOE25'!L262</f>
        <v>596268.75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43951.32</v>
      </c>
      <c r="F134" s="95">
        <f>'DOE25'!K382</f>
        <v>0</v>
      </c>
      <c r="G134" s="95">
        <f>'DOE25'!K435</f>
        <v>171983</v>
      </c>
    </row>
    <row r="135" spans="1:7" x14ac:dyDescent="0.2">
      <c r="A135" t="s">
        <v>233</v>
      </c>
      <c r="B135" s="32" t="s">
        <v>234</v>
      </c>
      <c r="C135" s="95">
        <f>'DOE25'!L264</f>
        <v>87562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114756.31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-38756.31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2234830.75</v>
      </c>
      <c r="D144" s="141">
        <f>SUM(D130:D143)</f>
        <v>0</v>
      </c>
      <c r="E144" s="141">
        <f>SUM(E130:E143)</f>
        <v>43951.32</v>
      </c>
      <c r="F144" s="141">
        <f>SUM(F130:F143)</f>
        <v>0</v>
      </c>
      <c r="G144" s="141">
        <f>SUM(G130:G143)</f>
        <v>171983</v>
      </c>
    </row>
    <row r="145" spans="1:9" ht="12.75" thickTop="1" thickBot="1" x14ac:dyDescent="0.25">
      <c r="A145" s="33" t="s">
        <v>244</v>
      </c>
      <c r="C145" s="86">
        <f>(C115+C128+C144)</f>
        <v>16788432.199999999</v>
      </c>
      <c r="D145" s="86">
        <f>(D115+D128+D144)</f>
        <v>351078.19</v>
      </c>
      <c r="E145" s="86">
        <f>(E115+E128+E144)</f>
        <v>774681.94</v>
      </c>
      <c r="F145" s="86">
        <f>(F115+F128+F144)</f>
        <v>0</v>
      </c>
      <c r="G145" s="86">
        <f>(G115+G128+G144)</f>
        <v>171983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0</v>
      </c>
      <c r="D151" s="153">
        <f>'DOE25'!H491</f>
        <v>0</v>
      </c>
      <c r="E151" s="153">
        <f>'DOE25'!I491</f>
        <v>0</v>
      </c>
      <c r="F151" s="153">
        <f>'DOE25'!J491</f>
        <v>0</v>
      </c>
      <c r="G151" s="24" t="s">
        <v>288</v>
      </c>
    </row>
    <row r="152" spans="1:9" x14ac:dyDescent="0.2">
      <c r="A152" s="136" t="s">
        <v>28</v>
      </c>
      <c r="B152" s="152" t="str">
        <f>'DOE25'!F492</f>
        <v>06/2010</v>
      </c>
      <c r="C152" s="152">
        <f>'DOE25'!G492</f>
        <v>0</v>
      </c>
      <c r="D152" s="152">
        <f>'DOE25'!H492</f>
        <v>0</v>
      </c>
      <c r="E152" s="152">
        <f>'DOE25'!I492</f>
        <v>0</v>
      </c>
      <c r="F152" s="152">
        <f>'DOE25'!J492</f>
        <v>0</v>
      </c>
      <c r="G152" s="24" t="s">
        <v>288</v>
      </c>
    </row>
    <row r="153" spans="1:9" x14ac:dyDescent="0.2">
      <c r="A153" s="136" t="s">
        <v>29</v>
      </c>
      <c r="B153" s="152" t="str">
        <f>'DOE25'!F493</f>
        <v>09/2026</v>
      </c>
      <c r="C153" s="152">
        <f>'DOE25'!G493</f>
        <v>0</v>
      </c>
      <c r="D153" s="152">
        <f>'DOE25'!H493</f>
        <v>0</v>
      </c>
      <c r="E153" s="152">
        <f>'DOE25'!I493</f>
        <v>0</v>
      </c>
      <c r="F153" s="152">
        <f>'DOE25'!J493</f>
        <v>0</v>
      </c>
      <c r="G153" s="24" t="s">
        <v>288</v>
      </c>
    </row>
    <row r="154" spans="1:9" x14ac:dyDescent="0.2">
      <c r="A154" s="136" t="s">
        <v>30</v>
      </c>
      <c r="B154" s="137">
        <f>'DOE25'!F494</f>
        <v>23623315</v>
      </c>
      <c r="C154" s="137">
        <f>'DOE25'!G494</f>
        <v>0</v>
      </c>
      <c r="D154" s="137">
        <f>'DOE25'!H494</f>
        <v>0</v>
      </c>
      <c r="E154" s="137">
        <f>'DOE25'!I494</f>
        <v>0</v>
      </c>
      <c r="F154" s="137">
        <f>'DOE25'!J494</f>
        <v>0</v>
      </c>
      <c r="G154" s="24" t="s">
        <v>288</v>
      </c>
    </row>
    <row r="155" spans="1:9" x14ac:dyDescent="0.2">
      <c r="A155" s="136" t="s">
        <v>31</v>
      </c>
      <c r="B155" s="137">
        <f>'DOE25'!F495</f>
        <v>5.39</v>
      </c>
      <c r="C155" s="137">
        <f>'DOE25'!G495</f>
        <v>0</v>
      </c>
      <c r="D155" s="137">
        <f>'DOE25'!H495</f>
        <v>0</v>
      </c>
      <c r="E155" s="137">
        <f>'DOE25'!I495</f>
        <v>0</v>
      </c>
      <c r="F155" s="137">
        <f>'DOE25'!J495</f>
        <v>0</v>
      </c>
      <c r="G155" s="24" t="s">
        <v>288</v>
      </c>
    </row>
    <row r="156" spans="1:9" x14ac:dyDescent="0.2">
      <c r="A156" s="22" t="s">
        <v>32</v>
      </c>
      <c r="B156" s="137">
        <f>'DOE25'!F496</f>
        <v>11800000</v>
      </c>
      <c r="C156" s="137">
        <f>'DOE25'!G496</f>
        <v>0</v>
      </c>
      <c r="D156" s="137">
        <f>'DOE25'!H496</f>
        <v>0</v>
      </c>
      <c r="E156" s="137">
        <f>'DOE25'!I496</f>
        <v>0</v>
      </c>
      <c r="F156" s="137">
        <f>'DOE25'!J496</f>
        <v>0</v>
      </c>
      <c r="G156" s="138">
        <f>SUM(B156:F156)</f>
        <v>11800000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1475000</v>
      </c>
      <c r="C158" s="137">
        <f>'DOE25'!G498</f>
        <v>0</v>
      </c>
      <c r="D158" s="137">
        <f>'DOE25'!H498</f>
        <v>0</v>
      </c>
      <c r="E158" s="137">
        <f>'DOE25'!I498</f>
        <v>0</v>
      </c>
      <c r="F158" s="137">
        <f>'DOE25'!J498</f>
        <v>0</v>
      </c>
      <c r="G158" s="138">
        <f t="shared" si="0"/>
        <v>1475000</v>
      </c>
    </row>
    <row r="159" spans="1:9" x14ac:dyDescent="0.2">
      <c r="A159" s="22" t="s">
        <v>35</v>
      </c>
      <c r="B159" s="137">
        <f>'DOE25'!F499</f>
        <v>10325000</v>
      </c>
      <c r="C159" s="137">
        <f>'DOE25'!G499</f>
        <v>0</v>
      </c>
      <c r="D159" s="137">
        <f>'DOE25'!H499</f>
        <v>0</v>
      </c>
      <c r="E159" s="137">
        <f>'DOE25'!I499</f>
        <v>0</v>
      </c>
      <c r="F159" s="137">
        <f>'DOE25'!J499</f>
        <v>0</v>
      </c>
      <c r="G159" s="138">
        <f t="shared" si="0"/>
        <v>10325000</v>
      </c>
    </row>
    <row r="160" spans="1:9" x14ac:dyDescent="0.2">
      <c r="A160" s="22" t="s">
        <v>36</v>
      </c>
      <c r="B160" s="137">
        <f>'DOE25'!F500</f>
        <v>1947810</v>
      </c>
      <c r="C160" s="137">
        <f>'DOE25'!G500</f>
        <v>0</v>
      </c>
      <c r="D160" s="137">
        <f>'DOE25'!H500</f>
        <v>0</v>
      </c>
      <c r="E160" s="137">
        <f>'DOE25'!I500</f>
        <v>0</v>
      </c>
      <c r="F160" s="137">
        <f>'DOE25'!J500</f>
        <v>0</v>
      </c>
      <c r="G160" s="138">
        <f t="shared" si="0"/>
        <v>1947810</v>
      </c>
    </row>
    <row r="161" spans="1:7" x14ac:dyDescent="0.2">
      <c r="A161" s="22" t="s">
        <v>37</v>
      </c>
      <c r="B161" s="137">
        <f>'DOE25'!F501</f>
        <v>12272810</v>
      </c>
      <c r="C161" s="137">
        <f>'DOE25'!G501</f>
        <v>0</v>
      </c>
      <c r="D161" s="137">
        <f>'DOE25'!H501</f>
        <v>0</v>
      </c>
      <c r="E161" s="137">
        <f>'DOE25'!I501</f>
        <v>0</v>
      </c>
      <c r="F161" s="137">
        <f>'DOE25'!J501</f>
        <v>0</v>
      </c>
      <c r="G161" s="138">
        <f t="shared" si="0"/>
        <v>12272810</v>
      </c>
    </row>
    <row r="162" spans="1:7" x14ac:dyDescent="0.2">
      <c r="A162" s="22" t="s">
        <v>38</v>
      </c>
      <c r="B162" s="137">
        <f>'DOE25'!F502</f>
        <v>1475000</v>
      </c>
      <c r="C162" s="137">
        <f>'DOE25'!G502</f>
        <v>0</v>
      </c>
      <c r="D162" s="137">
        <f>'DOE25'!H502</f>
        <v>0</v>
      </c>
      <c r="E162" s="137">
        <f>'DOE25'!I502</f>
        <v>0</v>
      </c>
      <c r="F162" s="137">
        <f>'DOE25'!J502</f>
        <v>0</v>
      </c>
      <c r="G162" s="138">
        <f t="shared" si="0"/>
        <v>1475000</v>
      </c>
    </row>
    <row r="163" spans="1:7" x14ac:dyDescent="0.2">
      <c r="A163" s="22" t="s">
        <v>39</v>
      </c>
      <c r="B163" s="137">
        <f>'DOE25'!F503</f>
        <v>516765</v>
      </c>
      <c r="C163" s="137">
        <f>'DOE25'!G503</f>
        <v>0</v>
      </c>
      <c r="D163" s="137">
        <f>'DOE25'!H503</f>
        <v>0</v>
      </c>
      <c r="E163" s="137">
        <f>'DOE25'!I503</f>
        <v>0</v>
      </c>
      <c r="F163" s="137">
        <f>'DOE25'!J503</f>
        <v>0</v>
      </c>
      <c r="G163" s="138">
        <f t="shared" si="0"/>
        <v>516765</v>
      </c>
    </row>
    <row r="164" spans="1:7" x14ac:dyDescent="0.2">
      <c r="A164" s="22" t="s">
        <v>246</v>
      </c>
      <c r="B164" s="137">
        <f>'DOE25'!F504</f>
        <v>1991765</v>
      </c>
      <c r="C164" s="137">
        <f>'DOE25'!G504</f>
        <v>0</v>
      </c>
      <c r="D164" s="137">
        <f>'DOE25'!H504</f>
        <v>0</v>
      </c>
      <c r="E164" s="137">
        <f>'DOE25'!I504</f>
        <v>0</v>
      </c>
      <c r="F164" s="137">
        <f>'DOE25'!J504</f>
        <v>0</v>
      </c>
      <c r="G164" s="138">
        <f t="shared" si="0"/>
        <v>1991765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43" sqref="G4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SAU 87 MASCENIC REGIONAL SCHOOL DISTRICT</v>
      </c>
    </row>
    <row r="3" spans="1:4" x14ac:dyDescent="0.2">
      <c r="B3" s="188" t="s">
        <v>1587</v>
      </c>
    </row>
    <row r="4" spans="1:4" x14ac:dyDescent="0.2">
      <c r="B4" t="s">
        <v>61</v>
      </c>
      <c r="C4" s="179">
        <f>IF('DOE25'!F666+'DOE25'!F671=0,0,ROUND('DOE25'!F673,0))</f>
        <v>12943</v>
      </c>
    </row>
    <row r="5" spans="1:4" x14ac:dyDescent="0.2">
      <c r="B5" t="s">
        <v>700</v>
      </c>
      <c r="C5" s="179">
        <f>IF('DOE25'!G666+'DOE25'!G671=0,0,ROUND('DOE25'!G673,0))</f>
        <v>14513</v>
      </c>
    </row>
    <row r="6" spans="1:4" x14ac:dyDescent="0.2">
      <c r="B6" t="s">
        <v>62</v>
      </c>
      <c r="C6" s="179">
        <f>IF('DOE25'!H666+'DOE25'!H671=0,0,ROUND('DOE25'!H673,0))</f>
        <v>17311</v>
      </c>
    </row>
    <row r="7" spans="1:4" x14ac:dyDescent="0.2">
      <c r="B7" t="s">
        <v>701</v>
      </c>
      <c r="C7" s="179">
        <f>IF('DOE25'!I666+'DOE25'!I671=0,0,ROUND('DOE25'!I673,0))</f>
        <v>14732</v>
      </c>
    </row>
    <row r="9" spans="1:4" x14ac:dyDescent="0.2">
      <c r="A9" s="187" t="s">
        <v>94</v>
      </c>
      <c r="B9" s="188" t="s">
        <v>1588</v>
      </c>
      <c r="C9" s="181" t="s">
        <v>720</v>
      </c>
      <c r="D9" s="181" t="s">
        <v>721</v>
      </c>
    </row>
    <row r="10" spans="1:4" x14ac:dyDescent="0.2">
      <c r="A10">
        <v>1100</v>
      </c>
      <c r="B10" t="s">
        <v>702</v>
      </c>
      <c r="C10" s="179">
        <f>ROUND('DOE25'!L198+'DOE25'!L216+'DOE25'!L234+'DOE25'!L277+'DOE25'!L296+'DOE25'!L315,0)</f>
        <v>6800100</v>
      </c>
      <c r="D10" s="182">
        <f>ROUND((C10/$C$28)*100,1)</f>
        <v>42.2</v>
      </c>
    </row>
    <row r="11" spans="1:4" x14ac:dyDescent="0.2">
      <c r="A11">
        <v>1200</v>
      </c>
      <c r="B11" t="s">
        <v>703</v>
      </c>
      <c r="C11" s="179">
        <f>ROUND('DOE25'!L199+'DOE25'!L217+'DOE25'!L235+'DOE25'!L278+'DOE25'!L297+'DOE25'!L316,0)</f>
        <v>1813019</v>
      </c>
      <c r="D11" s="182">
        <f>ROUND((C11/$C$28)*100,1)</f>
        <v>11.2</v>
      </c>
    </row>
    <row r="12" spans="1:4" x14ac:dyDescent="0.2">
      <c r="A12">
        <v>1300</v>
      </c>
      <c r="B12" t="s">
        <v>704</v>
      </c>
      <c r="C12" s="179">
        <f>ROUND('DOE25'!L200+'DOE25'!L218+'DOE25'!L236+'DOE25'!L279+'DOE25'!L298+'DOE25'!L317,0)</f>
        <v>103184</v>
      </c>
      <c r="D12" s="182">
        <f>ROUND((C12/$C$28)*100,1)</f>
        <v>0.6</v>
      </c>
    </row>
    <row r="13" spans="1:4" x14ac:dyDescent="0.2">
      <c r="A13">
        <v>1400</v>
      </c>
      <c r="B13" t="s">
        <v>705</v>
      </c>
      <c r="C13" s="179">
        <f>ROUND('DOE25'!L201+'DOE25'!L219+'DOE25'!L237+'DOE25'!L280+'DOE25'!L299+'DOE25'!L318,0)</f>
        <v>146890</v>
      </c>
      <c r="D13" s="182">
        <f>ROUND((C13/$C$28)*100,1)</f>
        <v>0.9</v>
      </c>
    </row>
    <row r="14" spans="1:4" x14ac:dyDescent="0.2">
      <c r="D14" s="182"/>
    </row>
    <row r="15" spans="1:4" x14ac:dyDescent="0.2">
      <c r="A15">
        <v>2100</v>
      </c>
      <c r="B15" t="s">
        <v>706</v>
      </c>
      <c r="C15" s="179">
        <f>ROUND('DOE25'!L203+'DOE25'!L221+'DOE25'!L239+'DOE25'!L282+'DOE25'!L301+'DOE25'!L320,0)</f>
        <v>1246447</v>
      </c>
      <c r="D15" s="182">
        <f t="shared" ref="D15:D27" si="0">ROUND((C15/$C$28)*100,1)</f>
        <v>7.7</v>
      </c>
    </row>
    <row r="16" spans="1:4" x14ac:dyDescent="0.2">
      <c r="A16">
        <v>2200</v>
      </c>
      <c r="B16" t="s">
        <v>707</v>
      </c>
      <c r="C16" s="179">
        <f>ROUND('DOE25'!L204+'DOE25'!L222+'DOE25'!L240+'DOE25'!L283+'DOE25'!L302+'DOE25'!L321,0)</f>
        <v>359783</v>
      </c>
      <c r="D16" s="182">
        <f t="shared" si="0"/>
        <v>2.2000000000000002</v>
      </c>
    </row>
    <row r="17" spans="1:4" x14ac:dyDescent="0.2">
      <c r="A17" s="183" t="s">
        <v>723</v>
      </c>
      <c r="B17" t="s">
        <v>738</v>
      </c>
      <c r="C17" s="179">
        <f>ROUND('DOE25'!L205+'DOE25'!L210+'DOE25'!L223+'DOE25'!L228+'DOE25'!L241+'DOE25'!L246+'DOE25'!L284+'DOE25'!L289+'DOE25'!L303+'DOE25'!L308+'DOE25'!L322+'DOE25'!L327,0)</f>
        <v>1067840</v>
      </c>
      <c r="D17" s="182">
        <f t="shared" si="0"/>
        <v>6.6</v>
      </c>
    </row>
    <row r="18" spans="1:4" x14ac:dyDescent="0.2">
      <c r="A18">
        <v>2400</v>
      </c>
      <c r="B18" t="s">
        <v>711</v>
      </c>
      <c r="C18" s="179">
        <f>ROUND('DOE25'!L206+'DOE25'!L224+'DOE25'!L242+'DOE25'!L285+'DOE25'!L304+'DOE25'!L323,0)</f>
        <v>1208005</v>
      </c>
      <c r="D18" s="182">
        <f t="shared" si="0"/>
        <v>7.5</v>
      </c>
    </row>
    <row r="19" spans="1:4" x14ac:dyDescent="0.2">
      <c r="A19">
        <v>2500</v>
      </c>
      <c r="B19" t="s">
        <v>708</v>
      </c>
      <c r="C19" s="179">
        <f>ROUND('DOE25'!L207+'DOE25'!L225+'DOE25'!L243+'DOE25'!L286+'DOE25'!L305+'DOE25'!L324,0)</f>
        <v>333978</v>
      </c>
      <c r="D19" s="182">
        <f t="shared" si="0"/>
        <v>2.1</v>
      </c>
    </row>
    <row r="20" spans="1:4" x14ac:dyDescent="0.2">
      <c r="A20">
        <v>2600</v>
      </c>
      <c r="B20" t="s">
        <v>709</v>
      </c>
      <c r="C20" s="179">
        <f>ROUND('DOE25'!L208+'DOE25'!L226+'DOE25'!L244+'DOE25'!L287+'DOE25'!L306+'DOE25'!L325,0)</f>
        <v>1571574</v>
      </c>
      <c r="D20" s="182">
        <f t="shared" si="0"/>
        <v>9.6999999999999993</v>
      </c>
    </row>
    <row r="21" spans="1:4" x14ac:dyDescent="0.2">
      <c r="A21">
        <v>2700</v>
      </c>
      <c r="B21" t="s">
        <v>710</v>
      </c>
      <c r="C21" s="179">
        <f>ROUND('DOE25'!L209+'DOE25'!L227+'DOE25'!L245+'DOE25'!L288+'DOE25'!L307+'DOE25'!L326,0)</f>
        <v>633512</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596269</v>
      </c>
      <c r="D25" s="182">
        <f t="shared" si="0"/>
        <v>3.7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242606.38</v>
      </c>
      <c r="D27" s="182">
        <f t="shared" si="0"/>
        <v>1.5</v>
      </c>
    </row>
    <row r="28" spans="1:4" x14ac:dyDescent="0.2">
      <c r="B28" s="187" t="s">
        <v>719</v>
      </c>
      <c r="C28" s="180">
        <f>SUM(C10:C27)</f>
        <v>16123207.380000001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16123207.380000001</v>
      </c>
    </row>
    <row r="31" spans="1:4" x14ac:dyDescent="0.2">
      <c r="B31" s="33"/>
      <c r="C31" s="180"/>
    </row>
    <row r="32" spans="1:4" x14ac:dyDescent="0.2">
      <c r="A32">
        <v>5100</v>
      </c>
      <c r="B32" s="33" t="s">
        <v>726</v>
      </c>
      <c r="C32" s="180">
        <f>ROUND('DOE25'!L261+'DOE25'!L342,0)</f>
        <v>1475000</v>
      </c>
    </row>
    <row r="34" spans="1:4" x14ac:dyDescent="0.2">
      <c r="A34" s="187" t="s">
        <v>94</v>
      </c>
      <c r="B34" s="188" t="s">
        <v>1589</v>
      </c>
      <c r="C34" s="181" t="s">
        <v>720</v>
      </c>
      <c r="D34" s="181" t="s">
        <v>721</v>
      </c>
    </row>
    <row r="35" spans="1:4" x14ac:dyDescent="0.2">
      <c r="A35">
        <v>1100</v>
      </c>
      <c r="B35" s="185" t="s">
        <v>727</v>
      </c>
      <c r="C35" s="179">
        <f>ROUND('DOE25'!F60+'DOE25'!G60+'DOE25'!H60+'DOE25'!I60+'DOE25'!J60,0)</f>
        <v>8534258</v>
      </c>
      <c r="D35" s="182">
        <f t="shared" ref="D35:D40" si="1">ROUND((C35/$C$41)*100,1)</f>
        <v>48.6</v>
      </c>
    </row>
    <row r="36" spans="1:4" x14ac:dyDescent="0.2">
      <c r="B36" s="185" t="s">
        <v>739</v>
      </c>
      <c r="C36" s="179">
        <f>SUM('DOE25'!F112:J112)-SUM('DOE25'!G97:G110)+('DOE25'!F175+'DOE25'!F176+'DOE25'!I175+'DOE25'!I176)-C35</f>
        <v>761789.08000000007</v>
      </c>
      <c r="D36" s="182">
        <f t="shared" si="1"/>
        <v>4.3</v>
      </c>
    </row>
    <row r="37" spans="1:4" x14ac:dyDescent="0.2">
      <c r="A37" s="183" t="s">
        <v>835</v>
      </c>
      <c r="B37" s="185" t="s">
        <v>728</v>
      </c>
      <c r="C37" s="179">
        <f>ROUND('DOE25'!F117+'DOE25'!F118,0)</f>
        <v>6435506</v>
      </c>
      <c r="D37" s="182">
        <f t="shared" si="1"/>
        <v>36.700000000000003</v>
      </c>
    </row>
    <row r="38" spans="1:4" x14ac:dyDescent="0.2">
      <c r="A38" s="183" t="s">
        <v>734</v>
      </c>
      <c r="B38" s="185" t="s">
        <v>729</v>
      </c>
      <c r="C38" s="179">
        <f>ROUND(SUM('DOE25'!F140:J140)-SUM('DOE25'!F117:F119),0)</f>
        <v>876927</v>
      </c>
      <c r="D38" s="182">
        <f t="shared" si="1"/>
        <v>5</v>
      </c>
    </row>
    <row r="39" spans="1:4" x14ac:dyDescent="0.2">
      <c r="A39">
        <v>4000</v>
      </c>
      <c r="B39" s="185" t="s">
        <v>730</v>
      </c>
      <c r="C39" s="179">
        <f>ROUND('DOE25'!F170+'DOE25'!G170+'DOE25'!H170+'DOE25'!I170,0)</f>
        <v>938655</v>
      </c>
      <c r="D39" s="182">
        <f t="shared" si="1"/>
        <v>5.3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17547135.079999998</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zoomScaleNormal="100" workbookViewId="0">
      <pane ySplit="3" topLeftCell="A4" activePane="bottomLeft" state="frozen"/>
      <selection activeCell="F46" sqref="F46"/>
      <selection pane="bottomLeft" activeCell="C28" sqref="C28:M28"/>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SAU 87 MASCENIC REGIONAL SCHOOL DISTRICT</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v>25</v>
      </c>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2020-10-21T17:57:34Z</cp:lastPrinted>
  <dcterms:created xsi:type="dcterms:W3CDTF">1997-12-04T19:04:30Z</dcterms:created>
  <dcterms:modified xsi:type="dcterms:W3CDTF">2020-12-14T14:06:41Z</dcterms:modified>
</cp:coreProperties>
</file>