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17" i="1" l="1"/>
  <c r="D7" i="14" l="1"/>
  <c r="D6" i="14"/>
  <c r="D5" i="14"/>
  <c r="D37" i="14"/>
  <c r="E7" i="14"/>
  <c r="E6" i="14"/>
  <c r="E5" i="14"/>
  <c r="E37" i="14" l="1"/>
  <c r="H315" i="1" l="1"/>
  <c r="C21" i="12"/>
  <c r="H240" i="1"/>
  <c r="J235" i="1"/>
  <c r="J605" i="1"/>
  <c r="H605" i="1"/>
  <c r="J256" i="1"/>
  <c r="K415" i="1"/>
  <c r="J473" i="1"/>
  <c r="J474" i="1"/>
  <c r="J470" i="1"/>
  <c r="K261" i="1"/>
  <c r="K262" i="1"/>
  <c r="H102" i="1"/>
  <c r="G158" i="1"/>
  <c r="J522" i="1"/>
  <c r="J529" i="1"/>
  <c r="J527" i="1"/>
  <c r="I524" i="1"/>
  <c r="I522" i="1"/>
  <c r="H534" i="1"/>
  <c r="H532" i="1"/>
  <c r="H524" i="1"/>
  <c r="H522" i="1"/>
  <c r="H527" i="1"/>
  <c r="H529" i="1"/>
  <c r="G529" i="1"/>
  <c r="G527" i="1"/>
  <c r="F529" i="1"/>
  <c r="F527" i="1"/>
  <c r="I527" i="1"/>
  <c r="G534" i="1"/>
  <c r="G532" i="1"/>
  <c r="F534" i="1"/>
  <c r="F532" i="1"/>
  <c r="H539" i="1"/>
  <c r="H537" i="1"/>
  <c r="G524" i="1"/>
  <c r="F524" i="1"/>
  <c r="F522" i="1"/>
  <c r="G522" i="1"/>
  <c r="H583" i="1" l="1"/>
  <c r="F583" i="1"/>
  <c r="H577" i="1"/>
  <c r="H612" i="1"/>
  <c r="G612" i="1"/>
  <c r="F612" i="1"/>
  <c r="H473" i="1"/>
  <c r="H469" i="1"/>
  <c r="H544" i="1" l="1"/>
  <c r="H542" i="1"/>
  <c r="J596" i="1" l="1"/>
  <c r="H596" i="1"/>
  <c r="H595" i="1"/>
  <c r="J595" i="1"/>
  <c r="J594" i="1"/>
  <c r="J593" i="1"/>
  <c r="H593" i="1"/>
  <c r="J592" i="1"/>
  <c r="H592" i="1"/>
  <c r="C39" i="12" l="1"/>
  <c r="B39" i="12"/>
  <c r="C20" i="12"/>
  <c r="C19" i="12"/>
  <c r="B20" i="12" l="1"/>
  <c r="B19" i="12"/>
  <c r="B21" i="12"/>
  <c r="C12" i="12"/>
  <c r="B12" i="12"/>
  <c r="C11" i="12"/>
  <c r="C10" i="12"/>
  <c r="B11" i="12"/>
  <c r="B10" i="12"/>
  <c r="H361" i="1"/>
  <c r="H359" i="1"/>
  <c r="I325" i="1"/>
  <c r="I321" i="1"/>
  <c r="H321" i="1"/>
  <c r="H320" i="1"/>
  <c r="K320" i="1"/>
  <c r="J320" i="1"/>
  <c r="G320" i="1"/>
  <c r="F320" i="1"/>
  <c r="I316" i="1"/>
  <c r="H316" i="1"/>
  <c r="G316" i="1"/>
  <c r="F316" i="1"/>
  <c r="J315" i="1"/>
  <c r="I315" i="1"/>
  <c r="H277" i="1"/>
  <c r="I287" i="1"/>
  <c r="G283" i="1"/>
  <c r="F283" i="1"/>
  <c r="I283" i="1"/>
  <c r="H283" i="1"/>
  <c r="H282" i="1"/>
  <c r="K282" i="1"/>
  <c r="J282" i="1"/>
  <c r="G282" i="1"/>
  <c r="F282" i="1"/>
  <c r="I278" i="1"/>
  <c r="H278" i="1"/>
  <c r="F278" i="1" l="1"/>
  <c r="G278" i="1"/>
  <c r="J278" i="1"/>
  <c r="J277" i="1"/>
  <c r="I277" i="1"/>
  <c r="F277" i="1"/>
  <c r="G277" i="1"/>
  <c r="J244" i="1" l="1"/>
  <c r="H244" i="1"/>
  <c r="G246" i="1"/>
  <c r="H246" i="1"/>
  <c r="H245" i="1"/>
  <c r="I244" i="1"/>
  <c r="G244" i="1"/>
  <c r="F244" i="1"/>
  <c r="K241" i="1"/>
  <c r="J241" i="1"/>
  <c r="I241" i="1"/>
  <c r="H241" i="1"/>
  <c r="G241" i="1"/>
  <c r="F241" i="1"/>
  <c r="I240" i="1"/>
  <c r="H239" i="1"/>
  <c r="H237" i="1"/>
  <c r="I235" i="1"/>
  <c r="H235" i="1"/>
  <c r="G235" i="1"/>
  <c r="F235" i="1"/>
  <c r="G234" i="1"/>
  <c r="F234" i="1"/>
  <c r="J234" i="1"/>
  <c r="I234" i="1"/>
  <c r="H234" i="1"/>
  <c r="J208" i="1"/>
  <c r="H208" i="1"/>
  <c r="G210" i="1"/>
  <c r="H210" i="1"/>
  <c r="H209" i="1"/>
  <c r="I208" i="1"/>
  <c r="G208" i="1"/>
  <c r="F208" i="1"/>
  <c r="K205" i="1"/>
  <c r="J205" i="1"/>
  <c r="I205" i="1"/>
  <c r="H205" i="1"/>
  <c r="G205" i="1"/>
  <c r="F205" i="1"/>
  <c r="I204" i="1"/>
  <c r="H204" i="1"/>
  <c r="H203" i="1"/>
  <c r="H199" i="1"/>
  <c r="G199" i="1"/>
  <c r="F199" i="1"/>
  <c r="I199" i="1"/>
  <c r="G198" i="1"/>
  <c r="F198" i="1"/>
  <c r="J198" i="1"/>
  <c r="I198" i="1"/>
  <c r="H198" i="1"/>
  <c r="H318" i="1" l="1"/>
  <c r="J318" i="1"/>
  <c r="I318" i="1"/>
  <c r="G315" i="1"/>
  <c r="F315" i="1"/>
  <c r="H287" i="1"/>
  <c r="I242" i="1"/>
  <c r="H242" i="1"/>
  <c r="G242" i="1"/>
  <c r="F242" i="1"/>
  <c r="J240" i="1"/>
  <c r="G240" i="1"/>
  <c r="F240" i="1"/>
  <c r="I239" i="1" l="1"/>
  <c r="G239" i="1"/>
  <c r="F239" i="1"/>
  <c r="K239" i="1"/>
  <c r="K237" i="1"/>
  <c r="J237" i="1"/>
  <c r="I237" i="1"/>
  <c r="G237" i="1"/>
  <c r="F237" i="1"/>
  <c r="K234" i="1"/>
  <c r="K206" i="1" l="1"/>
  <c r="H206" i="1"/>
  <c r="J206" i="1"/>
  <c r="I206" i="1"/>
  <c r="G206" i="1"/>
  <c r="F206" i="1"/>
  <c r="J204" i="1"/>
  <c r="G204" i="1"/>
  <c r="F204" i="1"/>
  <c r="I203" i="1"/>
  <c r="G203" i="1"/>
  <c r="F203" i="1"/>
  <c r="K201" i="1"/>
  <c r="J201" i="1"/>
  <c r="I201" i="1"/>
  <c r="H201" i="1"/>
  <c r="G201" i="1"/>
  <c r="F201" i="1"/>
  <c r="K198" i="1"/>
  <c r="G97" i="1"/>
  <c r="H155" i="1"/>
  <c r="H13" i="1" l="1"/>
  <c r="G30"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0" i="14"/>
  <c r="C11" i="14"/>
  <c r="C12" i="14"/>
  <c r="C13" i="14"/>
  <c r="C14" i="14"/>
  <c r="C15" i="14"/>
  <c r="C16" i="14"/>
  <c r="C17" i="14"/>
  <c r="C18" i="14"/>
  <c r="C19" i="14"/>
  <c r="C20" i="14"/>
  <c r="B6" i="14"/>
  <c r="C6" i="14" s="1"/>
  <c r="B7" i="14"/>
  <c r="C7" i="14" s="1"/>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E110" i="2" s="1"/>
  <c r="L317" i="1"/>
  <c r="L318" i="1"/>
  <c r="E112" i="2" s="1"/>
  <c r="L320" i="1"/>
  <c r="L321" i="1"/>
  <c r="L322" i="1"/>
  <c r="L323" i="1"/>
  <c r="L324" i="1"/>
  <c r="L325" i="1"/>
  <c r="L326" i="1"/>
  <c r="L327" i="1"/>
  <c r="L334" i="1"/>
  <c r="E114" i="2" s="1"/>
  <c r="L335" i="1"/>
  <c r="L336" i="1"/>
  <c r="L261" i="1"/>
  <c r="C32" i="10" s="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G635" i="1"/>
  <c r="H636" i="1"/>
  <c r="H637" i="1"/>
  <c r="H638" i="1"/>
  <c r="H639" i="1"/>
  <c r="G641" i="1"/>
  <c r="G644" i="1"/>
  <c r="G645" i="1"/>
  <c r="G651" i="1"/>
  <c r="G652" i="1"/>
  <c r="G653" i="1"/>
  <c r="H653" i="1"/>
  <c r="G654" i="1"/>
  <c r="H654" i="1"/>
  <c r="G655" i="1"/>
  <c r="H655" i="1"/>
  <c r="H656" i="1"/>
  <c r="J656" i="1" s="1"/>
  <c r="G62" i="2"/>
  <c r="J572" i="1"/>
  <c r="I170" i="1"/>
  <c r="G477" i="1"/>
  <c r="J140" i="1"/>
  <c r="H140" i="1"/>
  <c r="L257" i="1" l="1"/>
  <c r="C131" i="2"/>
  <c r="G646" i="1"/>
  <c r="H112" i="1"/>
  <c r="H194" i="1" s="1"/>
  <c r="G630" i="1" s="1"/>
  <c r="J630" i="1" s="1"/>
  <c r="G553" i="1"/>
  <c r="G409" i="1"/>
  <c r="H646" i="1" s="1"/>
  <c r="L402" i="1"/>
  <c r="C139" i="2" s="1"/>
  <c r="H477" i="1"/>
  <c r="H625" i="1" s="1"/>
  <c r="J625" i="1" s="1"/>
  <c r="J652" i="1"/>
  <c r="G662" i="1"/>
  <c r="E119" i="2"/>
  <c r="C120" i="2"/>
  <c r="C119" i="2"/>
  <c r="C11" i="10"/>
  <c r="G339" i="1"/>
  <c r="G353" i="1" s="1"/>
  <c r="H663" i="1"/>
  <c r="D15" i="13"/>
  <c r="C15" i="13" s="1"/>
  <c r="D6" i="13"/>
  <c r="C6" i="13" s="1"/>
  <c r="C13" i="10"/>
  <c r="C110" i="2"/>
  <c r="J258" i="1"/>
  <c r="J272" i="1" s="1"/>
  <c r="F258" i="1"/>
  <c r="F272" i="1" s="1"/>
  <c r="C20" i="10"/>
  <c r="C121" i="2"/>
  <c r="C112" i="2"/>
  <c r="C91" i="2"/>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F194" i="1" s="1"/>
  <c r="G63" i="2"/>
  <c r="J619" i="1"/>
  <c r="G42" i="2"/>
  <c r="J51" i="1"/>
  <c r="G16" i="2"/>
  <c r="G18" i="2" s="1"/>
  <c r="J19" i="1"/>
  <c r="G622" i="1" s="1"/>
  <c r="F546" i="1"/>
  <c r="H435" i="1"/>
  <c r="J621" i="1"/>
  <c r="D103" i="2"/>
  <c r="I140" i="1"/>
  <c r="A22" i="12"/>
  <c r="G50" i="2"/>
  <c r="J653" i="1"/>
  <c r="G572" i="1"/>
  <c r="I435" i="1"/>
  <c r="G435" i="1"/>
  <c r="I664" i="1"/>
  <c r="C81" i="2" l="1"/>
  <c r="H649" i="1"/>
  <c r="J649" i="1" s="1"/>
  <c r="H661" i="1"/>
  <c r="H665" i="1" s="1"/>
  <c r="H668" i="1" s="1"/>
  <c r="F661" i="1"/>
  <c r="F665" i="1" s="1"/>
  <c r="F668" i="1" s="1"/>
  <c r="E145" i="2"/>
  <c r="G36" i="14"/>
  <c r="H36" i="14" s="1"/>
  <c r="I36" i="14" s="1"/>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<sst xmlns="http://schemas.openxmlformats.org/spreadsheetml/2006/main" count="5557" uniqueCount="1654">
  <si>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</si>
  <si>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</si>
  <si>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</si>
  <si>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</si>
  <si>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</si>
  <si>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</si>
  <si>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</si>
  <si>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</si>
  <si>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</si>
  <si>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</si>
  <si>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</si>
  <si>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</si>
  <si>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</si>
  <si>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</si>
  <si>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</si>
  <si>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</si>
  <si>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</si>
  <si>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</si>
  <si>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</si>
  <si>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</si>
  <si>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</si>
  <si>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</si>
  <si>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</si>
  <si>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</si>
  <si>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</si>
  <si>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</si>
  <si>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</si>
  <si>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</si>
  <si>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</si>
  <si>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</si>
  <si>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</si>
  <si>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</si>
  <si>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</si>
  <si>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</si>
  <si>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</si>
  <si>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</si>
  <si>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</si>
  <si>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</si>
  <si>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</si>
  <si>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</si>
  <si>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</si>
  <si>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</si>
  <si>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</si>
  <si>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</si>
  <si>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</si>
  <si>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</si>
  <si>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</si>
  <si>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</si>
  <si>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</si>
  <si>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</si>
  <si>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</si>
  <si>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</si>
  <si>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</si>
  <si>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</si>
  <si>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</si>
  <si>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</si>
  <si>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</si>
  <si>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</si>
  <si>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</si>
  <si>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</si>
  <si>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</si>
  <si>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</si>
  <si>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</si>
  <si>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</si>
  <si>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</si>
  <si>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</si>
  <si>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</si>
  <si>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</si>
  <si>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</si>
  <si>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</si>
  <si>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</si>
  <si>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</si>
  <si>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</si>
  <si>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</si>
  <si>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</si>
  <si>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</si>
  <si>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</si>
  <si>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</si>
  <si>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</si>
  <si>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</si>
  <si>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</si>
  <si>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</si>
  <si>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</si>
  <si>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</si>
  <si>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</si>
  <si>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</si>
  <si>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</si>
  <si>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</si>
  <si>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</si>
  <si>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</si>
  <si>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</si>
  <si>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</si>
  <si>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</si>
  <si>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</si>
  <si>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</si>
  <si>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</si>
  <si>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</si>
  <si>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</si>
  <si>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</si>
  <si>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</si>
  <si>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</si>
  <si>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</si>
  <si>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</si>
  <si>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</si>
  <si>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</si>
  <si>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</si>
  <si>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</si>
  <si>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</si>
  <si>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</si>
  <si>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</si>
  <si>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</si>
  <si>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</si>
  <si>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</si>
  <si>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</si>
  <si>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</si>
  <si>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</si>
  <si>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</si>
  <si>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</si>
  <si>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</si>
  <si>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</si>
  <si>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</si>
  <si>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</si>
  <si>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</si>
  <si>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</si>
  <si>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</si>
  <si>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</si>
  <si>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</si>
  <si>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</si>
  <si>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</si>
  <si>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</si>
  <si>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</si>
  <si>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</si>
  <si>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</si>
  <si>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</si>
  <si>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</si>
  <si>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</si>
  <si>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</si>
  <si>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</si>
  <si>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</si>
  <si>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</si>
  <si>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</si>
  <si>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</si>
  <si>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</si>
  <si>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</si>
  <si>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</si>
  <si>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</si>
  <si>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</si>
  <si>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</si>
  <si>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</si>
  <si>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</si>
  <si>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</si>
  <si>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</si>
  <si>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</si>
  <si>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</si>
  <si>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</si>
  <si>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</si>
  <si>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</si>
  <si>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</si>
  <si>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</si>
  <si>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</si>
  <si>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</si>
  <si>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</si>
  <si>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</si>
  <si>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</si>
  <si>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</si>
  <si>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</si>
  <si>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</si>
  <si>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</si>
  <si>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</si>
  <si>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</si>
  <si>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</si>
  <si>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</si>
  <si>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</si>
  <si>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</si>
  <si>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</si>
  <si>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</si>
  <si>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</si>
  <si>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</si>
  <si>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</si>
  <si>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</si>
  <si>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</si>
  <si>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</si>
  <si>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</si>
  <si>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</si>
  <si>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</si>
  <si>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</si>
  <si>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</si>
  <si>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</si>
  <si>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</si>
  <si>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</si>
  <si>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</si>
  <si>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</si>
  <si>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</si>
  <si>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</si>
  <si>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</si>
  <si>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</si>
  <si>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</si>
  <si>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</si>
  <si>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</si>
  <si>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</si>
  <si>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</si>
  <si>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</si>
  <si>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</si>
  <si>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</si>
  <si>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</si>
  <si>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</si>
  <si>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</si>
  <si>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</si>
  <si>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</si>
  <si>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</si>
  <si>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</si>
  <si>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</si>
  <si>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</si>
  <si>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</si>
  <si>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</si>
  <si>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</si>
  <si>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</si>
  <si>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</si>
  <si>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</si>
  <si>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</si>
  <si>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</si>
  <si>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</si>
  <si>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</si>
  <si>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</si>
  <si>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</si>
  <si>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</si>
  <si>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</si>
  <si>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</si>
  <si>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</si>
  <si>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</si>
  <si>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</si>
  <si>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</si>
  <si>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</si>
  <si>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</si>
  <si>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</si>
  <si>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</si>
  <si>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</si>
  <si>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</si>
  <si>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</si>
  <si>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</si>
  <si>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</si>
  <si>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</si>
  <si>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</si>
  <si>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</si>
  <si>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</si>
  <si>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</si>
  <si>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</si>
  <si>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</si>
  <si>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</si>
  <si>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</si>
  <si>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</si>
  <si>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</si>
  <si>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</si>
  <si>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</si>
  <si>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</si>
  <si>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</si>
  <si>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</si>
  <si>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</si>
  <si>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</si>
  <si>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</si>
  <si>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</si>
  <si>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</si>
  <si>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</si>
  <si>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</si>
  <si>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</si>
  <si>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</si>
  <si>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</si>
  <si>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</si>
  <si>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</si>
  <si>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</si>
  <si>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</si>
  <si>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</si>
  <si>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</si>
  <si>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</si>
  <si>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</si>
  <si>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</si>
  <si>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</si>
  <si>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</si>
  <si>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</si>
  <si>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</si>
  <si>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</si>
  <si>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</si>
  <si>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</si>
  <si>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</si>
  <si>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</si>
  <si>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</si>
  <si>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</si>
  <si>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</si>
  <si>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</si>
  <si>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</si>
  <si>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</si>
  <si>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</si>
  <si>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</si>
  <si>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</si>
  <si>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</si>
  <si>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</si>
  <si>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</si>
  <si>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</si>
  <si>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</si>
  <si>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</si>
  <si>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</si>
  <si>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</si>
  <si>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</si>
  <si>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</si>
  <si>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</si>
  <si>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</si>
  <si>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</si>
  <si>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</si>
  <si>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</si>
  <si>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</si>
  <si>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</si>
  <si>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</si>
  <si>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</si>
  <si>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</si>
  <si>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</si>
  <si>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</si>
  <si>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</si>
  <si>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</si>
  <si>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</si>
  <si>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</si>
  <si>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</si>
  <si>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</si>
  <si>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</si>
  <si>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</si>
  <si>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</si>
  <si>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</si>
  <si>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</si>
  <si>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</si>
  <si>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</si>
  <si>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</si>
  <si>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</si>
  <si>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</si>
  <si>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</si>
  <si>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</si>
  <si>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</si>
  <si>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</si>
  <si>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</si>
  <si>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</si>
  <si>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</si>
  <si>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</si>
  <si>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</si>
  <si>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</si>
  <si>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</si>
  <si>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</si>
  <si>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</si>
  <si>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</si>
  <si>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</si>
  <si>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</si>
  <si>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</si>
  <si>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</si>
  <si>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</si>
  <si>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</si>
  <si>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</si>
  <si>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</si>
  <si>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</si>
  <si>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</si>
  <si>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</si>
  <si>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</si>
  <si>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</si>
  <si>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</si>
  <si>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</si>
  <si>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</si>
  <si>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</si>
  <si>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</si>
  <si>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</si>
  <si>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</si>
  <si>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</si>
  <si>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</si>
  <si>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</si>
  <si>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</si>
  <si>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</si>
  <si>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</si>
  <si>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</si>
  <si>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</si>
  <si>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</si>
  <si>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</si>
  <si>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</si>
  <si>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</si>
  <si>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</si>
  <si>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</si>
  <si>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</si>
  <si>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</si>
  <si>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</si>
  <si>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</si>
  <si>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</si>
  <si>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</si>
  <si>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</si>
  <si>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</si>
  <si>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</si>
  <si>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</si>
  <si>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</si>
  <si>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</si>
  <si>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</si>
  <si>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</si>
  <si>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</si>
  <si>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</si>
  <si>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</si>
  <si>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</si>
  <si>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</si>
  <si>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</si>
  <si>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</si>
  <si>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</si>
  <si>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</si>
  <si>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</si>
  <si>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</si>
  <si>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</si>
  <si>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</si>
  <si>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</si>
  <si>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</si>
  <si>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</si>
  <si>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</si>
  <si>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</si>
  <si>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</si>
  <si>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</si>
  <si>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</si>
  <si>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</si>
  <si>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</si>
  <si>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</si>
  <si>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</si>
  <si>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</si>
  <si>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</si>
  <si>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</si>
  <si>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</si>
  <si>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</si>
  <si>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</si>
  <si>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</si>
  <si>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</si>
  <si>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</si>
  <si>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</si>
  <si>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</si>
  <si>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</si>
  <si>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</si>
  <si>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</si>
  <si>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</si>
  <si>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</si>
  <si>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</si>
  <si>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</si>
  <si>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</si>
  <si>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</si>
  <si>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</si>
  <si>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</si>
  <si>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</si>
  <si>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</si>
  <si>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</si>
  <si>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</si>
  <si>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</si>
  <si>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</si>
  <si>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</si>
  <si>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</si>
  <si>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</si>
  <si>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</si>
  <si>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</si>
  <si>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</si>
  <si>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</si>
  <si>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</si>
  <si>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</si>
  <si>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</si>
  <si>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</si>
  <si>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</si>
  <si>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</si>
  <si>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</si>
  <si>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</si>
  <si>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</si>
  <si>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</si>
  <si>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</si>
  <si>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</si>
  <si>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</si>
  <si>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</si>
  <si>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</si>
  <si>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</si>
  <si>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</si>
  <si>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</si>
  <si>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</si>
  <si>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</si>
  <si>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</si>
  <si>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</si>
  <si>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</si>
  <si>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</si>
  <si>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</si>
  <si>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</si>
  <si>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</si>
  <si>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</si>
  <si>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</si>
  <si>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</si>
  <si>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</si>
  <si>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</si>
  <si>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</si>
  <si>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</si>
  <si>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</si>
  <si>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</si>
  <si>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</si>
  <si>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</si>
  <si>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</si>
  <si>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</si>
  <si>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</si>
  <si>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</si>
  <si>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</si>
  <si>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</si>
  <si>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</si>
  <si>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</si>
  <si>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</si>
  <si>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</si>
  <si>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</si>
  <si>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</si>
  <si>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</si>
  <si>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</si>
  <si>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</si>
  <si>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</si>
  <si>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</si>
  <si>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</si>
  <si>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</si>
  <si>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</si>
  <si>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</si>
  <si>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</si>
  <si>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</si>
  <si>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</si>
  <si>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</si>
  <si>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</si>
  <si>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</si>
  <si>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</si>
  <si>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</si>
  <si>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</si>
  <si>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</si>
  <si>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</si>
  <si>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</si>
  <si>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</si>
  <si>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</si>
  <si>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</si>
  <si>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</si>
  <si>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</si>
  <si>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</si>
  <si>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</si>
  <si>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</si>
  <si>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</si>
  <si>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</si>
  <si>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</si>
  <si>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</si>
  <si>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</si>
  <si>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</si>
  <si>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</si>
  <si>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</si>
  <si>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</si>
  <si>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</si>
  <si>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</si>
  <si>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</si>
  <si>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</si>
  <si>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</si>
  <si>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</si>
  <si>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</si>
  <si>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</si>
  <si>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</si>
  <si>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</si>
  <si>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</si>
  <si>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</si>
  <si>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</si>
  <si>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</si>
  <si>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</si>
  <si>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</si>
  <si>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</si>
  <si>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</si>
  <si>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</si>
  <si>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</si>
  <si>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</si>
  <si>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</si>
  <si>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</si>
  <si>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</si>
  <si>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</si>
  <si>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</si>
  <si>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</si>
  <si>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</si>
  <si>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</si>
  <si>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</si>
  <si>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</si>
  <si>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</si>
  <si>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</si>
  <si>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</si>
  <si>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</si>
  <si>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</si>
  <si>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</si>
  <si>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</si>
  <si>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</si>
  <si>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</si>
  <si>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</si>
  <si>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</si>
  <si>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</si>
  <si>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</si>
  <si>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</si>
  <si>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</si>
  <si>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</si>
  <si>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</si>
  <si>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</si>
  <si>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</si>
  <si>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</si>
  <si>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</si>
  <si>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</si>
  <si>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</si>
  <si>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</si>
  <si>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</si>
  <si>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</si>
  <si>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</si>
  <si>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</si>
  <si>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</si>
  <si>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</si>
  <si>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</si>
  <si>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</si>
  <si>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</si>
  <si>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</si>
  <si>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</si>
  <si>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</si>
  <si>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</si>
  <si>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</si>
  <si>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</si>
  <si>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</si>
  <si>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</si>
  <si>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</si>
  <si>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</si>
  <si>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</si>
  <si>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</si>
  <si>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</si>
  <si>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</si>
  <si>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</si>
  <si>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</si>
  <si>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</si>
  <si>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</si>
  <si>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</si>
  <si>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</si>
  <si>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</si>
  <si>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</si>
  <si>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</si>
  <si>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</si>
  <si>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</si>
  <si>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</si>
  <si>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</si>
  <si>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</si>
  <si>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</si>
  <si>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</si>
  <si>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</si>
  <si>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</si>
  <si>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</si>
  <si>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</si>
  <si>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</si>
  <si>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</si>
  <si>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</si>
  <si>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</si>
  <si>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</si>
  <si>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</si>
  <si>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</si>
  <si>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</si>
  <si>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</si>
  <si>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</si>
  <si>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</si>
  <si>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</si>
  <si>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</si>
  <si>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</si>
  <si>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</si>
  <si>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</si>
  <si>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</si>
  <si>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</si>
  <si>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</si>
  <si>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</si>
  <si>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</si>
  <si>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</si>
  <si>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</si>
  <si>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</si>
  <si>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</si>
  <si>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</si>
  <si>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</si>
  <si>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</si>
  <si>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</si>
  <si>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</si>
  <si>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</si>
  <si>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</si>
  <si>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</si>
  <si>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</si>
  <si>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</si>
  <si>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</si>
  <si>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</si>
  <si>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</si>
  <si>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</si>
  <si>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</si>
  <si>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</si>
  <si>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</si>
  <si>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</si>
  <si>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</si>
  <si>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</si>
  <si>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</si>
  <si>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</si>
  <si>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</si>
  <si>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</si>
  <si>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</si>
  <si>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</si>
  <si>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</si>
  <si>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</si>
  <si>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</si>
  <si>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</si>
  <si>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</si>
  <si>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</si>
  <si>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</si>
  <si>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</si>
  <si>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</si>
  <si>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</si>
  <si>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</si>
  <si>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</si>
  <si>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</si>
  <si>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</si>
  <si>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</si>
  <si>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</si>
  <si>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</si>
  <si>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</si>
  <si>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</si>
  <si>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</si>
  <si>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</si>
  <si>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</si>
  <si>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</si>
  <si>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</si>
  <si>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</si>
  <si>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</si>
  <si>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</si>
  <si>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</si>
  <si>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</si>
  <si>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</si>
  <si>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</si>
  <si>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</si>
  <si>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</si>
  <si>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</si>
  <si>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</si>
  <si>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</si>
  <si>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</si>
  <si>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</si>
  <si>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</si>
  <si>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</si>
  <si>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</si>
  <si>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</si>
  <si>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</si>
  <si>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</si>
  <si>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</si>
  <si>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</si>
  <si>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</si>
  <si>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</si>
  <si>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</si>
  <si>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</si>
  <si>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</si>
  <si>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</si>
  <si>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</si>
  <si>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</si>
  <si>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</si>
  <si>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</si>
  <si>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</si>
  <si>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</si>
  <si>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</si>
  <si>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</si>
  <si>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</si>
  <si>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</si>
  <si>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</si>
  <si>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</si>
  <si>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</si>
  <si>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</si>
  <si>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</si>
  <si>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</si>
  <si>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</si>
  <si>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</si>
  <si>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</si>
  <si>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</si>
  <si>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</si>
  <si>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</si>
  <si>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</si>
  <si>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</si>
  <si>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</si>
  <si>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</si>
  <si>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</si>
  <si>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</si>
  <si>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</si>
  <si>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</si>
  <si>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</si>
  <si>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</si>
  <si>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</si>
  <si>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</si>
  <si>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</si>
  <si>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</si>
  <si>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</si>
  <si>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</si>
  <si>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</si>
  <si>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</si>
  <si>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</si>
  <si>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</si>
  <si>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</si>
  <si>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</si>
  <si>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</si>
  <si>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</si>
  <si>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</si>
  <si>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</si>
  <si>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</si>
  <si>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</si>
  <si>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</si>
  <si>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</si>
  <si>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</si>
  <si>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</si>
  <si>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</si>
  <si>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</si>
  <si>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</si>
  <si>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</si>
  <si>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</si>
  <si>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</si>
  <si>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</si>
  <si>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</si>
  <si>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</si>
  <si>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</si>
  <si>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</si>
  <si>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</si>
  <si>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</si>
  <si>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</si>
  <si>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</si>
  <si>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</si>
  <si>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</si>
  <si>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</si>
  <si>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</si>
  <si>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</si>
  <si>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</si>
  <si>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</si>
  <si>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</si>
  <si>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</si>
  <si>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</si>
  <si>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</si>
  <si>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</si>
  <si>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</si>
  <si>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</si>
  <si>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</si>
  <si>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</si>
  <si>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</si>
  <si>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</si>
  <si>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</si>
  <si>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</si>
  <si>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</si>
  <si>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</si>
  <si>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</si>
  <si>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</si>
  <si>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</si>
  <si>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</si>
  <si>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</si>
  <si>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</si>
  <si>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</si>
  <si>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</si>
  <si>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</si>
  <si>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</si>
  <si>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</si>
  <si>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</si>
  <si>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</si>
  <si>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</si>
  <si>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</si>
  <si>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</si>
  <si>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</si>
  <si>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</si>
  <si>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</si>
  <si>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</si>
  <si>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</si>
  <si>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</si>
  <si>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</si>
  <si>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</si>
  <si>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</si>
  <si>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</si>
  <si>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</si>
  <si>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</si>
  <si>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</si>
  <si>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</si>
  <si>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</si>
  <si>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</si>
  <si>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</si>
  <si>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</si>
  <si>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</si>
  <si>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</si>
  <si>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</si>
  <si>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</si>
  <si>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</si>
  <si>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</si>
  <si>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</si>
  <si>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</si>
  <si>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</si>
  <si>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</si>
  <si>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</si>
  <si>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</si>
  <si>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</si>
  <si>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</si>
  <si>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</si>
  <si>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</si>
  <si>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</si>
  <si>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</si>
  <si>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</si>
  <si>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</si>
  <si>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</si>
  <si>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</si>
  <si>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</si>
  <si>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</si>
  <si>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</si>
  <si>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</si>
  <si>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</si>
  <si>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</si>
  <si>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</si>
  <si>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</si>
  <si>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</si>
  <si>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</si>
  <si>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</si>
  <si>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</si>
  <si>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</si>
  <si>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</si>
  <si>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</si>
  <si>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</si>
  <si>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</si>
  <si>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</si>
  <si>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</si>
  <si>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</si>
  <si>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</si>
  <si>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</si>
  <si>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</si>
  <si>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</si>
  <si>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</si>
  <si>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</si>
  <si>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</si>
  <si>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</si>
  <si>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</si>
  <si>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</si>
  <si>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</si>
  <si>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</si>
  <si>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</si>
  <si>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</si>
  <si>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</si>
  <si>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</si>
  <si>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</si>
  <si>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</si>
  <si>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</si>
  <si>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</si>
  <si>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</si>
  <si>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</si>
  <si>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</si>
  <si>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</si>
  <si>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</si>
  <si>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</si>
  <si>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</si>
  <si>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</si>
  <si>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</si>
  <si>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</si>
  <si>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</si>
  <si>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</si>
  <si>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</si>
  <si>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</si>
  <si>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</si>
  <si>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</si>
  <si>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</si>
  <si>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</si>
  <si>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</si>
  <si>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</si>
  <si>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</si>
  <si>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</si>
  <si>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</si>
  <si>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</si>
  <si>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</si>
  <si>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</si>
  <si>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</si>
  <si>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</si>
  <si>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</si>
  <si>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</si>
  <si>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</si>
  <si>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</si>
  <si>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</si>
  <si>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</si>
  <si>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</si>
  <si>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</si>
  <si>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</si>
  <si>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</si>
  <si>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</si>
  <si>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</si>
  <si>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</si>
  <si>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</si>
  <si>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</si>
  <si>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</si>
  <si>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</si>
  <si>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</si>
  <si>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</si>
  <si>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</si>
  <si>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</si>
  <si>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</si>
  <si>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</si>
  <si>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</si>
  <si>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</si>
  <si>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</si>
  <si>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</si>
  <si>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</si>
  <si>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</si>
  <si>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</si>
  <si>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</si>
  <si>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</si>
  <si>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</si>
  <si>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</si>
  <si>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</si>
  <si>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</si>
  <si>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</si>
  <si>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</si>
  <si>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</si>
  <si>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</si>
  <si>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</si>
  <si>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</si>
  <si>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</si>
  <si>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</si>
  <si>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</si>
  <si>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</si>
  <si>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</si>
  <si>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</si>
  <si>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</si>
  <si>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</si>
  <si>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</si>
  <si>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</si>
  <si>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</si>
  <si>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</si>
  <si>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</si>
  <si>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</si>
  <si>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</si>
  <si>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</si>
  <si>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</si>
  <si>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</si>
  <si>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</si>
  <si>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</si>
  <si>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</si>
  <si>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</si>
  <si>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</si>
  <si>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</si>
  <si>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</si>
  <si>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</si>
  <si>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</si>
  <si>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</si>
  <si>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</si>
  <si>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</si>
  <si>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</si>
  <si>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</si>
  <si>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</si>
  <si>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</si>
  <si>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</si>
  <si>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</si>
  <si>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</si>
  <si>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</si>
  <si>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</si>
  <si>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</si>
  <si>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</si>
  <si>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</si>
  <si>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</si>
  <si>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</si>
  <si>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</si>
  <si>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</si>
  <si>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</si>
  <si>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</si>
  <si>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</si>
  <si>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</si>
  <si>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</si>
  <si>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</si>
  <si>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</si>
  <si>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</si>
  <si>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</si>
  <si>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</si>
  <si>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</si>
  <si>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</si>
  <si>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</si>
  <si>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</si>
  <si>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</si>
  <si>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</si>
  <si>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</si>
  <si>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</si>
  <si>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</si>
  <si>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</si>
  <si>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</si>
  <si>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</si>
  <si>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</si>
  <si>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</si>
  <si>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</si>
  <si>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</si>
  <si>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</si>
  <si>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</si>
  <si>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</si>
  <si>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</si>
  <si>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</si>
  <si>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</si>
  <si>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</si>
  <si>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</si>
  <si>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</si>
  <si>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</si>
  <si>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</si>
  <si>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</si>
  <si>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</si>
  <si>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</si>
  <si>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</si>
  <si>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</si>
  <si>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</si>
  <si>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</si>
  <si>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</si>
  <si>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</si>
  <si>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</si>
  <si>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</si>
  <si>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</si>
  <si>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</si>
  <si>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</si>
  <si>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</si>
  <si>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</si>
  <si>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</si>
  <si>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</si>
  <si>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</si>
  <si>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</si>
  <si>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</si>
  <si>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</si>
  <si>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</si>
  <si>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</si>
  <si>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</si>
  <si>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</si>
  <si>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</si>
  <si>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</si>
  <si>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</si>
  <si>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</si>
  <si>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</si>
  <si>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</si>
  <si>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</si>
  <si>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</si>
  <si>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</si>
  <si>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</si>
  <si>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</si>
  <si>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</si>
  <si>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</si>
  <si>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</si>
  <si>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</si>
  <si>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</si>
  <si>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</si>
  <si>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</si>
  <si>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</si>
  <si>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</si>
  <si>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</si>
  <si>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</si>
  <si>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</si>
  <si>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</si>
  <si>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</si>
  <si>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</si>
  <si>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</si>
  <si>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</si>
  <si>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</si>
  <si>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</si>
  <si>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</si>
  <si>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</si>
  <si>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</si>
  <si>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</si>
  <si>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</si>
  <si>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</si>
  <si>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</si>
  <si>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</si>
  <si>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</si>
  <si>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</si>
  <si>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</si>
  <si>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</si>
  <si>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</si>
  <si>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</si>
  <si>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</si>
  <si>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</si>
  <si>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</si>
  <si>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</si>
  <si>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</si>
  <si>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</si>
  <si>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</si>
  <si>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</si>
  <si>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</si>
  <si>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</si>
  <si>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</si>
  <si>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</si>
  <si>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</si>
  <si>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</si>
  <si>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</si>
  <si>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</si>
  <si>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</si>
  <si>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</si>
  <si>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</si>
  <si>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</si>
  <si>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</si>
  <si>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</si>
  <si>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</si>
  <si>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</si>
  <si>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</si>
  <si>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</si>
  <si>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</si>
  <si>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</si>
  <si>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</si>
  <si>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</si>
  <si>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</si>
  <si>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</si>
  <si>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</si>
  <si>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</si>
  <si>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</si>
  <si>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</si>
  <si>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</si>
  <si>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</si>
  <si>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</si>
  <si>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</si>
  <si>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</si>
  <si>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</si>
  <si>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</si>
  <si>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</si>
  <si>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</si>
  <si>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</si>
  <si>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</si>
  <si>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</si>
  <si>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</si>
  <si>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</si>
  <si>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</si>
  <si>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</si>
  <si>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</si>
  <si>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</si>
  <si>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</si>
  <si>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</si>
  <si>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</si>
  <si>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</si>
  <si>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</si>
  <si>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</si>
  <si>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</si>
  <si>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</si>
  <si>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</si>
  <si>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</si>
  <si>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</si>
  <si>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</si>
  <si>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</si>
  <si>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</si>
  <si>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</si>
  <si>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</si>
  <si>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</si>
  <si>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</si>
  <si>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</si>
  <si>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</si>
  <si>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</si>
  <si>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</si>
  <si>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</si>
  <si>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</si>
  <si>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</si>
  <si>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</si>
  <si>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</si>
  <si>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</si>
  <si>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</si>
  <si>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</si>
  <si>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</si>
  <si>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</si>
  <si>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</si>
  <si>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</si>
  <si>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</si>
  <si>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</si>
  <si>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</si>
  <si>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</si>
  <si>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</si>
  <si>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</si>
  <si>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</si>
  <si>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</si>
  <si>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</si>
  <si>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</si>
  <si>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</si>
  <si>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</si>
  <si>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</si>
  <si>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</si>
  <si>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</si>
  <si>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</si>
  <si>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</si>
  <si>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</si>
  <si>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</si>
  <si>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</si>
  <si>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</si>
  <si>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</si>
  <si>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</si>
  <si>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</si>
  <si>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</si>
  <si>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</si>
  <si>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</si>
  <si>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</si>
  <si>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</si>
  <si>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</si>
  <si>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</si>
  <si>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</si>
  <si>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</si>
  <si>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</si>
  <si>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</si>
  <si>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</si>
  <si>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</si>
  <si>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</si>
  <si>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</si>
  <si>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</si>
  <si>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</si>
  <si>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</si>
  <si>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</si>
  <si>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</si>
  <si>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</si>
  <si>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</si>
  <si>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</si>
  <si>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</si>
  <si>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</si>
  <si>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</si>
  <si>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</si>
  <si>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</si>
  <si>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</si>
  <si>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</si>
  <si>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</si>
  <si>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</si>
  <si>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</si>
  <si>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</si>
  <si>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</si>
  <si>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</si>
  <si>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</si>
  <si>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</si>
  <si>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</si>
  <si>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</si>
  <si>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</si>
  <si>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</si>
  <si>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</si>
  <si>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</si>
  <si>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</si>
  <si>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</si>
  <si>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</si>
  <si>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</si>
  <si>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</si>
  <si>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</si>
  <si>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</si>
  <si>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</si>
  <si>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</si>
  <si>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</si>
  <si>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</si>
  <si>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</si>
  <si>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</si>
  <si>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</si>
  <si>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</si>
  <si>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</si>
  <si>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</si>
  <si>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</si>
  <si>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</si>
  <si>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</si>
  <si>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</si>
  <si>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</si>
  <si>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</si>
  <si>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</si>
  <si>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</si>
  <si>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</si>
  <si>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</si>
  <si>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</si>
  <si>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</si>
  <si>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</si>
  <si>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</si>
  <si>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</si>
  <si>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</si>
  <si>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</si>
  <si>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</si>
  <si>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</si>
  <si>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</si>
  <si>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</si>
  <si>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</si>
  <si>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</si>
  <si>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</si>
  <si>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</si>
  <si>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</si>
  <si>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</si>
  <si>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</si>
  <si>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</si>
  <si>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</si>
  <si>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</si>
  <si>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</si>
  <si>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</si>
  <si>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</si>
  <si>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</si>
  <si>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</si>
  <si>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</si>
  <si>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</si>
  <si>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</si>
  <si>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</si>
  <si>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</si>
  <si>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</si>
  <si>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</si>
  <si>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</si>
  <si>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</si>
  <si>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</si>
  <si>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</si>
  <si>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</si>
  <si>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</si>
  <si>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</si>
  <si>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</si>
  <si>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</si>
  <si>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</si>
  <si>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</si>
  <si>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</si>
  <si>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</si>
  <si>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</si>
  <si>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</si>
  <si>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</si>
  <si>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</si>
  <si>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</si>
  <si>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</si>
  <si>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</si>
  <si>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</si>
  <si>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</si>
  <si>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</si>
  <si>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</si>
  <si>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</si>
  <si>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</si>
  <si>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</si>
  <si>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</si>
  <si>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</si>
  <si>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</si>
  <si>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</si>
  <si>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</si>
  <si>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</si>
  <si>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</si>
  <si>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</si>
  <si>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</si>
  <si>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</si>
  <si>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</si>
  <si>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</si>
  <si>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</si>
  <si>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</si>
  <si>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</si>
  <si>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</si>
  <si>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</si>
  <si>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</si>
  <si>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</si>
  <si>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</si>
  <si>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</si>
  <si>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</si>
  <si>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</si>
  <si>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</si>
  <si>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</si>
  <si>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</si>
  <si>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</si>
  <si>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</si>
  <si>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</si>
  <si>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</si>
  <si>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</si>
  <si>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</si>
  <si>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</si>
  <si>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</si>
  <si>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</si>
  <si>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</si>
  <si>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</si>
  <si>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</si>
  <si>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</si>
  <si>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</si>
  <si>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</si>
  <si>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</si>
  <si>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</si>
  <si>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</si>
  <si>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</si>
  <si>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</si>
  <si>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</si>
  <si>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</si>
  <si>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</si>
  <si>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</si>
  <si>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</si>
  <si>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</si>
  <si>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</si>
  <si>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</si>
  <si>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</si>
  <si>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</si>
  <si>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</si>
  <si>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</si>
  <si>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</si>
  <si>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</si>
  <si>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</si>
  <si>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</si>
  <si>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</si>
  <si>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</si>
  <si>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</si>
  <si>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</si>
  <si>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</si>
  <si>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</si>
  <si>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</si>
  <si>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</si>
  <si>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</si>
  <si>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</si>
  <si>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</si>
  <si>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</si>
  <si>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</si>
  <si>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</si>
  <si>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</si>
  <si>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</si>
  <si>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</si>
  <si>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</si>
  <si>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</si>
  <si>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</si>
  <si>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</si>
  <si>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</si>
  <si>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</si>
  <si>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</si>
  <si>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</si>
  <si>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</si>
  <si>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</si>
  <si>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</si>
  <si>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</si>
  <si>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</si>
  <si>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</si>
  <si>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</si>
  <si>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</si>
  <si>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</si>
  <si>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</si>
  <si>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</si>
  <si>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</si>
  <si>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</si>
  <si>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</si>
  <si>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</si>
  <si>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</si>
  <si>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</si>
  <si>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</si>
  <si>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</si>
  <si>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</si>
  <si>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</si>
  <si>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</si>
  <si>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</si>
  <si>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</si>
  <si>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</si>
  <si>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</si>
  <si>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</si>
  <si>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</si>
  <si>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</si>
  <si>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</si>
  <si>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</si>
  <si>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</si>
  <si>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</si>
  <si>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</si>
  <si>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</si>
  <si>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</si>
  <si>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</si>
  <si>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</si>
  <si>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</si>
  <si>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</si>
  <si>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</si>
  <si>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</si>
  <si>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</si>
  <si>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</si>
  <si>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</si>
  <si>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</si>
  <si>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</si>
  <si>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</si>
  <si>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</si>
  <si>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</si>
  <si>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</si>
  <si>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</si>
  <si>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</si>
  <si>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</si>
  <si>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</si>
  <si>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</si>
  <si>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</si>
  <si>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</si>
  <si>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</si>
  <si>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</si>
  <si>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</si>
  <si>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</si>
  <si>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</si>
  <si>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</si>
  <si>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</si>
  <si>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</si>
  <si>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</si>
  <si>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</si>
  <si>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</si>
  <si>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</si>
  <si>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</si>
  <si>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</si>
  <si>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</si>
  <si>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</si>
  <si>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</si>
  <si>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</si>
  <si>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</si>
  <si>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</si>
  <si>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</si>
  <si>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</si>
  <si>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</si>
  <si>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</si>
  <si>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</si>
  <si>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</si>
  <si>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</si>
  <si>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</si>
  <si>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</si>
  <si>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</si>
  <si>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</si>
  <si>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</si>
  <si>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</si>
  <si>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</si>
  <si>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</si>
  <si>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</si>
  <si>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</si>
  <si>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</si>
  <si>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</si>
  <si>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</si>
  <si>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</si>
  <si>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</si>
  <si>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</si>
  <si>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</si>
  <si>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</si>
  <si>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</si>
  <si>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</si>
  <si>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</si>
  <si>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</si>
  <si>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</si>
  <si>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</si>
  <si>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</si>
  <si>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</si>
  <si>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</si>
  <si>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</si>
  <si>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</si>
  <si>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</si>
  <si>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</si>
  <si>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</si>
  <si>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</si>
  <si>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</si>
  <si>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</si>
  <si>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</si>
  <si>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</si>
  <si>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</si>
  <si>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</si>
  <si>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</si>
  <si>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</si>
  <si>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</si>
  <si>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</si>
  <si>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</si>
  <si>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</si>
  <si>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</si>
  <si>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</si>
  <si>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</si>
  <si>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</si>
  <si>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</si>
  <si>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</si>
  <si>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</si>
  <si>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</si>
  <si>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</si>
  <si>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</si>
  <si>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</si>
  <si>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</si>
  <si>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</si>
  <si>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</si>
  <si>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</si>
  <si>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</si>
  <si>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</si>
  <si>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</si>
  <si>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</si>
  <si>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</si>
  <si>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</si>
  <si>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</si>
  <si>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</si>
  <si>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</si>
  <si>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</si>
  <si>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</si>
  <si>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</si>
  <si>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</si>
  <si>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</si>
  <si>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Mascoma Valley Regional School District</t>
  </si>
  <si>
    <t>5/20/13</t>
  </si>
  <si>
    <t>6/12/14</t>
  </si>
  <si>
    <t>7/02/15</t>
  </si>
  <si>
    <t>1/07/16</t>
  </si>
  <si>
    <t>11/20/28</t>
  </si>
  <si>
    <t>12/15/39</t>
  </si>
  <si>
    <t>7/15/40</t>
  </si>
  <si>
    <t>1/15/41</t>
  </si>
  <si>
    <t>Trust Fund Interest</t>
  </si>
  <si>
    <t>Trust Fund Management Fees</t>
  </si>
  <si>
    <t>Mascoma does not use the Indirect Cost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</si>
</sst>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343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959255.91+100</f>
        <v>959355.91</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-221464.11</v>
      </c>
      <c r="G12" s="18"/>
      <c r="H12" s="18"/>
      <c r="I12" s="18"/>
      <c r="J12" s="67">
        <f>SUM(I442)</f>
        <v>899708.33</v>
      </c>
      <c r="K12" s="24" t="s">
        <v>288</v>
      </c>
      <c r="L12" s="24" t="s">
        <v>288</v>
      </c>
      <c r="M12" s="8"/>
      <c r="N12" s="266"/>
    </row>
    <row r="13" spans="1:14" s="3" customFormat="1" ht="12.2" customHeight="1" x14ac:dyDescent="0.15">
      <c r="A13" s="1" t="s">
        <v>604</v>
      </c>
      <c r="B13" s="2" t="s">
        <v>289</v>
      </c>
      <c r="C13" s="6">
        <v>5</v>
      </c>
      <c r="D13" s="2" t="s">
        <v>428</v>
      </c>
      <c r="E13" s="6">
        <v>140</v>
      </c>
      <c r="F13" s="18">
        <v>1227</v>
      </c>
      <c r="G13" s="18">
        <v>74482.740000000005</v>
      </c>
      <c r="H13" s="18">
        <f>159308.99</f>
        <v>159308.99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46856.79</v>
      </c>
      <c r="G14" s="18">
        <v>3746.35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785975.59000000008</v>
      </c>
      <c r="G19" s="41">
        <f>SUM(G9:G18)</f>
        <v>78229.090000000011</v>
      </c>
      <c r="H19" s="41">
        <f>SUM(H9:H18)</f>
        <v>159308.99</v>
      </c>
      <c r="I19" s="41">
        <f>SUM(I9:I18)</f>
        <v>0</v>
      </c>
      <c r="J19" s="41">
        <f>SUM(J9:J18)</f>
        <v>899708.33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-148093.18</v>
      </c>
      <c r="G22" s="18">
        <v>-30336.22</v>
      </c>
      <c r="H22" s="18">
        <v>-43034.71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100033.43</v>
      </c>
      <c r="G24" s="18">
        <v>53704.2</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67892.03</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1212.55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1.47</v>
      </c>
      <c r="G30" s="18">
        <f>16714.51+4324.1</f>
        <v>21038.61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21046.3</v>
      </c>
      <c r="G32" s="41">
        <f>SUM(G22:G31)</f>
        <v>44406.59</v>
      </c>
      <c r="H32" s="41">
        <f>SUM(H22:H31)</f>
        <v>-43034.71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180000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33822.5</v>
      </c>
      <c r="H48" s="18">
        <v>202343.7</v>
      </c>
      <c r="I48" s="18"/>
      <c r="J48" s="13">
        <f>SUM(I460)</f>
        <v>899708.33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484929.29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764929.29</v>
      </c>
      <c r="G51" s="41">
        <f>SUM(G35:G50)</f>
        <v>33822.5</v>
      </c>
      <c r="H51" s="41">
        <f>SUM(H35:H50)</f>
        <v>202343.7</v>
      </c>
      <c r="I51" s="41">
        <f>SUM(I35:I50)</f>
        <v>0</v>
      </c>
      <c r="J51" s="41">
        <f>SUM(J35:J50)</f>
        <v>899708.33</v>
      </c>
      <c r="K51" s="45" t="s">
        <v>288</v>
      </c>
      <c r="L51" s="45" t="s">
        <v>288</v>
      </c>
      <c r="N51" s="264"/>
    </row>
    <row r="52" spans="1:14" s="3" customFormat="1" ht="12.2" customHeight="1" thickTop="1" x14ac:dyDescent="0.15">
      <c r="A52" s="38" t="s">
        <v>455</v>
      </c>
      <c r="B52" s="39" t="s">
        <v>289</v>
      </c>
      <c r="C52" s="6">
        <v>37</v>
      </c>
      <c r="D52" s="39" t="s">
        <v>653</v>
      </c>
      <c r="E52" s="39"/>
      <c r="F52" s="41">
        <f>F51+F32</f>
        <v>785975.59000000008</v>
      </c>
      <c r="G52" s="41">
        <f>G51+G32</f>
        <v>78229.09</v>
      </c>
      <c r="H52" s="41">
        <f>H51+H32</f>
        <v>159308.99000000002</v>
      </c>
      <c r="I52" s="41">
        <f>I51+I32</f>
        <v>0</v>
      </c>
      <c r="J52" s="41">
        <f>J51+J32</f>
        <v>899708.33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18734274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18734274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v>33031</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v>25650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58681</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6727.45</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127805+12700+11496+5370</f>
        <v>157371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112769.16</f>
        <v>112769.16</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22992.400000000001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29719.850000000002</v>
      </c>
      <c r="G111" s="41">
        <f>SUM(G96:G110)</f>
        <v>157371</v>
      </c>
      <c r="H111" s="41">
        <f>SUM(H96:H110)</f>
        <v>112769.16</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18763993.850000001</v>
      </c>
      <c r="G112" s="41">
        <f>G60+G111</f>
        <v>157371</v>
      </c>
      <c r="H112" s="41">
        <f>H60+H79+H94+H111</f>
        <v>171450.16</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4429499.37+15717</f>
        <v>4445216.37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2362137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2619.0100000000002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6809972.3799999999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395712.16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143768.45000000001</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16725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6285.72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460.71</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556666.31999999995</v>
      </c>
      <c r="G136" s="41">
        <f>SUM(G123:G135)</f>
        <v>6285.72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7366638.7000000002</v>
      </c>
      <c r="G140" s="41">
        <f>G121+SUM(G136:G137)</f>
        <v>6285.72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217262.96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77997.08+2726-17354.2</f>
        <v>63368.880000000005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377100.28+22655.83+17448.23</f>
        <v>417204.34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361146.52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62854.25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17354.2</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62854.25</v>
      </c>
      <c r="G163" s="41">
        <f>SUM(G150:G162)</f>
        <v>417204.34</v>
      </c>
      <c r="H163" s="41">
        <f>SUM(H150:H162)</f>
        <v>659132.55999999994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v>10609.34</v>
      </c>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2485.35</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65339.6</v>
      </c>
      <c r="G170" s="41">
        <f>G147+G163+SUM(G164:G169)</f>
        <v>417204.34</v>
      </c>
      <c r="H170" s="41">
        <f>H147+H163+SUM(H164:H169)</f>
        <v>669741.89999999991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175000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175000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90252.94</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90252.94</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90252.94</v>
      </c>
      <c r="G193" s="41">
        <f>G184+SUM(G189:G192)</f>
        <v>0</v>
      </c>
      <c r="H193" s="41">
        <f>+H184+SUM(H189:H192)</f>
        <v>0</v>
      </c>
      <c r="I193" s="41">
        <f>I178+I184+SUM(I189:I192)</f>
        <v>0</v>
      </c>
      <c r="J193" s="41">
        <f>J184</f>
        <v>175000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26286225.090000004</v>
      </c>
      <c r="G194" s="47">
        <f>G112+G140+G170+G193</f>
        <v>580861.06000000006</v>
      </c>
      <c r="H194" s="47">
        <f>H112+H140+H170+H193</f>
        <v>841192.05999999994</v>
      </c>
      <c r="I194" s="47">
        <f>I112+I140+I170+I193</f>
        <v>0</v>
      </c>
      <c r="J194" s="47">
        <f>J112+J140+J193</f>
        <v>175000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3650647.65+2590+255727.29+112702.72+10754.06</f>
        <v>4032421.72</v>
      </c>
      <c r="G198" s="18">
        <f>1085642.31+62300.15+291414.1+3227.72+649493.08+68785.3+1383.77</f>
        <v>2162246.4299999997</v>
      </c>
      <c r="H198" s="18">
        <f>4565+1500+21707.33</f>
        <v>27772.33</v>
      </c>
      <c r="I198" s="18">
        <f>74669.75+10020.5+52265.92+25310.95+425.82</f>
        <v>162692.94</v>
      </c>
      <c r="J198" s="18">
        <f>3812.38+3676.04+94395.59</f>
        <v>101884.01</v>
      </c>
      <c r="K198" s="18">
        <f>1275</f>
        <v>1275</v>
      </c>
      <c r="L198" s="19">
        <f>SUM(F198:K198)</f>
        <v>6488292.4300000006</v>
      </c>
      <c r="M198" s="8"/>
      <c r="N198" s="266"/>
    </row>
    <row r="199" spans="1:14" s="3" customFormat="1" ht="12.2" customHeight="1" x14ac:dyDescent="0.15">
      <c r="A199" s="1" t="s">
        <v>439</v>
      </c>
      <c r="B199" s="2" t="s">
        <v>341</v>
      </c>
      <c r="C199" s="2" t="s">
        <v>291</v>
      </c>
      <c r="D199" s="2" t="s">
        <v>431</v>
      </c>
      <c r="E199" s="6">
        <v>1200</v>
      </c>
      <c r="F199" s="18">
        <f>708463.5+1100866.74+390086.7+44318.92</f>
        <v>2243735.86</v>
      </c>
      <c r="G199" s="18">
        <f>832233.65+44664+134053+85081.14+126106.7+156200.83+8687.48</f>
        <v>1387026.8</v>
      </c>
      <c r="H199" s="18">
        <f>908254.42+21913.68</f>
        <v>930168.10000000009</v>
      </c>
      <c r="I199" s="18">
        <f>423.14+4258.9</f>
        <v>4682.04</v>
      </c>
      <c r="J199" s="18">
        <v>272.85000000000002</v>
      </c>
      <c r="K199" s="18"/>
      <c r="L199" s="19">
        <f>SUM(F199:K199)</f>
        <v>4565885.6499999994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26508.04</f>
        <v>26508.04</v>
      </c>
      <c r="G201" s="18">
        <f>2025.75+1146.98+454.79</f>
        <v>3627.52</v>
      </c>
      <c r="H201" s="18">
        <f>2976.5+14384.86</f>
        <v>17361.36</v>
      </c>
      <c r="I201" s="18">
        <f>801.35</f>
        <v>801.35</v>
      </c>
      <c r="J201" s="18">
        <f>1119</f>
        <v>1119</v>
      </c>
      <c r="K201" s="18">
        <f>595</f>
        <v>595</v>
      </c>
      <c r="L201" s="19">
        <f>SUM(F201:K201)</f>
        <v>50012.27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207080.52+193411</f>
        <v>400491.52000000002</v>
      </c>
      <c r="G203" s="18">
        <f>75717.72+4263.6+15493.25+36860.44+45571.46+3182.3+14405.99+34427.22</f>
        <v>229921.97999999998</v>
      </c>
      <c r="H203" s="18">
        <f>389251.09</f>
        <v>389251.09</v>
      </c>
      <c r="I203" s="18">
        <f>317.89+2695.74</f>
        <v>3013.6299999999997</v>
      </c>
      <c r="J203" s="18"/>
      <c r="K203" s="18"/>
      <c r="L203" s="19">
        <f t="shared" ref="L203:L209" si="0">SUM(F203:K203)</f>
        <v>1022678.2200000001</v>
      </c>
      <c r="M203" s="8"/>
      <c r="N203" s="266"/>
    </row>
    <row r="204" spans="1:14" s="3" customFormat="1" ht="12.2" customHeight="1" x14ac:dyDescent="0.15">
      <c r="A204" s="1" t="s">
        <v>443</v>
      </c>
      <c r="B204" s="2" t="s">
        <v>341</v>
      </c>
      <c r="C204" s="2" t="s">
        <v>295</v>
      </c>
      <c r="D204" s="2" t="s">
        <v>431</v>
      </c>
      <c r="E204" s="6">
        <v>2200</v>
      </c>
      <c r="F204" s="18">
        <f>127433</f>
        <v>127433</v>
      </c>
      <c r="G204" s="18">
        <f>35875.62+1928.74+9422.22+22683.16</f>
        <v>69909.740000000005</v>
      </c>
      <c r="H204" s="18">
        <f>43843.16</f>
        <v>43843.16</v>
      </c>
      <c r="I204" s="18">
        <f>1676.47+19077.53+22960.59</f>
        <v>43714.59</v>
      </c>
      <c r="J204" s="18">
        <f>751.6+4017.26</f>
        <v>4768.8600000000006</v>
      </c>
      <c r="K204" s="18"/>
      <c r="L204" s="19">
        <f t="shared" si="0"/>
        <v>289669.34999999998</v>
      </c>
      <c r="M204" s="8"/>
      <c r="N204" s="266"/>
    </row>
    <row r="205" spans="1:14" s="3" customFormat="1" ht="12.2" customHeight="1" x14ac:dyDescent="0.15">
      <c r="A205" s="1" t="s">
        <v>444</v>
      </c>
      <c r="B205" s="2" t="s">
        <v>341</v>
      </c>
      <c r="C205" s="2" t="s">
        <v>296</v>
      </c>
      <c r="D205" s="2" t="s">
        <v>431</v>
      </c>
      <c r="E205" s="6">
        <v>2300</v>
      </c>
      <c r="F205" s="18">
        <f>3536+3102.5+1700+55692+424853.21</f>
        <v>488883.71</v>
      </c>
      <c r="G205" s="18">
        <f>270.54+571.16+130.04+7955.88+190342.68</f>
        <v>199270.3</v>
      </c>
      <c r="H205" s="18">
        <f>15599.96+27779.63+11224.41+144127.88</f>
        <v>198731.88</v>
      </c>
      <c r="I205" s="18">
        <f>6140.77+96068.93</f>
        <v>102209.7</v>
      </c>
      <c r="J205" s="18">
        <f>648.71</f>
        <v>648.71</v>
      </c>
      <c r="K205" s="18">
        <f>4450.09+3545.38</f>
        <v>7995.47</v>
      </c>
      <c r="L205" s="19">
        <f t="shared" si="0"/>
        <v>997739.7699999999</v>
      </c>
      <c r="M205" s="8"/>
      <c r="N205" s="266"/>
    </row>
    <row r="206" spans="1:14" s="3" customFormat="1" ht="12.2" customHeight="1" x14ac:dyDescent="0.15">
      <c r="A206" s="1" t="s">
        <v>445</v>
      </c>
      <c r="B206" s="2" t="s">
        <v>341</v>
      </c>
      <c r="C206" s="2" t="s">
        <v>297</v>
      </c>
      <c r="D206" s="2" t="s">
        <v>431</v>
      </c>
      <c r="E206" s="6">
        <v>2400</v>
      </c>
      <c r="F206" s="18">
        <f>279165+194929.51+72100</f>
        <v>546194.51</v>
      </c>
      <c r="G206" s="18">
        <f>198047.08+11060.72+40103.67+21773.59+62525.28+8000</f>
        <v>341510.33999999997</v>
      </c>
      <c r="H206" s="18">
        <f>834.88+35075.2+3280+2294.09+68.44</f>
        <v>41552.61</v>
      </c>
      <c r="I206" s="18">
        <f>1810.6</f>
        <v>1810.6</v>
      </c>
      <c r="J206" s="18">
        <f>1495.41</f>
        <v>1495.41</v>
      </c>
      <c r="K206" s="18">
        <f>4009.89</f>
        <v>4009.89</v>
      </c>
      <c r="L206" s="19">
        <f t="shared" si="0"/>
        <v>936573.36</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262670.8+68846.23</f>
        <v>331517.02999999997</v>
      </c>
      <c r="G208" s="18">
        <f>88724.04+3042.41+19622.61+26699.89+23278.66</f>
        <v>161367.61000000002</v>
      </c>
      <c r="H208" s="18">
        <f>18669.01+56171.08+81135.1+26516.31+55093.32+29883.22+41001.68+33507.47+4202.4</f>
        <v>346179.59000000008</v>
      </c>
      <c r="I208" s="18">
        <f>38645.92+68625.54+1217.17+13805.08+47942.8+11725.31+9324.39</f>
        <v>191286.21000000002</v>
      </c>
      <c r="J208" s="18">
        <f>2290+1365+8912.62+8521.94</f>
        <v>21089.56</v>
      </c>
      <c r="K208" s="18"/>
      <c r="L208" s="19">
        <f t="shared" si="0"/>
        <v>1051440.0000000002</v>
      </c>
      <c r="M208" s="8"/>
      <c r="N208" s="266"/>
    </row>
    <row r="209" spans="1:14" s="3" customFormat="1" ht="12.2" customHeight="1" x14ac:dyDescent="0.15">
      <c r="A209" s="1" t="s">
        <v>448</v>
      </c>
      <c r="B209" s="2" t="s">
        <v>341</v>
      </c>
      <c r="C209" s="2" t="s">
        <v>300</v>
      </c>
      <c r="D209" s="2" t="s">
        <v>431</v>
      </c>
      <c r="E209" s="6">
        <v>2700</v>
      </c>
      <c r="F209" s="18"/>
      <c r="G209" s="18"/>
      <c r="H209" s="18">
        <f>6607.36+7855.19+830207.56</f>
        <v>844670.1100000001</v>
      </c>
      <c r="I209" s="18"/>
      <c r="J209" s="18"/>
      <c r="K209" s="18"/>
      <c r="L209" s="19">
        <f t="shared" si="0"/>
        <v>844670.1100000001</v>
      </c>
      <c r="M209" s="8"/>
      <c r="N209" s="266"/>
    </row>
    <row r="210" spans="1:14" s="3" customFormat="1" ht="12.2" customHeight="1" x14ac:dyDescent="0.15">
      <c r="A210" s="1" t="s">
        <v>449</v>
      </c>
      <c r="B210" s="2" t="s">
        <v>341</v>
      </c>
      <c r="C210" s="2" t="s">
        <v>343</v>
      </c>
      <c r="D210" s="2" t="s">
        <v>431</v>
      </c>
      <c r="E210" s="6">
        <v>2800</v>
      </c>
      <c r="F210" s="18"/>
      <c r="G210" s="18">
        <f>72557.01</f>
        <v>72557.009999999995</v>
      </c>
      <c r="H210" s="18">
        <f>1134.92</f>
        <v>1134.92</v>
      </c>
      <c r="I210" s="18"/>
      <c r="J210" s="18"/>
      <c r="K210" s="18"/>
      <c r="L210" s="19">
        <f>SUM(F210:K210)</f>
        <v>73691.929999999993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8197185.3900000006</v>
      </c>
      <c r="G212" s="41">
        <f t="shared" si="1"/>
        <v>4627437.7299999995</v>
      </c>
      <c r="H212" s="41">
        <f t="shared" si="1"/>
        <v>2840665.1500000004</v>
      </c>
      <c r="I212" s="41">
        <f t="shared" si="1"/>
        <v>510211.06</v>
      </c>
      <c r="J212" s="41">
        <f t="shared" si="1"/>
        <v>131278.40000000002</v>
      </c>
      <c r="K212" s="41">
        <f t="shared" si="1"/>
        <v>13875.36</v>
      </c>
      <c r="L212" s="41">
        <f t="shared" si="1"/>
        <v>16320653.089999998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1653752.15+63550.64+53036.58+16144.32</f>
        <v>1786483.69</v>
      </c>
      <c r="G234" s="18">
        <f>523073.34+29488.74+127345.55+7414.74+293864.07+32369.56+11515.89</f>
        <v>1025071.8900000002</v>
      </c>
      <c r="H234" s="18">
        <f>1045.2+16777.43+1000+10215.21</f>
        <v>29037.84</v>
      </c>
      <c r="I234" s="18">
        <f>39384.26+4609.43+37493.25+5382.05+200.39</f>
        <v>87069.38</v>
      </c>
      <c r="J234" s="18">
        <f>5300+10892.6+3496.13+44421.46</f>
        <v>64110.19</v>
      </c>
      <c r="K234" s="18">
        <f>5808</f>
        <v>5808</v>
      </c>
      <c r="L234" s="19">
        <f>SUM(F234:K234)</f>
        <v>2997580.9899999998</v>
      </c>
      <c r="M234" s="8"/>
      <c r="N234" s="266"/>
    </row>
    <row r="235" spans="1:14" s="3" customFormat="1" ht="12.2" customHeight="1" x14ac:dyDescent="0.15">
      <c r="A235" s="1" t="s">
        <v>439</v>
      </c>
      <c r="B235" s="2" t="s">
        <v>350</v>
      </c>
      <c r="C235" s="2" t="s">
        <v>291</v>
      </c>
      <c r="D235" s="2" t="s">
        <v>431</v>
      </c>
      <c r="E235" s="6">
        <v>1200</v>
      </c>
      <c r="F235" s="18">
        <f>291434.48+132416.79+183570.21</f>
        <v>607421.48</v>
      </c>
      <c r="G235" s="18">
        <f>214303.92+11236.66+30578.62+13236.18+51875.16+73506.27</f>
        <v>394736.81000000006</v>
      </c>
      <c r="H235" s="18">
        <f>199738.53+225584.1+427413.85</f>
        <v>852736.48</v>
      </c>
      <c r="I235" s="18">
        <f>358.31+2004.19</f>
        <v>2362.5</v>
      </c>
      <c r="J235" s="18">
        <f>128.4</f>
        <v>128.4</v>
      </c>
      <c r="K235" s="18"/>
      <c r="L235" s="19">
        <f>SUM(F235:K235)</f>
        <v>1857385.67</v>
      </c>
      <c r="M235" s="8"/>
      <c r="N235" s="266"/>
    </row>
    <row r="236" spans="1:14" s="3" customFormat="1" ht="12.2" customHeight="1" x14ac:dyDescent="0.15">
      <c r="A236" s="1" t="s">
        <v>440</v>
      </c>
      <c r="B236" s="2" t="s">
        <v>350</v>
      </c>
      <c r="C236" s="2" t="s">
        <v>292</v>
      </c>
      <c r="D236" s="2" t="s">
        <v>431</v>
      </c>
      <c r="E236" s="6">
        <v>1300</v>
      </c>
      <c r="F236" s="18"/>
      <c r="G236" s="18"/>
      <c r="H236" s="18">
        <v>400008.57</v>
      </c>
      <c r="I236" s="18"/>
      <c r="J236" s="18"/>
      <c r="K236" s="18"/>
      <c r="L236" s="19">
        <f>SUM(F236:K236)</f>
        <v>400008.57</v>
      </c>
      <c r="M236" s="8"/>
      <c r="N236" s="266"/>
    </row>
    <row r="237" spans="1:14" s="3" customFormat="1" ht="12.2" customHeight="1" x14ac:dyDescent="0.15">
      <c r="A237" s="1" t="s">
        <v>441</v>
      </c>
      <c r="B237" s="2" t="s">
        <v>350</v>
      </c>
      <c r="C237" s="2" t="s">
        <v>293</v>
      </c>
      <c r="D237" s="2" t="s">
        <v>431</v>
      </c>
      <c r="E237" s="6">
        <v>1400</v>
      </c>
      <c r="F237" s="18">
        <f>99077.5</f>
        <v>99077.5</v>
      </c>
      <c r="G237" s="18">
        <f>9185.44+1489.48+7482.25+191.01+11810.46</f>
        <v>30158.639999999996</v>
      </c>
      <c r="H237" s="18">
        <f>16916.16+58130.14+12500</f>
        <v>87546.3</v>
      </c>
      <c r="I237" s="18">
        <f>13047.99</f>
        <v>13047.99</v>
      </c>
      <c r="J237" s="18">
        <f>18994.7</f>
        <v>18994.7</v>
      </c>
      <c r="K237" s="18">
        <f>8703</f>
        <v>8703</v>
      </c>
      <c r="L237" s="19">
        <f>SUM(F237:K237)</f>
        <v>257528.13</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160701.65+66251</f>
        <v>226952.65</v>
      </c>
      <c r="G239" s="18">
        <f>52360+3414.1+11939.41+28536.87+26180+1487.42+4924.52+11792.73</f>
        <v>140635.04999999999</v>
      </c>
      <c r="H239" s="18">
        <f>11313+649.5+66461.78</f>
        <v>78424.28</v>
      </c>
      <c r="I239" s="18">
        <f>575.67+274.24+1213.81</f>
        <v>2063.7199999999998</v>
      </c>
      <c r="J239" s="18"/>
      <c r="K239" s="18">
        <f>150</f>
        <v>150</v>
      </c>
      <c r="L239" s="19">
        <f t="shared" ref="L239:L245" si="4">SUM(F239:K239)</f>
        <v>448225.69999999995</v>
      </c>
      <c r="M239" s="8"/>
      <c r="N239" s="266"/>
    </row>
    <row r="240" spans="1:14" s="3" customFormat="1" ht="12.2" customHeight="1" x14ac:dyDescent="0.15">
      <c r="A240" s="1" t="s">
        <v>443</v>
      </c>
      <c r="B240" s="2" t="s">
        <v>350</v>
      </c>
      <c r="C240" s="2" t="s">
        <v>295</v>
      </c>
      <c r="D240" s="2" t="s">
        <v>431</v>
      </c>
      <c r="E240" s="6">
        <v>2200</v>
      </c>
      <c r="F240" s="18">
        <f>46616+13842.48</f>
        <v>60458.479999999996</v>
      </c>
      <c r="G240" s="18">
        <f>26180+1487.42+4523.91+8297.64</f>
        <v>40488.97</v>
      </c>
      <c r="H240" s="18">
        <f>20632.07</f>
        <v>20632.07</v>
      </c>
      <c r="I240" s="18">
        <f>1405.17+8886.95+10804.99</f>
        <v>21097.11</v>
      </c>
      <c r="J240" s="18">
        <f>793.74+1995</f>
        <v>2788.74</v>
      </c>
      <c r="K240" s="18"/>
      <c r="L240" s="19">
        <f t="shared" si="4"/>
        <v>145465.37</v>
      </c>
      <c r="M240" s="8"/>
      <c r="N240" s="266"/>
    </row>
    <row r="241" spans="1:14" s="3" customFormat="1" ht="12.2" customHeight="1" x14ac:dyDescent="0.15">
      <c r="A241" s="1" t="s">
        <v>444</v>
      </c>
      <c r="B241" s="2" t="s">
        <v>350</v>
      </c>
      <c r="C241" s="2" t="s">
        <v>296</v>
      </c>
      <c r="D241" s="2" t="s">
        <v>431</v>
      </c>
      <c r="E241" s="6">
        <v>2300</v>
      </c>
      <c r="F241" s="18">
        <f>1664+1460+800+26208+199930.92</f>
        <v>230062.92</v>
      </c>
      <c r="G241" s="18">
        <f>127.32+268.78+61.2+3743.95+89573.02</f>
        <v>93774.27</v>
      </c>
      <c r="H241" s="18">
        <f>7341.16+13072.76+5282.08+67824.88</f>
        <v>93520.88</v>
      </c>
      <c r="I241" s="18">
        <f>2889.77+45208.91</f>
        <v>48098.68</v>
      </c>
      <c r="J241" s="18">
        <f>305.28</f>
        <v>305.27999999999997</v>
      </c>
      <c r="K241" s="18">
        <f>2094.16+1668.42</f>
        <v>3762.58</v>
      </c>
      <c r="L241" s="19">
        <f t="shared" si="4"/>
        <v>469524.61000000004</v>
      </c>
      <c r="M241" s="8"/>
      <c r="N241" s="266"/>
    </row>
    <row r="242" spans="1:14" s="3" customFormat="1" ht="12.2" customHeight="1" x14ac:dyDescent="0.15">
      <c r="A242" s="1" t="s">
        <v>445</v>
      </c>
      <c r="B242" s="2" t="s">
        <v>350</v>
      </c>
      <c r="C242" s="2" t="s">
        <v>297</v>
      </c>
      <c r="D242" s="2" t="s">
        <v>431</v>
      </c>
      <c r="E242" s="6">
        <v>2400</v>
      </c>
      <c r="F242" s="18">
        <f>97000+109567.56+86745</f>
        <v>293312.56</v>
      </c>
      <c r="G242" s="18">
        <f>102515.6+6797.12+21917.41+12238.58+33152+4000</f>
        <v>180620.71</v>
      </c>
      <c r="H242" s="18">
        <f>1249.29+12726.47+3360+1225.42</f>
        <v>18561.18</v>
      </c>
      <c r="I242" s="18">
        <f>2850.97</f>
        <v>2850.97</v>
      </c>
      <c r="J242" s="18"/>
      <c r="K242" s="18">
        <v>215</v>
      </c>
      <c r="L242" s="19">
        <f t="shared" si="4"/>
        <v>495560.42</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211541.15+32398.23</f>
        <v>243939.38</v>
      </c>
      <c r="G244" s="18">
        <f>74455.09+3592.79+15707.68+23629.18+10954.67</f>
        <v>128339.40999999999</v>
      </c>
      <c r="H244" s="18">
        <f>895+10264.32+44564.09+9471.76+26356.41+35452.58+41001.68+15768.22+1977.6</f>
        <v>185751.66</v>
      </c>
      <c r="I244" s="18">
        <f>21327.52+71493.52+3221.74+13686.13+24814.72+267.59+12258.79+4387.95</f>
        <v>151457.96000000002</v>
      </c>
      <c r="J244" s="18">
        <f>248.94+1560+27186.53+4010.33</f>
        <v>33005.799999999996</v>
      </c>
      <c r="K244" s="18"/>
      <c r="L244" s="19">
        <f t="shared" si="4"/>
        <v>742494.21</v>
      </c>
      <c r="M244" s="8"/>
      <c r="N244" s="266"/>
    </row>
    <row r="245" spans="1:14" s="3" customFormat="1" ht="12.2" customHeight="1" x14ac:dyDescent="0.15">
      <c r="A245" s="1" t="s">
        <v>448</v>
      </c>
      <c r="B245" s="2" t="s">
        <v>350</v>
      </c>
      <c r="C245" s="2" t="s">
        <v>300</v>
      </c>
      <c r="D245" s="2" t="s">
        <v>431</v>
      </c>
      <c r="E245" s="6">
        <v>2700</v>
      </c>
      <c r="F245" s="18"/>
      <c r="G245" s="18"/>
      <c r="H245" s="18">
        <f>89813+34552.81+5129.4+390685.91</f>
        <v>520181.12</v>
      </c>
      <c r="I245" s="18"/>
      <c r="J245" s="18"/>
      <c r="K245" s="18"/>
      <c r="L245" s="19">
        <f t="shared" si="4"/>
        <v>520181.12</v>
      </c>
      <c r="M245" s="8"/>
      <c r="N245" s="266"/>
    </row>
    <row r="246" spans="1:14" s="3" customFormat="1" ht="12.2" customHeight="1" x14ac:dyDescent="0.15">
      <c r="A246" s="1" t="s">
        <v>449</v>
      </c>
      <c r="B246" s="2" t="s">
        <v>350</v>
      </c>
      <c r="C246" s="2" t="s">
        <v>343</v>
      </c>
      <c r="D246" s="2" t="s">
        <v>431</v>
      </c>
      <c r="E246" s="6">
        <v>2800</v>
      </c>
      <c r="F246" s="18"/>
      <c r="G246" s="18">
        <f>34144.47</f>
        <v>34144.47</v>
      </c>
      <c r="H246" s="18">
        <f>534.08</f>
        <v>534.08000000000004</v>
      </c>
      <c r="I246" s="18"/>
      <c r="J246" s="18"/>
      <c r="K246" s="18"/>
      <c r="L246" s="19">
        <f>SUM(F246:K246)</f>
        <v>34678.550000000003</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3547708.6599999997</v>
      </c>
      <c r="G248" s="41">
        <f t="shared" si="5"/>
        <v>2067970.22</v>
      </c>
      <c r="H248" s="41">
        <f t="shared" si="5"/>
        <v>2286934.46</v>
      </c>
      <c r="I248" s="41">
        <f t="shared" si="5"/>
        <v>328048.31000000006</v>
      </c>
      <c r="J248" s="41">
        <f t="shared" si="5"/>
        <v>119333.11000000002</v>
      </c>
      <c r="K248" s="41">
        <f t="shared" si="5"/>
        <v>18638.580000000002</v>
      </c>
      <c r="L248" s="41">
        <f t="shared" si="5"/>
        <v>8368633.3400000008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f>9750+74680+5822.94</f>
        <v>90252.94</v>
      </c>
      <c r="K256" s="18"/>
      <c r="L256" s="19">
        <f t="shared" si="6"/>
        <v>90252.94</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90252.94</v>
      </c>
      <c r="K257" s="41">
        <f t="shared" si="7"/>
        <v>0</v>
      </c>
      <c r="L257" s="41">
        <f>SUM(F257:K257)</f>
        <v>90252.94</v>
      </c>
      <c r="M257" s="8"/>
      <c r="N257" s="266"/>
    </row>
    <row r="258" spans="1:14" s="3" customFormat="1" ht="12.2" customHeight="1" thickTop="1" x14ac:dyDescent="0.15">
      <c r="A258" s="38" t="s">
        <v>462</v>
      </c>
      <c r="B258" s="40">
        <v>10</v>
      </c>
      <c r="C258" s="40">
        <v>8</v>
      </c>
      <c r="D258" s="39" t="s">
        <v>431</v>
      </c>
      <c r="E258" s="40"/>
      <c r="F258" s="41">
        <f t="shared" ref="F258:L258" si="8">F212+F230+F248+F257</f>
        <v>11744894.050000001</v>
      </c>
      <c r="G258" s="41">
        <f t="shared" si="8"/>
        <v>6695407.9499999993</v>
      </c>
      <c r="H258" s="41">
        <f t="shared" si="8"/>
        <v>5127599.6100000003</v>
      </c>
      <c r="I258" s="41">
        <f t="shared" si="8"/>
        <v>838259.37000000011</v>
      </c>
      <c r="J258" s="41">
        <f t="shared" si="8"/>
        <v>340864.45000000007</v>
      </c>
      <c r="K258" s="41">
        <f t="shared" si="8"/>
        <v>32513.940000000002</v>
      </c>
      <c r="L258" s="41">
        <f t="shared" si="8"/>
        <v>24779539.370000001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598355.11+120439.14</f>
        <v>718794.25</v>
      </c>
      <c r="L261" s="19">
        <f>SUM(F261:K261)</f>
        <v>718794.25</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760099.49+39593.86</f>
        <v>799693.35</v>
      </c>
      <c r="L262" s="19">
        <f>SUM(F262:K262)</f>
        <v>799693.35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175000</v>
      </c>
      <c r="L267" s="19">
        <f t="shared" si="9"/>
        <v>175000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45000</v>
      </c>
      <c r="L269" s="19">
        <f t="shared" si="9"/>
        <v>45000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1738487.6</v>
      </c>
      <c r="L271" s="41">
        <f t="shared" si="9"/>
        <v>1738487.6</v>
      </c>
      <c r="M271" s="8"/>
      <c r="N271" s="266"/>
    </row>
    <row r="272" spans="1:14" s="34" customFormat="1" ht="12.2" customHeight="1" thickTop="1" x14ac:dyDescent="0.2">
      <c r="A272" s="43" t="s">
        <v>464</v>
      </c>
      <c r="B272" s="40">
        <v>10</v>
      </c>
      <c r="C272" s="40">
        <v>18</v>
      </c>
      <c r="D272" s="39" t="s">
        <v>431</v>
      </c>
      <c r="E272" s="40"/>
      <c r="F272" s="42">
        <f t="shared" ref="F272:L272" si="11">F258+F271</f>
        <v>11744894.050000001</v>
      </c>
      <c r="G272" s="42">
        <f t="shared" si="11"/>
        <v>6695407.9499999993</v>
      </c>
      <c r="H272" s="42">
        <f t="shared" si="11"/>
        <v>5127599.6100000003</v>
      </c>
      <c r="I272" s="42">
        <f t="shared" si="11"/>
        <v>838259.37000000011</v>
      </c>
      <c r="J272" s="42">
        <f t="shared" si="11"/>
        <v>340864.45000000007</v>
      </c>
      <c r="K272" s="42">
        <f t="shared" si="11"/>
        <v>1771001.54</v>
      </c>
      <c r="L272" s="42">
        <f t="shared" si="11"/>
        <v>26518026.970000003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4594.85+26630.97</f>
        <v>31225.82</v>
      </c>
      <c r="G277" s="18">
        <f>351.51+817.88+6566.11</f>
        <v>7735.5</v>
      </c>
      <c r="H277" s="18">
        <f>150+842.72</f>
        <v>992.72</v>
      </c>
      <c r="I277" s="18">
        <f>2310.51+99.99+12697.19</f>
        <v>15107.69</v>
      </c>
      <c r="J277" s="18">
        <f>23630.61</f>
        <v>23630.61</v>
      </c>
      <c r="K277" s="18"/>
      <c r="L277" s="19">
        <f>SUM(F277:K277)</f>
        <v>78692.34</v>
      </c>
      <c r="M277" s="8"/>
      <c r="N277" s="266"/>
    </row>
    <row r="278" spans="1:14" s="3" customFormat="1" ht="12.2" customHeight="1" x14ac:dyDescent="0.15">
      <c r="A278" s="1" t="s">
        <v>439</v>
      </c>
      <c r="B278" s="2" t="s">
        <v>357</v>
      </c>
      <c r="C278" s="2" t="s">
        <v>291</v>
      </c>
      <c r="D278" s="2" t="s">
        <v>431</v>
      </c>
      <c r="E278" s="6">
        <v>1200</v>
      </c>
      <c r="F278" s="18">
        <f>75696+23285.85+1860.19</f>
        <v>100842.04000000001</v>
      </c>
      <c r="G278" s="18">
        <f>24666.65+22470.81+473.42</f>
        <v>47610.880000000005</v>
      </c>
      <c r="H278" s="18">
        <f>88906.68+509.96+16686.81</f>
        <v>106103.45</v>
      </c>
      <c r="I278" s="18">
        <f>5349.51+2039.31+875+1184.08+2672.81</f>
        <v>12120.71</v>
      </c>
      <c r="J278" s="18">
        <f>3874.5</f>
        <v>3874.5</v>
      </c>
      <c r="K278" s="18"/>
      <c r="L278" s="19">
        <f>SUM(F278:K278)</f>
        <v>270551.58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69874.05+39617</f>
        <v>109491.05</v>
      </c>
      <c r="G282" s="18">
        <f>5345.39+3534.01</f>
        <v>8879.4000000000015</v>
      </c>
      <c r="H282" s="18">
        <f>1853.68+9330.19+948.38+13294</f>
        <v>25426.25</v>
      </c>
      <c r="I282" s="18"/>
      <c r="J282" s="18">
        <f>72286.66</f>
        <v>72286.66</v>
      </c>
      <c r="K282" s="18">
        <f>4980.03</f>
        <v>4980.03</v>
      </c>
      <c r="L282" s="19">
        <f t="shared" ref="L282:L288" si="12">SUM(F282:K282)</f>
        <v>221063.39</v>
      </c>
      <c r="M282" s="8"/>
      <c r="N282" s="266"/>
    </row>
    <row r="283" spans="1:14" s="3" customFormat="1" ht="12.2" customHeight="1" x14ac:dyDescent="0.15">
      <c r="A283" s="1" t="s">
        <v>443</v>
      </c>
      <c r="B283" s="2" t="s">
        <v>357</v>
      </c>
      <c r="C283" s="2" t="s">
        <v>295</v>
      </c>
      <c r="D283" s="2" t="s">
        <v>431</v>
      </c>
      <c r="E283" s="6">
        <v>2200</v>
      </c>
      <c r="F283" s="18">
        <f>10000</f>
        <v>10000</v>
      </c>
      <c r="G283" s="18">
        <f>2519.4</f>
        <v>2519.4</v>
      </c>
      <c r="H283" s="18">
        <f>34564.67</f>
        <v>34564.67</v>
      </c>
      <c r="I283" s="18">
        <f>900.01</f>
        <v>900.01</v>
      </c>
      <c r="J283" s="18"/>
      <c r="K283" s="18"/>
      <c r="L283" s="19">
        <f t="shared" si="12"/>
        <v>47984.08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f>10000</f>
        <v>10000</v>
      </c>
      <c r="I287" s="18">
        <f>2623.34</f>
        <v>2623.34</v>
      </c>
      <c r="J287" s="18"/>
      <c r="K287" s="18"/>
      <c r="L287" s="19">
        <f t="shared" si="12"/>
        <v>12623.34</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251558.91000000003</v>
      </c>
      <c r="G291" s="42">
        <f t="shared" si="13"/>
        <v>66745.180000000008</v>
      </c>
      <c r="H291" s="42">
        <f t="shared" si="13"/>
        <v>177087.08999999997</v>
      </c>
      <c r="I291" s="42">
        <f t="shared" si="13"/>
        <v>30751.75</v>
      </c>
      <c r="J291" s="42">
        <f t="shared" si="13"/>
        <v>99791.77</v>
      </c>
      <c r="K291" s="42">
        <f t="shared" si="13"/>
        <v>4980.03</v>
      </c>
      <c r="L291" s="41">
        <f t="shared" si="13"/>
        <v>630914.73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20095.5+2500</f>
        <v>22595.5</v>
      </c>
      <c r="G315" s="18">
        <f>1691.58+279.24+2625.07</f>
        <v>4595.8900000000003</v>
      </c>
      <c r="H315" s="18">
        <f>7104.17+25400+718.8+2664.27+2000+396.58+0.45</f>
        <v>38284.269999999997</v>
      </c>
      <c r="I315" s="18">
        <f>87.9+3516.92+3622.2</f>
        <v>7227.02</v>
      </c>
      <c r="J315" s="18">
        <f>11120.29</f>
        <v>11120.29</v>
      </c>
      <c r="K315" s="18"/>
      <c r="L315" s="19">
        <f>SUM(F315:K315)</f>
        <v>83822.97</v>
      </c>
      <c r="M315" s="8"/>
      <c r="N315" s="266"/>
    </row>
    <row r="316" spans="1:14" s="3" customFormat="1" ht="12.2" customHeight="1" x14ac:dyDescent="0.15">
      <c r="A316" s="1" t="s">
        <v>439</v>
      </c>
      <c r="B316" s="2" t="s">
        <v>359</v>
      </c>
      <c r="C316" s="2" t="s">
        <v>291</v>
      </c>
      <c r="D316" s="2" t="s">
        <v>431</v>
      </c>
      <c r="E316" s="6">
        <v>1200</v>
      </c>
      <c r="F316" s="18">
        <f>875.39+27135.42</f>
        <v>28010.809999999998</v>
      </c>
      <c r="G316" s="18">
        <f>222.79+5267.21</f>
        <v>5490</v>
      </c>
      <c r="H316" s="18">
        <f>49238.44+239.98+7852.61</f>
        <v>57331.030000000006</v>
      </c>
      <c r="I316" s="18">
        <f>42.94+1508.09+120.61+557.22+1257.8</f>
        <v>3486.66</v>
      </c>
      <c r="J316" s="18"/>
      <c r="K316" s="18"/>
      <c r="L316" s="19">
        <f>SUM(F316:K316)</f>
        <v>94318.5</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f>582.74</f>
        <v>582.74</v>
      </c>
      <c r="I318" s="18">
        <f>750</f>
        <v>750</v>
      </c>
      <c r="J318" s="18">
        <f>150+3500</f>
        <v>3650</v>
      </c>
      <c r="K318" s="18"/>
      <c r="L318" s="19">
        <f>SUM(F318:K318)</f>
        <v>4982.74</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1896</f>
        <v>1896</v>
      </c>
      <c r="G320" s="18">
        <f>381.88</f>
        <v>381.88</v>
      </c>
      <c r="H320" s="18">
        <f>872.32+80+446.29+6256</f>
        <v>7654.6100000000006</v>
      </c>
      <c r="I320" s="18"/>
      <c r="J320" s="18">
        <f>5553.34</f>
        <v>5553.34</v>
      </c>
      <c r="K320" s="18">
        <f>425.89</f>
        <v>425.89</v>
      </c>
      <c r="L320" s="19">
        <f t="shared" ref="L320:L326" si="16">SUM(F320:K320)</f>
        <v>15911.720000000001</v>
      </c>
      <c r="M320" s="8"/>
      <c r="N320" s="266"/>
    </row>
    <row r="321" spans="1:14" s="3" customFormat="1" ht="12.2" customHeight="1" x14ac:dyDescent="0.15">
      <c r="A321" s="1" t="s">
        <v>443</v>
      </c>
      <c r="B321" s="2" t="s">
        <v>359</v>
      </c>
      <c r="C321" s="2" t="s">
        <v>295</v>
      </c>
      <c r="D321" s="2" t="s">
        <v>431</v>
      </c>
      <c r="E321" s="6">
        <v>2200</v>
      </c>
      <c r="F321" s="18"/>
      <c r="G321" s="18"/>
      <c r="H321" s="18">
        <f>8660.44</f>
        <v>8660.44</v>
      </c>
      <c r="I321" s="18">
        <f>423.54</f>
        <v>423.54</v>
      </c>
      <c r="J321" s="18"/>
      <c r="K321" s="18"/>
      <c r="L321" s="19">
        <f t="shared" si="16"/>
        <v>9083.9800000000014</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f>1234.51</f>
        <v>1234.51</v>
      </c>
      <c r="J325" s="18"/>
      <c r="K325" s="18"/>
      <c r="L325" s="19">
        <f t="shared" si="16"/>
        <v>1234.51</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52502.31</v>
      </c>
      <c r="G329" s="42">
        <f t="shared" si="17"/>
        <v>10467.769999999999</v>
      </c>
      <c r="H329" s="42">
        <f t="shared" si="17"/>
        <v>112513.09000000001</v>
      </c>
      <c r="I329" s="42">
        <f t="shared" si="17"/>
        <v>13121.730000000001</v>
      </c>
      <c r="J329" s="42">
        <f t="shared" si="17"/>
        <v>20323.63</v>
      </c>
      <c r="K329" s="42">
        <f t="shared" si="17"/>
        <v>425.89</v>
      </c>
      <c r="L329" s="41">
        <f t="shared" si="17"/>
        <v>209354.42</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304061.22000000003</v>
      </c>
      <c r="G339" s="41">
        <f t="shared" si="20"/>
        <v>77212.950000000012</v>
      </c>
      <c r="H339" s="41">
        <f t="shared" si="20"/>
        <v>289600.18</v>
      </c>
      <c r="I339" s="41">
        <f t="shared" si="20"/>
        <v>43873.48</v>
      </c>
      <c r="J339" s="41">
        <f t="shared" si="20"/>
        <v>120115.40000000001</v>
      </c>
      <c r="K339" s="41">
        <f t="shared" si="20"/>
        <v>5405.92</v>
      </c>
      <c r="L339" s="41">
        <f t="shared" si="20"/>
        <v>840269.15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304061.22000000003</v>
      </c>
      <c r="G353" s="41">
        <f>G339</f>
        <v>77212.950000000012</v>
      </c>
      <c r="H353" s="41">
        <f>H339</f>
        <v>289600.18</v>
      </c>
      <c r="I353" s="41">
        <f>I339</f>
        <v>43873.48</v>
      </c>
      <c r="J353" s="41">
        <f>J339</f>
        <v>120115.40000000001</v>
      </c>
      <c r="K353" s="47">
        <f>K339+K352</f>
        <v>5405.92</v>
      </c>
      <c r="L353" s="41">
        <f>L339+L352</f>
        <v>840269.15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582706*0.68</f>
        <v>396240.08</v>
      </c>
      <c r="I359" s="18"/>
      <c r="J359" s="18"/>
      <c r="K359" s="18"/>
      <c r="L359" s="13">
        <f>SUM(F359:K359)</f>
        <v>396240.08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f>0.32*582706</f>
        <v>186465.92000000001</v>
      </c>
      <c r="I361" s="18"/>
      <c r="J361" s="18"/>
      <c r="K361" s="18"/>
      <c r="L361" s="19">
        <f>SUM(F361:K361)</f>
        <v>186465.92000000001</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582706</v>
      </c>
      <c r="I363" s="47">
        <f t="shared" si="22"/>
        <v>0</v>
      </c>
      <c r="J363" s="47">
        <f t="shared" si="22"/>
        <v>0</v>
      </c>
      <c r="K363" s="47">
        <f t="shared" si="22"/>
        <v>0</v>
      </c>
      <c r="L363" s="47">
        <f t="shared" si="22"/>
        <v>582706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100000</v>
      </c>
      <c r="H397" s="18"/>
      <c r="I397" s="18"/>
      <c r="J397" s="24" t="s">
        <v>288</v>
      </c>
      <c r="K397" s="24" t="s">
        <v>288</v>
      </c>
      <c r="L397" s="56">
        <f t="shared" si="26"/>
        <v>100000</v>
      </c>
      <c r="M397" s="8"/>
      <c r="N397" s="266"/>
    </row>
    <row r="398" spans="1:14" s="3" customFormat="1" ht="12.2" customHeight="1" x14ac:dyDescent="0.15">
      <c r="A398" s="79" t="s">
        <v>515</v>
      </c>
      <c r="B398" s="2" t="s">
        <v>381</v>
      </c>
      <c r="C398" s="6">
        <v>10</v>
      </c>
      <c r="D398" s="2" t="s">
        <v>432</v>
      </c>
      <c r="E398" s="6"/>
      <c r="F398" s="18"/>
      <c r="G398" s="18">
        <v>75000</v>
      </c>
      <c r="H398" s="18"/>
      <c r="I398" s="18"/>
      <c r="J398" s="24" t="s">
        <v>288</v>
      </c>
      <c r="K398" s="24" t="s">
        <v>288</v>
      </c>
      <c r="L398" s="56">
        <f t="shared" si="26"/>
        <v>75000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175000</v>
      </c>
      <c r="H402" s="47">
        <f>SUM(H396:H401)</f>
        <v>0</v>
      </c>
      <c r="I402" s="47">
        <f>SUM(I396:I401)</f>
        <v>0</v>
      </c>
      <c r="J402" s="45" t="s">
        <v>288</v>
      </c>
      <c r="K402" s="45" t="s">
        <v>288</v>
      </c>
      <c r="L402" s="47">
        <f>SUM(L396:L401)</f>
        <v>175000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175000</v>
      </c>
      <c r="H409" s="47">
        <f>H394+H402+H408</f>
        <v>0</v>
      </c>
      <c r="I409" s="47">
        <f>I394+I402+I408</f>
        <v>0</v>
      </c>
      <c r="J409" s="24" t="s">
        <v>288</v>
      </c>
      <c r="K409" s="24" t="s">
        <v>288</v>
      </c>
      <c r="L409" s="47">
        <f>L394+L402+L408</f>
        <v>175000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f>9750+74680+5822.94</f>
        <v>90252.94</v>
      </c>
      <c r="L415" s="56">
        <f t="shared" si="27"/>
        <v>90252.94</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90252.94</v>
      </c>
      <c r="L420" s="47">
        <f t="shared" si="28"/>
        <v>90252.94</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90252.94</v>
      </c>
      <c r="L435" s="47">
        <f t="shared" si="32"/>
        <v>90252.94</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899708.33</v>
      </c>
      <c r="G442" s="18"/>
      <c r="H442" s="18"/>
      <c r="I442" s="56">
        <f t="shared" si="33"/>
        <v>899708.33</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899708.33</v>
      </c>
      <c r="G447" s="13">
        <f>SUM(G440:G446)</f>
        <v>0</v>
      </c>
      <c r="H447" s="13">
        <f>SUM(H440:H446)</f>
        <v>0</v>
      </c>
      <c r="I447" s="13">
        <f>SUM(I440:I446)</f>
        <v>899708.33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899708.33</v>
      </c>
      <c r="G460" s="18"/>
      <c r="H460" s="18"/>
      <c r="I460" s="56">
        <f t="shared" si="34"/>
        <v>899708.33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899708.33</v>
      </c>
      <c r="G461" s="83">
        <f>SUM(G455:G460)</f>
        <v>0</v>
      </c>
      <c r="H461" s="83">
        <f>SUM(H455:H460)</f>
        <v>0</v>
      </c>
      <c r="I461" s="83">
        <f>SUM(I455:I460)</f>
        <v>899708.33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899708.33</v>
      </c>
      <c r="G462" s="42">
        <f>G453+G461</f>
        <v>0</v>
      </c>
      <c r="H462" s="42">
        <f>H453+H461</f>
        <v>0</v>
      </c>
      <c r="I462" s="42">
        <f>I453+I461</f>
        <v>899708.33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996731.17</v>
      </c>
      <c r="G466" s="18">
        <v>35667.440000000002</v>
      </c>
      <c r="H466" s="18">
        <v>201420.79</v>
      </c>
      <c r="I466" s="18"/>
      <c r="J466" s="18">
        <v>805781.22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26286225.09</v>
      </c>
      <c r="G469" s="18">
        <v>580861.06000000006</v>
      </c>
      <c r="H469" s="18">
        <f>669741.9+33031+25650+112769.16</f>
        <v>841192.06</v>
      </c>
      <c r="I469" s="18"/>
      <c r="J469" s="18">
        <v>175000</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f>13718.2</f>
        <v>13718.2</v>
      </c>
      <c r="K470" s="24" t="s">
        <v>288</v>
      </c>
      <c r="L470" s="24" t="s">
        <v>288</v>
      </c>
      <c r="N470" s="265"/>
    </row>
    <row r="471" spans="1:14" s="52" customFormat="1" ht="12.2" customHeight="1" x14ac:dyDescent="0.2">
      <c r="A471" s="92" t="s">
        <v>425</v>
      </c>
      <c r="B471" s="75">
        <v>19</v>
      </c>
      <c r="C471" s="80">
        <v>4</v>
      </c>
      <c r="D471" s="2" t="s">
        <v>432</v>
      </c>
      <c r="E471" s="80"/>
      <c r="F471" s="53">
        <f>SUM(F469:F470)</f>
        <v>26286225.09</v>
      </c>
      <c r="G471" s="53">
        <f>SUM(G469:G470)</f>
        <v>580861.06000000006</v>
      </c>
      <c r="H471" s="53">
        <f>SUM(H469:H470)</f>
        <v>841192.06</v>
      </c>
      <c r="I471" s="53">
        <f>SUM(I469:I470)</f>
        <v>0</v>
      </c>
      <c r="J471" s="53">
        <f>SUM(J469:J470)</f>
        <v>188718.2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26518026.969999999</v>
      </c>
      <c r="G473" s="18">
        <v>582706</v>
      </c>
      <c r="H473" s="18">
        <f>669741.9+33197.08+35372.58+101957.59</f>
        <v>840269.14999999991</v>
      </c>
      <c r="I473" s="18"/>
      <c r="J473" s="18">
        <f>90252.94</f>
        <v>90252.94</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f>4538.15</f>
        <v>4538.1499999999996</v>
      </c>
      <c r="K474" s="24" t="s">
        <v>288</v>
      </c>
      <c r="L474" s="24" t="s">
        <v>288</v>
      </c>
      <c r="N474" s="265"/>
    </row>
    <row r="475" spans="1:14" s="52" customFormat="1" ht="12.2" customHeight="1" x14ac:dyDescent="0.2">
      <c r="A475" s="92" t="s">
        <v>426</v>
      </c>
      <c r="B475" s="75">
        <v>19</v>
      </c>
      <c r="C475" s="80">
        <v>7</v>
      </c>
      <c r="D475" s="2" t="s">
        <v>432</v>
      </c>
      <c r="E475" s="80"/>
      <c r="F475" s="53">
        <f>SUM(F473:F474)</f>
        <v>26518026.969999999</v>
      </c>
      <c r="G475" s="53">
        <f>SUM(G473:G474)</f>
        <v>582706</v>
      </c>
      <c r="H475" s="53">
        <f>SUM(H473:H474)</f>
        <v>840269.14999999991</v>
      </c>
      <c r="I475" s="53">
        <f>SUM(I473:I474)</f>
        <v>0</v>
      </c>
      <c r="J475" s="53">
        <f>SUM(J473:J474)</f>
        <v>94791.09</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764929.29000000283</v>
      </c>
      <c r="G477" s="53">
        <f>(G466+G471)- G475</f>
        <v>33822.5</v>
      </c>
      <c r="H477" s="53">
        <f>(H466+H471)- H475</f>
        <v>202343.70000000019</v>
      </c>
      <c r="I477" s="53">
        <f>(I466+I471)- I475</f>
        <v>0</v>
      </c>
      <c r="J477" s="53">
        <f>(J466+J471)- J475</f>
        <v>899708.33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1651</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1652</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15</v>
      </c>
      <c r="G491" s="154">
        <v>25</v>
      </c>
      <c r="H491" s="154">
        <v>25</v>
      </c>
      <c r="I491" s="154">
        <v>25</v>
      </c>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1644</v>
      </c>
      <c r="H492" s="155" t="s">
        <v>1645</v>
      </c>
      <c r="I492" s="155" t="s">
        <v>1646</v>
      </c>
      <c r="J492" s="154"/>
      <c r="K492" s="24" t="s">
        <v>288</v>
      </c>
      <c r="L492" s="24" t="s">
        <v>288</v>
      </c>
      <c r="N492" s="265"/>
    </row>
    <row r="493" spans="1:14" s="52" customFormat="1" ht="12.2" customHeight="1" x14ac:dyDescent="0.2">
      <c r="A493" s="22" t="s">
        <v>616</v>
      </c>
      <c r="B493" s="75">
        <v>20</v>
      </c>
      <c r="C493" s="115">
        <v>3</v>
      </c>
      <c r="D493" s="2" t="s">
        <v>432</v>
      </c>
      <c r="E493" s="115"/>
      <c r="F493" s="155" t="s">
        <v>1647</v>
      </c>
      <c r="G493" s="155" t="s">
        <v>1648</v>
      </c>
      <c r="H493" s="155" t="s">
        <v>1649</v>
      </c>
      <c r="I493" s="155" t="s">
        <v>1650</v>
      </c>
      <c r="J493" s="154"/>
      <c r="K493" s="24" t="s">
        <v>288</v>
      </c>
      <c r="L493" s="24" t="s">
        <v>288</v>
      </c>
      <c r="N493" s="265"/>
    </row>
    <row r="494" spans="1:14" s="52" customFormat="1" ht="12.2" customHeight="1" x14ac:dyDescent="0.2">
      <c r="A494" s="22" t="s">
        <v>617</v>
      </c>
      <c r="B494" s="75">
        <v>20</v>
      </c>
      <c r="C494" s="115">
        <v>4</v>
      </c>
      <c r="D494" s="2" t="s">
        <v>432</v>
      </c>
      <c r="E494" s="115"/>
      <c r="F494" s="18">
        <v>2012334</v>
      </c>
      <c r="G494" s="18">
        <v>4450000</v>
      </c>
      <c r="H494" s="18">
        <v>10000000</v>
      </c>
      <c r="I494" s="18">
        <v>7358000</v>
      </c>
      <c r="J494" s="18"/>
      <c r="K494" s="24" t="s">
        <v>288</v>
      </c>
      <c r="L494" s="24" t="s">
        <v>288</v>
      </c>
      <c r="N494" s="265"/>
    </row>
    <row r="495" spans="1:14" s="52" customFormat="1" ht="12.2" customHeight="1" x14ac:dyDescent="0.2">
      <c r="A495" s="22" t="s">
        <v>618</v>
      </c>
      <c r="B495" s="75">
        <v>20</v>
      </c>
      <c r="C495" s="115">
        <v>5</v>
      </c>
      <c r="D495" s="2" t="s">
        <v>432</v>
      </c>
      <c r="E495" s="115"/>
      <c r="F495" s="18">
        <v>2.59</v>
      </c>
      <c r="G495" s="18">
        <v>3.01</v>
      </c>
      <c r="H495" s="18">
        <v>4.12</v>
      </c>
      <c r="I495" s="18">
        <v>4.26</v>
      </c>
      <c r="J495" s="18"/>
      <c r="K495" s="24" t="s">
        <v>288</v>
      </c>
      <c r="L495" s="24" t="s">
        <v>288</v>
      </c>
      <c r="N495" s="265"/>
    </row>
    <row r="496" spans="1:14" s="52" customFormat="1" ht="12.2" customHeight="1" x14ac:dyDescent="0.2">
      <c r="A496" s="22" t="s">
        <v>619</v>
      </c>
      <c r="B496" s="75">
        <v>20</v>
      </c>
      <c r="C496" s="115">
        <v>6</v>
      </c>
      <c r="D496" s="2" t="s">
        <v>432</v>
      </c>
      <c r="E496" s="115"/>
      <c r="F496" s="18">
        <v>1544475.31</v>
      </c>
      <c r="G496" s="18">
        <v>3613165</v>
      </c>
      <c r="H496" s="18">
        <v>9040334</v>
      </c>
      <c r="I496" s="18">
        <v>6756836</v>
      </c>
      <c r="J496" s="18"/>
      <c r="K496" s="53">
        <f>SUM(F496:J496)</f>
        <v>20954810.310000002</v>
      </c>
      <c r="L496" s="24" t="s">
        <v>288</v>
      </c>
      <c r="N496" s="265"/>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120439.14</v>
      </c>
      <c r="G498" s="18">
        <v>129185.98</v>
      </c>
      <c r="H498" s="18">
        <v>274230.56</v>
      </c>
      <c r="I498" s="18">
        <v>194550.48</v>
      </c>
      <c r="J498" s="18"/>
      <c r="K498" s="53">
        <f t="shared" si="35"/>
        <v>718406.16</v>
      </c>
      <c r="L498" s="24" t="s">
        <v>288</v>
      </c>
      <c r="N498" s="265"/>
    </row>
    <row r="499" spans="1:14" s="52" customFormat="1" ht="12.2" customHeight="1" x14ac:dyDescent="0.2">
      <c r="A499" s="200" t="s">
        <v>622</v>
      </c>
      <c r="B499" s="201">
        <v>20</v>
      </c>
      <c r="C499" s="202">
        <v>9</v>
      </c>
      <c r="D499" s="203" t="s">
        <v>432</v>
      </c>
      <c r="E499" s="202"/>
      <c r="F499" s="204">
        <v>1424036.17</v>
      </c>
      <c r="G499" s="204">
        <v>3483979.02</v>
      </c>
      <c r="H499" s="204">
        <v>2766103.44</v>
      </c>
      <c r="I499" s="204">
        <v>6562285.5199999996</v>
      </c>
      <c r="J499" s="204"/>
      <c r="K499" s="205">
        <f t="shared" si="35"/>
        <v>14236404.149999999</v>
      </c>
      <c r="L499" s="206" t="s">
        <v>288</v>
      </c>
      <c r="N499" s="265"/>
    </row>
    <row r="500" spans="1:14" s="52" customFormat="1" ht="12.2" customHeight="1" thickBot="1" x14ac:dyDescent="0.25">
      <c r="A500" s="22" t="s">
        <v>623</v>
      </c>
      <c r="B500" s="75">
        <v>20</v>
      </c>
      <c r="C500" s="115">
        <v>10</v>
      </c>
      <c r="D500" s="2" t="s">
        <v>432</v>
      </c>
      <c r="E500" s="115"/>
      <c r="F500" s="18">
        <v>180560.39</v>
      </c>
      <c r="G500" s="18"/>
      <c r="H500" s="18"/>
      <c r="I500" s="18"/>
      <c r="J500" s="18"/>
      <c r="K500" s="53">
        <f t="shared" si="35"/>
        <v>180560.39</v>
      </c>
      <c r="L500" s="24" t="s">
        <v>288</v>
      </c>
      <c r="N500" s="265"/>
    </row>
    <row r="501" spans="1:14" s="52" customFormat="1" ht="12.2" customHeight="1" thickTop="1" x14ac:dyDescent="0.2">
      <c r="A501" s="139" t="s">
        <v>624</v>
      </c>
      <c r="B501" s="44">
        <v>20</v>
      </c>
      <c r="C501" s="195">
        <v>11</v>
      </c>
      <c r="D501" s="39" t="s">
        <v>432</v>
      </c>
      <c r="E501" s="195"/>
      <c r="F501" s="42">
        <f>SUM(F499:F500)</f>
        <v>1604596.56</v>
      </c>
      <c r="G501" s="42">
        <f>SUM(G499:G500)</f>
        <v>3483979.02</v>
      </c>
      <c r="H501" s="42">
        <f>SUM(H499:H500)</f>
        <v>2766103.44</v>
      </c>
      <c r="I501" s="42">
        <f>SUM(I499:I500)</f>
        <v>6562285.5199999996</v>
      </c>
      <c r="J501" s="42">
        <f>SUM(J499:J500)</f>
        <v>0</v>
      </c>
      <c r="K501" s="42">
        <f t="shared" si="35"/>
        <v>14416964.539999999</v>
      </c>
      <c r="L501" s="45" t="s">
        <v>288</v>
      </c>
      <c r="N501" s="265"/>
    </row>
    <row r="502" spans="1:14" s="52" customFormat="1" ht="12.2" customHeight="1" x14ac:dyDescent="0.2">
      <c r="A502" s="200" t="s">
        <v>651</v>
      </c>
      <c r="B502" s="201">
        <v>20</v>
      </c>
      <c r="C502" s="202">
        <v>12</v>
      </c>
      <c r="D502" s="203" t="s">
        <v>432</v>
      </c>
      <c r="E502" s="202"/>
      <c r="F502" s="204">
        <v>131653.26</v>
      </c>
      <c r="G502" s="204">
        <v>133421.71</v>
      </c>
      <c r="H502" s="204">
        <v>286755.18</v>
      </c>
      <c r="I502" s="204">
        <v>203784.06</v>
      </c>
      <c r="J502" s="204"/>
      <c r="K502" s="205">
        <f t="shared" si="35"/>
        <v>755614.21</v>
      </c>
      <c r="L502" s="206" t="s">
        <v>288</v>
      </c>
      <c r="N502" s="265"/>
    </row>
    <row r="503" spans="1:14" s="52" customFormat="1" ht="12.2" customHeight="1" thickBot="1" x14ac:dyDescent="0.25">
      <c r="A503" s="22" t="s">
        <v>625</v>
      </c>
      <c r="B503" s="75">
        <v>20</v>
      </c>
      <c r="C503" s="115">
        <v>13</v>
      </c>
      <c r="D503" s="2" t="s">
        <v>432</v>
      </c>
      <c r="E503" s="115"/>
      <c r="F503" s="18">
        <v>36403.74</v>
      </c>
      <c r="G503" s="18">
        <v>103047.77</v>
      </c>
      <c r="H503" s="18">
        <v>355830.3</v>
      </c>
      <c r="I503" s="18">
        <v>275615.58</v>
      </c>
      <c r="J503" s="18"/>
      <c r="K503" s="53">
        <f t="shared" si="35"/>
        <v>770897.39</v>
      </c>
      <c r="L503" s="24" t="s">
        <v>288</v>
      </c>
      <c r="N503" s="265"/>
    </row>
    <row r="504" spans="1:14" s="52" customFormat="1" ht="12.2" customHeight="1" thickTop="1" x14ac:dyDescent="0.2">
      <c r="A504" s="139" t="s">
        <v>626</v>
      </c>
      <c r="B504" s="44">
        <v>20</v>
      </c>
      <c r="C504" s="195">
        <v>14</v>
      </c>
      <c r="D504" s="39" t="s">
        <v>432</v>
      </c>
      <c r="E504" s="195"/>
      <c r="F504" s="42">
        <f>SUM(F502:F503)</f>
        <v>168057</v>
      </c>
      <c r="G504" s="42">
        <f>SUM(G502:G503)</f>
        <v>236469.47999999998</v>
      </c>
      <c r="H504" s="42">
        <f>SUM(H502:H503)</f>
        <v>642585.48</v>
      </c>
      <c r="I504" s="42">
        <f>SUM(I502:I503)</f>
        <v>479399.64</v>
      </c>
      <c r="J504" s="42">
        <f>SUM(J502:J503)</f>
        <v>0</v>
      </c>
      <c r="K504" s="42">
        <f t="shared" si="35"/>
        <v>1526511.6</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708463.5+1100866.74</f>
        <v>1809330.24</v>
      </c>
      <c r="G522" s="18">
        <f>832233.65+44664+134053+85081.14+126106.7</f>
        <v>1222138.49</v>
      </c>
      <c r="H522" s="18">
        <f>490.76+610836.69</f>
        <v>611327.44999999995</v>
      </c>
      <c r="I522" s="18">
        <f>423.14+15627.54</f>
        <v>16050.68</v>
      </c>
      <c r="J522" s="18">
        <f>3874.5</f>
        <v>3874.5</v>
      </c>
      <c r="K522" s="18"/>
      <c r="L522" s="88">
        <f>SUM(F522:K522)</f>
        <v>3662721.36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291434.48+132416.79</f>
        <v>423851.27</v>
      </c>
      <c r="G524" s="18">
        <f>214303.92+11236.66+30578.62+13236.18+51875.16</f>
        <v>321230.54000000004</v>
      </c>
      <c r="H524" s="18">
        <f>199738.53+225584.1+230.94+280350.59</f>
        <v>705904.16</v>
      </c>
      <c r="I524" s="18">
        <f>42.94+358.31+5505.74</f>
        <v>5906.99</v>
      </c>
      <c r="J524" s="18"/>
      <c r="K524" s="18"/>
      <c r="L524" s="88">
        <f>SUM(F524:K524)</f>
        <v>1456892.9600000002</v>
      </c>
      <c r="N524" s="265"/>
    </row>
    <row r="525" spans="1:14" s="52" customFormat="1" ht="12.2" customHeight="1" thickTop="1" x14ac:dyDescent="0.2">
      <c r="A525" s="139" t="s">
        <v>63</v>
      </c>
      <c r="B525" s="107">
        <v>21</v>
      </c>
      <c r="C525" s="195">
        <v>4</v>
      </c>
      <c r="D525" s="196" t="s">
        <v>432</v>
      </c>
      <c r="E525" s="195"/>
      <c r="F525" s="108">
        <f>SUM(F522:F524)</f>
        <v>2233181.5099999998</v>
      </c>
      <c r="G525" s="108">
        <f t="shared" ref="G525:L525" si="36">SUM(G522:G524)</f>
        <v>1543369.03</v>
      </c>
      <c r="H525" s="108">
        <f t="shared" si="36"/>
        <v>1317231.6099999999</v>
      </c>
      <c r="I525" s="108">
        <f t="shared" si="36"/>
        <v>21957.67</v>
      </c>
      <c r="J525" s="108">
        <f t="shared" si="36"/>
        <v>3874.5</v>
      </c>
      <c r="K525" s="108">
        <f t="shared" si="36"/>
        <v>0</v>
      </c>
      <c r="L525" s="89">
        <f t="shared" si="36"/>
        <v>5119614.32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305101.64+23551.13+105000.46</f>
        <v>433653.23000000004</v>
      </c>
      <c r="G527" s="18">
        <f>51261.19+9185.42+20536.97+37588.48+142.31+3390.17+28726.21+2601.01+2199.44+3097.87+408.72</f>
        <v>159137.79</v>
      </c>
      <c r="H527" s="18">
        <f>1860.19+331.11+5572.98+712603.91+1249.02</f>
        <v>721617.21000000008</v>
      </c>
      <c r="I527" s="18">
        <f>875.39</f>
        <v>875.39</v>
      </c>
      <c r="J527" s="18">
        <f>272.85</f>
        <v>272.85000000000002</v>
      </c>
      <c r="K527" s="18"/>
      <c r="L527" s="88">
        <f>SUM(F527:K527)</f>
        <v>1315556.47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f>107955.59+27135.42+28680.86</f>
        <v>163771.87</v>
      </c>
      <c r="G529" s="18">
        <f>24122.91+1273.22+13684.46+66.97+2020.48+9539.3+3031.15+146.52</f>
        <v>53885.009999999995</v>
      </c>
      <c r="H529" s="18">
        <f>155.82+342743.01</f>
        <v>342898.83</v>
      </c>
      <c r="I529" s="18"/>
      <c r="J529" s="18">
        <f>128.4</f>
        <v>128.4</v>
      </c>
      <c r="K529" s="18"/>
      <c r="L529" s="88">
        <f>SUM(F529:K529)</f>
        <v>560684.11</v>
      </c>
      <c r="M529" s="8"/>
      <c r="N529" s="266"/>
    </row>
    <row r="530" spans="1:14" s="3" customFormat="1" ht="12.2" customHeight="1" thickTop="1" x14ac:dyDescent="0.15">
      <c r="A530" s="139" t="s">
        <v>65</v>
      </c>
      <c r="B530" s="107">
        <v>21</v>
      </c>
      <c r="C530" s="107">
        <v>8</v>
      </c>
      <c r="D530" s="158" t="s">
        <v>432</v>
      </c>
      <c r="E530" s="107"/>
      <c r="F530" s="89">
        <f>SUM(F527:F529)</f>
        <v>597425.10000000009</v>
      </c>
      <c r="G530" s="89">
        <f t="shared" ref="G530:L530" si="37">SUM(G527:G529)</f>
        <v>213022.8</v>
      </c>
      <c r="H530" s="89">
        <f t="shared" si="37"/>
        <v>1064516.04</v>
      </c>
      <c r="I530" s="89">
        <f t="shared" si="37"/>
        <v>875.39</v>
      </c>
      <c r="J530" s="89">
        <f t="shared" si="37"/>
        <v>401.25</v>
      </c>
      <c r="K530" s="89">
        <f t="shared" si="37"/>
        <v>0</v>
      </c>
      <c r="L530" s="89">
        <f t="shared" si="37"/>
        <v>1876240.58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0.68*146668</f>
        <v>99734.24</v>
      </c>
      <c r="G532" s="18">
        <f>88747.41*0.68</f>
        <v>60348.238800000006</v>
      </c>
      <c r="H532" s="18">
        <f>646+4050.56+272.2</f>
        <v>4968.7599999999993</v>
      </c>
      <c r="I532" s="18"/>
      <c r="J532" s="18"/>
      <c r="K532" s="18"/>
      <c r="L532" s="88">
        <f>SUM(F532:K532)</f>
        <v>165051.23880000002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f>146668*0.32</f>
        <v>46933.760000000002</v>
      </c>
      <c r="G534" s="18">
        <f>88747.41*0.32</f>
        <v>28399.171200000001</v>
      </c>
      <c r="H534" s="18">
        <f>304+1906.15+128.1</f>
        <v>2338.25</v>
      </c>
      <c r="I534" s="18"/>
      <c r="J534" s="18"/>
      <c r="K534" s="18"/>
      <c r="L534" s="88">
        <f>SUM(F534:K534)</f>
        <v>77671.181200000006</v>
      </c>
      <c r="M534" s="8"/>
      <c r="N534" s="266"/>
    </row>
    <row r="535" spans="1:14" s="3" customFormat="1" ht="12.2" customHeight="1" thickTop="1" x14ac:dyDescent="0.15">
      <c r="A535" s="139" t="s">
        <v>67</v>
      </c>
      <c r="B535" s="107">
        <v>21</v>
      </c>
      <c r="C535" s="107">
        <v>12</v>
      </c>
      <c r="D535" s="158" t="s">
        <v>432</v>
      </c>
      <c r="E535" s="107"/>
      <c r="F535" s="89">
        <f>SUM(F532:F534)</f>
        <v>146668</v>
      </c>
      <c r="G535" s="89">
        <f t="shared" ref="G535:L535" si="38">SUM(G532:G534)</f>
        <v>88747.41</v>
      </c>
      <c r="H535" s="89">
        <f t="shared" si="38"/>
        <v>7307.0099999999993</v>
      </c>
      <c r="I535" s="89">
        <f t="shared" si="38"/>
        <v>0</v>
      </c>
      <c r="J535" s="89">
        <f t="shared" si="38"/>
        <v>0</v>
      </c>
      <c r="K535" s="89">
        <f t="shared" si="38"/>
        <v>0</v>
      </c>
      <c r="L535" s="89">
        <f t="shared" si="38"/>
        <v>242722.42000000004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f>3301.52</f>
        <v>3301.52</v>
      </c>
      <c r="I537" s="18"/>
      <c r="J537" s="18"/>
      <c r="K537" s="18"/>
      <c r="L537" s="88">
        <f>SUM(F537:K537)</f>
        <v>3301.52</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f>1553.66</f>
        <v>1553.66</v>
      </c>
      <c r="I539" s="18"/>
      <c r="J539" s="18"/>
      <c r="K539" s="18"/>
      <c r="L539" s="88">
        <f>SUM(F539:K539)</f>
        <v>1553.66</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4855.18</v>
      </c>
      <c r="I540" s="89">
        <f t="shared" si="39"/>
        <v>0</v>
      </c>
      <c r="J540" s="89">
        <f t="shared" si="39"/>
        <v>0</v>
      </c>
      <c r="K540" s="89">
        <f t="shared" si="39"/>
        <v>0</v>
      </c>
      <c r="L540" s="89">
        <f t="shared" si="39"/>
        <v>4855.18</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411558.6</f>
        <v>411558.6</v>
      </c>
      <c r="I542" s="18"/>
      <c r="J542" s="18"/>
      <c r="K542" s="18"/>
      <c r="L542" s="88">
        <f>SUM(F542:K542)</f>
        <v>411558.6</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f>193674.65</f>
        <v>193674.65</v>
      </c>
      <c r="I544" s="18"/>
      <c r="J544" s="18"/>
      <c r="K544" s="18"/>
      <c r="L544" s="88">
        <f>SUM(F544:K544)</f>
        <v>193674.65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605233.25</v>
      </c>
      <c r="I545" s="193">
        <f t="shared" si="40"/>
        <v>0</v>
      </c>
      <c r="J545" s="193">
        <f t="shared" si="40"/>
        <v>0</v>
      </c>
      <c r="K545" s="193">
        <f t="shared" si="40"/>
        <v>0</v>
      </c>
      <c r="L545" s="193">
        <f t="shared" si="40"/>
        <v>605233.25</v>
      </c>
      <c r="M545" s="8"/>
      <c r="N545" s="266"/>
    </row>
    <row r="546" spans="1:14" s="3" customFormat="1" ht="12.2" customHeight="1" thickTop="1" x14ac:dyDescent="0.15">
      <c r="A546" s="98" t="s">
        <v>72</v>
      </c>
      <c r="B546" s="107">
        <v>21</v>
      </c>
      <c r="C546" s="107">
        <v>21</v>
      </c>
      <c r="D546" s="158" t="s">
        <v>432</v>
      </c>
      <c r="E546" s="107"/>
      <c r="F546" s="89">
        <f>F525+F530+F535+F540+F545</f>
        <v>2977274.61</v>
      </c>
      <c r="G546" s="89">
        <f t="shared" ref="G546:L546" si="41">G525+G530+G535+G540+G545</f>
        <v>1845139.24</v>
      </c>
      <c r="H546" s="89">
        <f t="shared" si="41"/>
        <v>2999143.09</v>
      </c>
      <c r="I546" s="89">
        <f t="shared" si="41"/>
        <v>22833.059999999998</v>
      </c>
      <c r="J546" s="89">
        <f t="shared" si="41"/>
        <v>4275.75</v>
      </c>
      <c r="K546" s="89">
        <f t="shared" si="41"/>
        <v>0</v>
      </c>
      <c r="L546" s="89">
        <f t="shared" si="41"/>
        <v>7848665.75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3662721.36</v>
      </c>
      <c r="G550" s="87">
        <f>L527</f>
        <v>1315556.47</v>
      </c>
      <c r="H550" s="87">
        <f>L532</f>
        <v>165051.23880000002</v>
      </c>
      <c r="I550" s="87">
        <f>L537</f>
        <v>3301.52</v>
      </c>
      <c r="J550" s="87">
        <f>L542</f>
        <v>411558.6</v>
      </c>
      <c r="K550" s="87">
        <f>SUM(F550:J550)</f>
        <v>5558189.1887999997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1456892.9600000002</v>
      </c>
      <c r="G552" s="87">
        <f>L529</f>
        <v>560684.11</v>
      </c>
      <c r="H552" s="87">
        <f>L534</f>
        <v>77671.181200000006</v>
      </c>
      <c r="I552" s="87">
        <f>L539</f>
        <v>1553.66</v>
      </c>
      <c r="J552" s="87">
        <f>L544</f>
        <v>193674.65</v>
      </c>
      <c r="K552" s="87">
        <f>SUM(F552:J552)</f>
        <v>2290476.5612000003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5119614.32</v>
      </c>
      <c r="G553" s="89">
        <f t="shared" si="42"/>
        <v>1876240.58</v>
      </c>
      <c r="H553" s="89">
        <f t="shared" si="42"/>
        <v>242722.42000000004</v>
      </c>
      <c r="I553" s="89">
        <f t="shared" si="42"/>
        <v>4855.18</v>
      </c>
      <c r="J553" s="89">
        <f t="shared" si="42"/>
        <v>605233.25</v>
      </c>
      <c r="K553" s="89">
        <f t="shared" si="42"/>
        <v>7848665.75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f>199738.53</f>
        <v>199738.53</v>
      </c>
      <c r="I577" s="87">
        <f t="shared" ref="I577:I588" si="47">SUM(F577:H577)</f>
        <v>199738.53</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15091.68</v>
      </c>
      <c r="G579" s="18"/>
      <c r="H579" s="18"/>
      <c r="I579" s="87">
        <f t="shared" si="47"/>
        <v>15091.68</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595745.01</f>
        <v>595745.01</v>
      </c>
      <c r="G583" s="18"/>
      <c r="H583" s="18">
        <f>280350.59+225584.1</f>
        <v>505934.69000000006</v>
      </c>
      <c r="I583" s="87">
        <f t="shared" si="47"/>
        <v>1101679.7000000002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400008.57</v>
      </c>
      <c r="I586" s="87">
        <f t="shared" si="47"/>
        <v>400008.57</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615660.19*0.68</f>
        <v>418648.92920000001</v>
      </c>
      <c r="I592" s="18"/>
      <c r="J592" s="18">
        <f>615660.19*0.32</f>
        <v>197011.26079999999</v>
      </c>
      <c r="K592" s="104">
        <f t="shared" ref="K592:K598" si="48">SUM(H592:J592)</f>
        <v>615660.18999999994</v>
      </c>
      <c r="L592" s="24" t="s">
        <v>288</v>
      </c>
      <c r="M592" s="8"/>
      <c r="N592" s="266"/>
    </row>
    <row r="593" spans="1:14" s="3" customFormat="1" ht="12.2" customHeight="1" x14ac:dyDescent="0.15">
      <c r="A593" s="3" t="s">
        <v>638</v>
      </c>
      <c r="B593" s="75">
        <v>23</v>
      </c>
      <c r="C593" s="75">
        <v>2</v>
      </c>
      <c r="D593" s="2" t="s">
        <v>432</v>
      </c>
      <c r="E593" s="75"/>
      <c r="F593" s="102">
        <v>2722</v>
      </c>
      <c r="G593" s="103" t="s">
        <v>97</v>
      </c>
      <c r="H593" s="18">
        <f>605233.28*0.68</f>
        <v>411558.63040000002</v>
      </c>
      <c r="I593" s="18"/>
      <c r="J593" s="18">
        <f>605233.28*0.32</f>
        <v>193674.6496</v>
      </c>
      <c r="K593" s="104">
        <f t="shared" si="48"/>
        <v>605233.28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89813</f>
        <v>89813</v>
      </c>
      <c r="K594" s="104">
        <f t="shared" si="48"/>
        <v>89813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f>6607.36</f>
        <v>6607.36</v>
      </c>
      <c r="I595" s="18"/>
      <c r="J595" s="18">
        <f>34552.81</f>
        <v>34552.81</v>
      </c>
      <c r="K595" s="104">
        <f t="shared" si="48"/>
        <v>41160.17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2649.65+1425.45+3780.09</f>
        <v>7855.1900000000005</v>
      </c>
      <c r="I596" s="18"/>
      <c r="J596" s="18">
        <f>5129.4</f>
        <v>5129.3999999999996</v>
      </c>
      <c r="K596" s="104">
        <f t="shared" si="48"/>
        <v>12984.59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844670.10959999997</v>
      </c>
      <c r="I599" s="108">
        <f>SUM(I592:I598)</f>
        <v>0</v>
      </c>
      <c r="J599" s="108">
        <f>SUM(J592:J598)</f>
        <v>520181.12040000001</v>
      </c>
      <c r="K599" s="108">
        <f>SUM(K592:K598)</f>
        <v>1364851.23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103190.39+648.71+7400.56+4232.1+15806.65+3874.5+540.8+59945+23630.61+11800.86</f>
        <v>231070.18</v>
      </c>
      <c r="I605" s="18"/>
      <c r="J605" s="18">
        <f>48560.18+305.28+70467.64+5553.34+11120.29+3650</f>
        <v>139656.73000000001</v>
      </c>
      <c r="K605" s="104">
        <f>SUM(H605:J605)</f>
        <v>370726.91000000003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231070.18</v>
      </c>
      <c r="I606" s="108">
        <f>SUM(I603:I605)</f>
        <v>0</v>
      </c>
      <c r="J606" s="108">
        <f>SUM(J603:J605)</f>
        <v>139656.73000000001</v>
      </c>
      <c r="K606" s="108">
        <f>SUM(K603:K605)</f>
        <v>370726.91000000003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23551.13+20767.79</f>
        <v>44318.92</v>
      </c>
      <c r="G612" s="18">
        <f>3390.17+2199.44+3097.87</f>
        <v>8687.48</v>
      </c>
      <c r="H612" s="18">
        <f>5572.98+1249.02+15091.68</f>
        <v>21913.68</v>
      </c>
      <c r="I612" s="18"/>
      <c r="J612" s="18"/>
      <c r="K612" s="18"/>
      <c r="L612" s="88">
        <f>SUM(F612:K612)</f>
        <v>74920.079999999987</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44318.92</v>
      </c>
      <c r="G615" s="108">
        <f t="shared" si="49"/>
        <v>8687.48</v>
      </c>
      <c r="H615" s="108">
        <f t="shared" si="49"/>
        <v>21913.68</v>
      </c>
      <c r="I615" s="108">
        <f t="shared" si="49"/>
        <v>0</v>
      </c>
      <c r="J615" s="108">
        <f t="shared" si="49"/>
        <v>0</v>
      </c>
      <c r="K615" s="108">
        <f t="shared" si="49"/>
        <v>0</v>
      </c>
      <c r="L615" s="89">
        <f t="shared" si="49"/>
        <v>74920.079999999987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785975.59000000008</v>
      </c>
      <c r="H618" s="109">
        <f>SUM(F52)</f>
        <v>785975.59000000008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78229.090000000011</v>
      </c>
      <c r="H619" s="109">
        <f>SUM(G52)</f>
        <v>78229.09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159308.99</v>
      </c>
      <c r="H620" s="109">
        <f>SUM(H52)</f>
        <v>159308.99000000002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899708.33</v>
      </c>
      <c r="H622" s="109">
        <f>SUM(J52)</f>
        <v>899708.33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764929.29</v>
      </c>
      <c r="H623" s="109">
        <f>F477</f>
        <v>764929.29000000283</v>
      </c>
      <c r="I623" s="121" t="s">
        <v>101</v>
      </c>
      <c r="J623" s="109">
        <f t="shared" ref="J623:J656" si="50">G623-H623</f>
        <v>-2.7939677238464355E-9</v>
      </c>
      <c r="K623" s="109"/>
      <c r="L623" s="109"/>
      <c r="M623" s="8"/>
    </row>
    <row r="624" spans="1:14" s="3" customFormat="1" ht="12.2" customHeight="1" x14ac:dyDescent="0.15">
      <c r="A624" s="97"/>
      <c r="B624" s="105"/>
      <c r="C624" s="119"/>
      <c r="D624" s="119"/>
      <c r="E624" s="119"/>
      <c r="F624" s="119" t="s">
        <v>866</v>
      </c>
      <c r="G624" s="109">
        <f>G51</f>
        <v>33822.5</v>
      </c>
      <c r="H624" s="109">
        <f>G477</f>
        <v>33822.5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202343.7</v>
      </c>
      <c r="H625" s="109">
        <f>H477</f>
        <v>202343.70000000019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899708.33</v>
      </c>
      <c r="H627" s="109">
        <f>J477</f>
        <v>899708.33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26286225.090000004</v>
      </c>
      <c r="H628" s="104">
        <f>SUM(F469)</f>
        <v>26286225.09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580861.06000000006</v>
      </c>
      <c r="H629" s="104">
        <f>SUM(G469)</f>
        <v>580861.06000000006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841192.05999999994</v>
      </c>
      <c r="H630" s="104">
        <f>SUM(H469)</f>
        <v>841192.06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175000</v>
      </c>
      <c r="H632" s="104">
        <f>SUM(J469)</f>
        <v>175000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26518026.970000003</v>
      </c>
      <c r="H633" s="104">
        <f>SUM(F473)</f>
        <v>26518026.969999999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840269.15</v>
      </c>
      <c r="H634" s="104">
        <f>SUM(H473)</f>
        <v>840269.14999999991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582706</v>
      </c>
      <c r="H636" s="104">
        <f>SUM(G473)</f>
        <v>582706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175000</v>
      </c>
      <c r="H638" s="164">
        <f>SUM(J469)</f>
        <v>175000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90252.94</v>
      </c>
      <c r="H639" s="164">
        <f>SUM(J473)</f>
        <v>90252.94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899708.33</v>
      </c>
      <c r="H640" s="104">
        <f>SUM(F462)</f>
        <v>899708.33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899708.33</v>
      </c>
      <c r="H643" s="104">
        <f>SUM(I462)</f>
        <v>899708.33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175000</v>
      </c>
      <c r="H646" s="104">
        <f>G409</f>
        <v>175000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175000</v>
      </c>
      <c r="H647" s="104">
        <f>L409</f>
        <v>175000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1364851.23</v>
      </c>
      <c r="H648" s="104">
        <f>L209+L227+L245</f>
        <v>1364851.23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370726.91000000003</v>
      </c>
      <c r="H649" s="104">
        <f>(J258+J339)-(J256+J337)</f>
        <v>370726.91000000009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844670.1100000001</v>
      </c>
      <c r="H650" s="104">
        <f>H599</f>
        <v>844670.10959999997</v>
      </c>
      <c r="I650" s="140" t="s">
        <v>388</v>
      </c>
      <c r="J650" s="109">
        <f t="shared" si="50"/>
        <v>4.0000013541430235E-4</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520181.12</v>
      </c>
      <c r="H652" s="104">
        <f>J599</f>
        <v>520181.12040000001</v>
      </c>
      <c r="I652" s="140" t="s">
        <v>390</v>
      </c>
      <c r="J652" s="109">
        <f t="shared" si="50"/>
        <v>-4.0000001899898052E-4</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175000</v>
      </c>
      <c r="H656" s="104">
        <f>K267+K348</f>
        <v>175000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17347807.899999995</v>
      </c>
      <c r="G661" s="19">
        <f>(L230+L310+L360)</f>
        <v>0</v>
      </c>
      <c r="H661" s="19">
        <f>(L248+L329+L361)</f>
        <v>8764453.6800000016</v>
      </c>
      <c r="I661" s="19">
        <f>SUM(F661:H661)</f>
        <v>26112261.579999998</v>
      </c>
      <c r="J661" s="13"/>
      <c r="K661" s="13"/>
      <c r="L661" s="13"/>
      <c r="M661" s="9"/>
    </row>
    <row r="662" spans="1:13" s="3" customFormat="1" ht="12.2" customHeight="1" x14ac:dyDescent="0.2">
      <c r="A662" s="1" t="s">
        <v>127</v>
      </c>
      <c r="F662" s="19">
        <f>(L359/IF(SUM(L359:L361)=0,1,SUM(L359:L361))*(SUM(G97:G110)))</f>
        <v>107012.28000000001</v>
      </c>
      <c r="G662" s="19">
        <f>(L360/IF(SUM(L359:L361)=0,1,SUM(L359:L361))*(SUM(G97:G110)))</f>
        <v>0</v>
      </c>
      <c r="H662" s="19">
        <f>(L361/IF(SUM(L359:L361)=0,1,SUM(L359:L361))*(SUM(G97:G110)))</f>
        <v>50358.720000000001</v>
      </c>
      <c r="I662" s="19">
        <f>SUM(F662:H662)</f>
        <v>157371</v>
      </c>
      <c r="J662"/>
      <c r="K662" s="13"/>
      <c r="L662" s="13"/>
      <c r="M662" s="8"/>
    </row>
    <row r="663" spans="1:13" s="3" customFormat="1" ht="12.2" customHeight="1" x14ac:dyDescent="0.2">
      <c r="A663" s="1" t="s">
        <v>128</v>
      </c>
      <c r="F663" s="19">
        <f>(L209+L288)-(J209+J288)</f>
        <v>844670.1100000001</v>
      </c>
      <c r="G663" s="19">
        <f>(L227+L307)-(J227+J307)</f>
        <v>0</v>
      </c>
      <c r="H663" s="19">
        <f>(L245+L326)-(J245+J326)</f>
        <v>520181.12</v>
      </c>
      <c r="I663" s="19">
        <f>SUM(F663:H663)</f>
        <v>1364851.23</v>
      </c>
      <c r="J663"/>
      <c r="K663" s="13"/>
      <c r="L663" s="13"/>
      <c r="M663" s="9"/>
    </row>
    <row r="664" spans="1:13" s="3" customFormat="1" ht="12.2" customHeight="1" x14ac:dyDescent="0.15">
      <c r="A664" s="198" t="s">
        <v>129</v>
      </c>
      <c r="B664" s="169"/>
      <c r="C664" s="169"/>
      <c r="D664" s="169"/>
      <c r="E664" s="169"/>
      <c r="F664" s="199">
        <f>SUM(F576:F588)+SUM(H603:H605)+SUM(L612)</f>
        <v>916826.95000000007</v>
      </c>
      <c r="G664" s="199">
        <f>SUM(G576:G588)+SUM(I603:I605)+L613</f>
        <v>0</v>
      </c>
      <c r="H664" s="199">
        <f>SUM(H576:H588)+SUM(J603:J605)+L614</f>
        <v>1245338.52</v>
      </c>
      <c r="I664" s="19">
        <f>SUM(F664:H664)</f>
        <v>2162165.4700000002</v>
      </c>
      <c r="J664" s="13"/>
      <c r="K664" s="13"/>
      <c r="L664" s="13"/>
      <c r="M664" s="9"/>
    </row>
    <row r="665" spans="1:13" s="3" customFormat="1" ht="12.2" customHeight="1" x14ac:dyDescent="0.15">
      <c r="A665" s="1" t="s">
        <v>130</v>
      </c>
      <c r="F665" s="19">
        <f>F661-SUM(F662:F664)</f>
        <v>15479298.559999995</v>
      </c>
      <c r="G665" s="19">
        <f>G661-SUM(G662:G664)</f>
        <v>0</v>
      </c>
      <c r="H665" s="19">
        <f>H661-SUM(H662:H664)</f>
        <v>6948575.3200000022</v>
      </c>
      <c r="I665" s="19">
        <f>I661-SUM(I662:I664)</f>
        <v>22427873.879999999</v>
      </c>
      <c r="J665" s="13"/>
      <c r="K665" s="13"/>
      <c r="L665" s="13"/>
      <c r="M665" s="8"/>
    </row>
    <row r="666" spans="1:13" s="3" customFormat="1" ht="12.2" customHeight="1" x14ac:dyDescent="0.2">
      <c r="A666" s="1" t="s">
        <v>131</v>
      </c>
      <c r="F666" s="246">
        <f>20.35+85.49+650.85</f>
        <v>756.69</v>
      </c>
      <c r="G666" s="247"/>
      <c r="H666" s="247">
        <v>326.98</v>
      </c>
      <c r="I666" s="19">
        <f>SUM(F666:H666)</f>
        <v>1083.67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20456.59</v>
      </c>
      <c r="G668" s="19" t="e">
        <f>ROUND(G665/G666,2)</f>
        <v>#DIV/0!</v>
      </c>
      <c r="H668" s="19">
        <f>ROUND(H665/H666,2)</f>
        <v>21250.77</v>
      </c>
      <c r="I668" s="19">
        <f>ROUND(I665/I666,2)</f>
        <v>20696.22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-12.39</v>
      </c>
      <c r="I671" s="19">
        <f>SUM(F671:H671)</f>
        <v>-12.39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20456.59</v>
      </c>
      <c r="G673" s="19" t="e">
        <f>ROUND((G665+G670)/(G666+G671),2)</f>
        <v>#DIV/0!</v>
      </c>
      <c r="H673" s="19">
        <f>ROUND((H665+H670)/(H666+H671),2)</f>
        <v>22087.72</v>
      </c>
      <c r="I673" s="19">
        <f>ROUND((I665+I670)/(I666+I671),2)</f>
        <v>20935.59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Mascoma Valley Regional School District</v>
      </c>
      <c r="C5" s="344"/>
      <c r="D5" s="344"/>
      <c r="E5" s="344"/>
      <c r="F5" s="344"/>
    </row>
    <row r="8" spans="1:9" ht="18" x14ac:dyDescent="0.25">
      <c r="A8" s="323" t="s">
        <v>1591</v>
      </c>
      <c r="F8" s="330" t="s">
        <v>1609</v>
      </c>
    </row>
    <row r="9" spans="1:9" ht="15" x14ac:dyDescent="0.2">
      <c r="A9" s="321" t="s">
        <v>1592</v>
      </c>
      <c r="B9" s="324">
        <f>'DOE25'!G97</f>
        <v>157371</v>
      </c>
      <c r="F9" s="321" t="s">
        <v>1605</v>
      </c>
    </row>
    <row r="10" spans="1:9" ht="15" x14ac:dyDescent="0.2">
      <c r="A10" s="321" t="s">
        <v>1593</v>
      </c>
      <c r="B10" s="324">
        <f>'DOE25'!G112-'DOE25'!G97</f>
        <v>0</v>
      </c>
      <c r="F10" s="321" t="s">
        <v>1606</v>
      </c>
    </row>
    <row r="11" spans="1:9" ht="15" x14ac:dyDescent="0.2">
      <c r="A11" s="321" t="s">
        <v>1594</v>
      </c>
      <c r="B11" s="324">
        <f>'DOE25'!G140</f>
        <v>6285.72</v>
      </c>
      <c r="F11" s="321" t="s">
        <v>1607</v>
      </c>
    </row>
    <row r="12" spans="1:9" ht="15" x14ac:dyDescent="0.2">
      <c r="A12" s="321" t="s">
        <v>1595</v>
      </c>
      <c r="B12" s="324">
        <f>'DOE25'!G170</f>
        <v>417204.34</v>
      </c>
      <c r="F12" s="321" t="s">
        <v>1608</v>
      </c>
    </row>
    <row r="13" spans="1:9" ht="15" x14ac:dyDescent="0.2">
      <c r="A13" s="321" t="s">
        <v>1596</v>
      </c>
      <c r="B13" s="324">
        <f>'DOE25'!G193-'DOE25'!G180</f>
        <v>0</v>
      </c>
      <c r="F13" s="321" t="s">
        <v>1618</v>
      </c>
    </row>
    <row r="14" spans="1:9" ht="18" x14ac:dyDescent="0.25">
      <c r="A14" s="323" t="s">
        <v>732</v>
      </c>
      <c r="B14" s="325">
        <f>SUM(B9:B13)</f>
        <v>580861.06000000006</v>
      </c>
    </row>
    <row r="16" spans="1:9" ht="18" x14ac:dyDescent="0.25">
      <c r="A16" s="323" t="s">
        <v>786</v>
      </c>
      <c r="F16" s="330" t="s">
        <v>1610</v>
      </c>
    </row>
    <row r="17" spans="1:6" ht="15" x14ac:dyDescent="0.2">
      <c r="A17" s="321" t="s">
        <v>1597</v>
      </c>
      <c r="B17" s="324">
        <f>'DOE25'!L363-'DOE25'!L362</f>
        <v>582706</v>
      </c>
      <c r="F17" s="321" t="s">
        <v>1611</v>
      </c>
    </row>
    <row r="18" spans="1:6" ht="15" x14ac:dyDescent="0.2">
      <c r="A18" s="321" t="s">
        <v>1598</v>
      </c>
      <c r="B18" s="338"/>
      <c r="F18" s="330" t="s">
        <v>1637</v>
      </c>
    </row>
    <row r="19" spans="1:6" ht="18" x14ac:dyDescent="0.25">
      <c r="A19" s="323" t="s">
        <v>725</v>
      </c>
      <c r="B19" s="325">
        <f>SUM(B17:B18)</f>
        <v>582706</v>
      </c>
    </row>
    <row r="21" spans="1:6" ht="18.75" thickBot="1" x14ac:dyDescent="0.3">
      <c r="A21" s="323" t="s">
        <v>1599</v>
      </c>
    </row>
    <row r="22" spans="1:6" ht="18.75" thickTop="1" x14ac:dyDescent="0.25">
      <c r="A22" s="323" t="s">
        <v>1600</v>
      </c>
      <c r="B22" s="329">
        <f>B14-B19</f>
        <v>-1844.9399999999441</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35667.440000000002</v>
      </c>
      <c r="F31" s="321" t="s">
        <v>1615</v>
      </c>
    </row>
    <row r="33" spans="1:6" ht="15" x14ac:dyDescent="0.2">
      <c r="A33" s="321" t="s">
        <v>1641</v>
      </c>
      <c r="B33" s="324">
        <f>'DOE25'!G477</f>
        <v>33822.5</v>
      </c>
      <c r="F33" s="321" t="s">
        <v>1616</v>
      </c>
    </row>
    <row r="36" spans="1:6" ht="15" x14ac:dyDescent="0.2">
      <c r="A36" s="321" t="s">
        <v>1602</v>
      </c>
      <c r="B36" s="339">
        <v>45041.13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Mascoma Valley Regional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5872726.7300000004</v>
      </c>
      <c r="C9" s="229">
        <f>'DOE25'!G198+'DOE25'!G216+'DOE25'!G234+'DOE25'!G277+'DOE25'!G296+'DOE25'!G315</f>
        <v>3199649.71</v>
      </c>
    </row>
    <row r="10" spans="1:3" x14ac:dyDescent="0.2">
      <c r="A10" t="s">
        <v>775</v>
      </c>
      <c r="B10" s="240">
        <f>5308994.65+26630.97+20095.5</f>
        <v>5355721.12</v>
      </c>
      <c r="C10" s="240">
        <f>344936.02+311066.6+406614.27+481274.24+17669.19+15954.95+27508.69+27302.58+1777.91+1825.88+80174.38+65627.92+125037.41+119177.05+351.51+950922.18+1512.34+2625.07</f>
        <v>2981358.1899999995</v>
      </c>
    </row>
    <row r="11" spans="1:3" x14ac:dyDescent="0.2">
      <c r="A11" t="s">
        <v>776</v>
      </c>
      <c r="B11" s="240">
        <f>321745.93+2500</f>
        <v>324245.93</v>
      </c>
      <c r="C11" s="240">
        <f>23025.42+41152.1+1167.32+2149.4+210.42+11659.63+6124.52+1705.92+4694.45+53.78+206.76+0.96+3024.29+7098.66+179.24+279.24</f>
        <v>102732.11</v>
      </c>
    </row>
    <row r="12" spans="1:3" x14ac:dyDescent="0.2">
      <c r="A12" t="s">
        <v>777</v>
      </c>
      <c r="B12" s="240">
        <f>13858.25+11618.88+140384.17+11083.58+15814.8</f>
        <v>192759.67999999999</v>
      </c>
      <c r="C12" s="240">
        <f>474.3+85000+647+25.38+36.76+9217.49+888.81+544.19+131.87+66.27+886.18+3474.05+41.88+202.47+316.08+707.02+9185.44+441.32+2034.95+1237.95</f>
        <v>115559.41000000002</v>
      </c>
    </row>
    <row r="13" spans="1:3" x14ac:dyDescent="0.2">
      <c r="A13" t="str">
        <f>IF(B9=B13,IF(C9=C13,"Check Total OK","Check Total Error"),"Check Total Error")</f>
        <v>Check Total OK</v>
      </c>
      <c r="B13" s="231">
        <f>SUM(B10:B12)</f>
        <v>5872726.7299999995</v>
      </c>
      <c r="C13" s="231">
        <f>SUM(C10:C12)</f>
        <v>3199649.7099999995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2980010.19</v>
      </c>
      <c r="C18" s="229">
        <f>'DOE25'!G199+'DOE25'!G217+'DOE25'!G235+'DOE25'!G278+'DOE25'!G297+'DOE25'!G316</f>
        <v>1834864.4900000002</v>
      </c>
    </row>
    <row r="19" spans="1:3" x14ac:dyDescent="0.2">
      <c r="A19" t="s">
        <v>775</v>
      </c>
      <c r="B19" s="240">
        <f>139434.15+236076+332953.35+291434.48+23551.13</f>
        <v>1023449.11</v>
      </c>
      <c r="C19" s="240">
        <f>64897.48+78540+84354.16+122959.91+3179.46+5309.7+5773.04+6918.65+10348.67+17437.3+25131.11+21082.44+24819.27+42021.71+59265.75+51875.16+3390.17+3097.87</f>
        <v>630401.85000000021</v>
      </c>
    </row>
    <row r="20" spans="1:3" x14ac:dyDescent="0.2">
      <c r="A20" t="s">
        <v>776</v>
      </c>
      <c r="B20" s="240">
        <f>220447.52+434799.46+445619.76+132416.79+23285.85+20767.79</f>
        <v>1277337.1700000002</v>
      </c>
      <c r="C20" s="240">
        <f>80924.64+247018.01+276499.35+91344.01+4295.55+12570.55+13535.7+4318.01+16402.64+32178.93+32554.35+9496.18+10377.89+32975.18+41728.07+13236.18+17390.06+753.66+1726.08+2601.01+2199.44</f>
        <v>944125.49000000022</v>
      </c>
    </row>
    <row r="21" spans="1:3" x14ac:dyDescent="0.2">
      <c r="A21" t="s">
        <v>777</v>
      </c>
      <c r="B21" s="240">
        <f>94350+337361.23+11645.52+64050.48+52318+61792.33+27835.35+2735.58+27135.42</f>
        <v>679223.90999999992</v>
      </c>
      <c r="C21" s="240">
        <f>43173.02+32211.08+9185.42+49604.28+2370.06+1608.75+441.32+2974.84+257.78+358.68+2129.4+25349.32+4307.74+890.92+4668.62+10761.68+22908.08+6902.24+1300.8+7154.39+5844.1+16794.42+408.72+2768.18+209.28+486.93+69.06+2020.48+3031.15+146.52-0.11</f>
        <v>260337.15</v>
      </c>
    </row>
    <row r="22" spans="1:3" x14ac:dyDescent="0.2">
      <c r="A22" t="str">
        <f>IF(B18=B22,IF(C18=C22,"Check Total OK","Check Total Error"),"Check Total Error")</f>
        <v>Check Total OK</v>
      </c>
      <c r="B22" s="231">
        <f>SUM(B19:B21)</f>
        <v>2980010.1900000004</v>
      </c>
      <c r="C22" s="231">
        <f>SUM(C19:C21)</f>
        <v>1834864.4900000002</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125585.54000000001</v>
      </c>
      <c r="C36" s="235">
        <f>'DOE25'!G201+'DOE25'!G219+'DOE25'!G237+'DOE25'!G280+'DOE25'!G299+'DOE25'!G318</f>
        <v>33786.159999999996</v>
      </c>
    </row>
    <row r="37" spans="1:3" x14ac:dyDescent="0.2">
      <c r="A37" t="s">
        <v>775</v>
      </c>
      <c r="B37" s="240"/>
      <c r="C37" s="240"/>
    </row>
    <row r="38" spans="1:3" x14ac:dyDescent="0.2">
      <c r="A38" t="s">
        <v>776</v>
      </c>
      <c r="B38" s="240"/>
      <c r="C38" s="240"/>
    </row>
    <row r="39" spans="1:3" x14ac:dyDescent="0.2">
      <c r="A39" t="s">
        <v>777</v>
      </c>
      <c r="B39" s="240">
        <f>125585.54</f>
        <v>125585.54</v>
      </c>
      <c r="C39" s="240">
        <f>9185.44+1489.48+9508+1337.99+12265.25</f>
        <v>33786.160000000003</v>
      </c>
    </row>
    <row r="40" spans="1:3" x14ac:dyDescent="0.2">
      <c r="A40" t="str">
        <f>IF(B36=B40,IF(C36=C40,"Check Total OK","Check Total Error"),"Check Total Error")</f>
        <v>Check Total OK</v>
      </c>
      <c r="B40" s="231">
        <f>SUM(B37:B39)</f>
        <v>125585.54</v>
      </c>
      <c r="C40" s="231">
        <f>SUM(C37:C39)</f>
        <v>33786.160000000003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Mascoma Valley Regional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16616693.710000001</v>
      </c>
      <c r="D5" s="20">
        <f>SUM('DOE25'!L198:L201)+SUM('DOE25'!L216:L219)+SUM('DOE25'!L234:L237)-F5-G5-H5</f>
        <v>16413803.560000001</v>
      </c>
      <c r="E5" s="243"/>
      <c r="F5" s="244"/>
      <c r="G5" s="53">
        <f>SUM('DOE25'!J198:J201)+SUM('DOE25'!J216:J219)+SUM('DOE25'!J234:J237)</f>
        <v>186509.15000000002</v>
      </c>
      <c r="H5" s="53">
        <f>SUM('DOE25'!K198:K201)+SUM('DOE25'!K216:K219)+SUM('DOE25'!K234:K237)</f>
        <v>16381</v>
      </c>
      <c r="I5" s="256"/>
    </row>
    <row r="6" spans="1:9" x14ac:dyDescent="0.2">
      <c r="A6" s="32">
        <v>2100</v>
      </c>
      <c r="B6" t="s">
        <v>796</v>
      </c>
      <c r="C6" s="276">
        <f t="shared" si="0"/>
        <v>1470903.92</v>
      </c>
      <c r="D6" s="20">
        <f>'DOE25'!L203+'DOE25'!L221+'DOE25'!L239-F6-G6-H6</f>
        <v>1470753.92</v>
      </c>
      <c r="E6" s="243"/>
      <c r="F6" s="244"/>
      <c r="G6" s="53">
        <f>'DOE25'!J203+'DOE25'!J221+'DOE25'!J239</f>
        <v>0</v>
      </c>
      <c r="H6" s="53">
        <f>'DOE25'!K203+'DOE25'!K221+'DOE25'!K239</f>
        <v>150</v>
      </c>
      <c r="I6" s="256"/>
    </row>
    <row r="7" spans="1:9" x14ac:dyDescent="0.2">
      <c r="A7" s="32">
        <v>2200</v>
      </c>
      <c r="B7" t="s">
        <v>821</v>
      </c>
      <c r="C7" s="276">
        <f t="shared" si="0"/>
        <v>435134.71999999997</v>
      </c>
      <c r="D7" s="20">
        <f>'DOE25'!L204+'DOE25'!L222+'DOE25'!L240-F7-G7-H7</f>
        <v>427577.12</v>
      </c>
      <c r="E7" s="243"/>
      <c r="F7" s="244"/>
      <c r="G7" s="53">
        <f>'DOE25'!J204+'DOE25'!J222+'DOE25'!J240</f>
        <v>7557.6</v>
      </c>
      <c r="H7" s="53">
        <f>'DOE25'!K204+'DOE25'!K222+'DOE25'!K240</f>
        <v>0</v>
      </c>
      <c r="I7" s="256"/>
    </row>
    <row r="8" spans="1:9" x14ac:dyDescent="0.2">
      <c r="A8" s="32">
        <v>2300</v>
      </c>
      <c r="B8" t="s">
        <v>797</v>
      </c>
      <c r="C8" s="276">
        <f t="shared" si="0"/>
        <v>1467264.38</v>
      </c>
      <c r="D8" s="243"/>
      <c r="E8" s="20">
        <f>'DOE25'!L205+'DOE25'!L223+'DOE25'!L241-F8-G8-H8-D9-D11</f>
        <v>1454552.3399999999</v>
      </c>
      <c r="F8" s="244"/>
      <c r="G8" s="53">
        <f>'DOE25'!J205+'DOE25'!J223+'DOE25'!J241</f>
        <v>953.99</v>
      </c>
      <c r="H8" s="53">
        <f>'DOE25'!K205+'DOE25'!K223+'DOE25'!K241</f>
        <v>11758.05</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1432133.78</v>
      </c>
      <c r="D12" s="20">
        <f>'DOE25'!L206+'DOE25'!L224+'DOE25'!L242-F12-G12-H12</f>
        <v>1426413.4800000002</v>
      </c>
      <c r="E12" s="243"/>
      <c r="F12" s="244"/>
      <c r="G12" s="53">
        <f>'DOE25'!J206+'DOE25'!J224+'DOE25'!J242</f>
        <v>1495.41</v>
      </c>
      <c r="H12" s="53">
        <f>'DOE25'!K206+'DOE25'!K224+'DOE25'!K242</f>
        <v>4224.8899999999994</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1793934.2100000002</v>
      </c>
      <c r="D14" s="20">
        <f>'DOE25'!L208+'DOE25'!L226+'DOE25'!L244-F14-G14-H14</f>
        <v>1739838.85</v>
      </c>
      <c r="E14" s="243"/>
      <c r="F14" s="244"/>
      <c r="G14" s="53">
        <f>'DOE25'!J208+'DOE25'!J226+'DOE25'!J244</f>
        <v>54095.360000000001</v>
      </c>
      <c r="H14" s="53">
        <f>'DOE25'!K208+'DOE25'!K226+'DOE25'!K244</f>
        <v>0</v>
      </c>
      <c r="I14" s="256"/>
    </row>
    <row r="15" spans="1:9" x14ac:dyDescent="0.2">
      <c r="A15" s="32">
        <v>2700</v>
      </c>
      <c r="B15" t="s">
        <v>799</v>
      </c>
      <c r="C15" s="276">
        <f t="shared" si="0"/>
        <v>1364851.23</v>
      </c>
      <c r="D15" s="20">
        <f>'DOE25'!L209+'DOE25'!L227+'DOE25'!L245-F15-G15-H15</f>
        <v>1364851.23</v>
      </c>
      <c r="E15" s="243"/>
      <c r="F15" s="244"/>
      <c r="G15" s="53">
        <f>'DOE25'!J209+'DOE25'!J227+'DOE25'!J245</f>
        <v>0</v>
      </c>
      <c r="H15" s="53">
        <f>'DOE25'!K209+'DOE25'!K227+'DOE25'!K245</f>
        <v>0</v>
      </c>
      <c r="I15" s="256"/>
    </row>
    <row r="16" spans="1:9" x14ac:dyDescent="0.2">
      <c r="A16" s="32">
        <v>2800</v>
      </c>
      <c r="B16" t="s">
        <v>800</v>
      </c>
      <c r="C16" s="276">
        <f t="shared" si="0"/>
        <v>108370.48</v>
      </c>
      <c r="D16" s="243"/>
      <c r="E16" s="20">
        <f>'DOE25'!L210+'DOE25'!L228+'DOE25'!L246-F16-G16-H16</f>
        <v>108370.48</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90252.94</v>
      </c>
      <c r="D22" s="243"/>
      <c r="E22" s="243"/>
      <c r="F22" s="243"/>
      <c r="G22" s="53">
        <f>'DOE25'!L256+'DOE25'!L337</f>
        <v>90252.94</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1518487.6</v>
      </c>
      <c r="D25" s="243"/>
      <c r="E25" s="243"/>
      <c r="F25" s="255"/>
      <c r="G25" s="253"/>
      <c r="H25" s="253"/>
      <c r="I25" s="254">
        <f>'DOE25'!L261+'DOE25'!L262+'DOE25'!L342+'DOE25'!L343</f>
        <v>1518487.6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582706</v>
      </c>
      <c r="D29" s="284">
        <f>'DOE25'!L359+'DOE25'!L360+'DOE25'!L361-'DOE25'!I368-F29-G29-H29</f>
        <v>582706</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840269.15</v>
      </c>
      <c r="D31" s="20">
        <f>'DOE25'!L291+'DOE25'!L310+'DOE25'!L329+'DOE25'!L334+'DOE25'!L335+'DOE25'!L336-F31-G31-H31</f>
        <v>714747.83</v>
      </c>
      <c r="E31" s="243"/>
      <c r="F31" s="244"/>
      <c r="G31" s="53">
        <f>'DOE25'!J291+'DOE25'!J310+'DOE25'!J329+'DOE25'!J334+'DOE25'!J335+'DOE25'!J336</f>
        <v>120115.40000000001</v>
      </c>
      <c r="H31" s="53">
        <f>'DOE25'!K291+'DOE25'!K310+'DOE25'!K329+'DOE25'!K334+'DOE25'!K335+'DOE25'!K336</f>
        <v>5405.92</v>
      </c>
      <c r="I31" s="256"/>
    </row>
    <row r="32" spans="1:9" ht="12" thickBot="1" x14ac:dyDescent="0.25">
      <c r="C32" s="277"/>
      <c r="G32" s="251"/>
      <c r="H32" s="251"/>
      <c r="I32" s="258"/>
    </row>
    <row r="33" spans="1:9" ht="12" thickTop="1" x14ac:dyDescent="0.2">
      <c r="B33" t="s">
        <v>809</v>
      </c>
      <c r="D33" s="245">
        <f t="shared" ref="D33:I33" si="1">SUM(D5:D31)</f>
        <v>24140691.990000002</v>
      </c>
      <c r="E33" s="245">
        <f t="shared" si="1"/>
        <v>1562922.8199999998</v>
      </c>
      <c r="F33" s="245">
        <f t="shared" si="1"/>
        <v>0</v>
      </c>
      <c r="G33" s="245">
        <f t="shared" si="1"/>
        <v>460979.85000000003</v>
      </c>
      <c r="H33" s="245">
        <f t="shared" si="1"/>
        <v>37919.86</v>
      </c>
      <c r="I33" s="245">
        <f t="shared" si="1"/>
        <v>1518487.6</v>
      </c>
    </row>
    <row r="35" spans="1:9" ht="12" thickBot="1" x14ac:dyDescent="0.25">
      <c r="B35" s="251" t="s">
        <v>831</v>
      </c>
      <c r="D35" s="252">
        <f>E33</f>
        <v>1562922.8199999998</v>
      </c>
      <c r="E35" s="248"/>
    </row>
    <row r="36" spans="1:9" ht="12" thickTop="1" x14ac:dyDescent="0.2">
      <c r="B36" t="s">
        <v>810</v>
      </c>
      <c r="D36" s="20">
        <f>D33</f>
        <v>24140691.990000002</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Mascoma Valley Regional School District</v>
      </c>
      <c r="B2" s="126">
        <f>'DOE25'!B2</f>
        <v>343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16951567.82</v>
      </c>
      <c r="G4" s="303">
        <f>'DOE25'!L212+'DOE25'!L291</f>
        <v>16951567.819999997</v>
      </c>
      <c r="H4" s="337">
        <f>F4-G4</f>
        <v>0</v>
      </c>
      <c r="I4" s="309" t="str">
        <f>IF(H4=0,"","Does not match DOE25 page 7 and 11 Totals!!")</f>
        <v/>
      </c>
      <c r="N4"/>
    </row>
    <row r="5" spans="1:18" x14ac:dyDescent="0.2">
      <c r="A5" s="21" t="s">
        <v>1244</v>
      </c>
      <c r="B5" s="304">
        <f>IFERROR(VLOOKUP(A5,'School Tables'!$C$3:$D$365,2,FALSE),"")</f>
        <v>21315</v>
      </c>
      <c r="C5" s="297" t="str">
        <f>IFERROR(INDEX('School Tables'!$B$3:$B$365,MATCH('School Level Expenditures'!B5,'School Tables'!$D$3:$D$365,0)),"")</f>
        <v>Mascoma Valley Regional</v>
      </c>
      <c r="D5" s="294">
        <f>3214548.43+1158613.08+20949.55</f>
        <v>4394111.0599999996</v>
      </c>
      <c r="E5" s="294">
        <f>322875.38</f>
        <v>322875.38</v>
      </c>
      <c r="F5" s="312">
        <f>D5+E5</f>
        <v>4716986.4399999995</v>
      </c>
      <c r="G5" s="297"/>
      <c r="H5" s="297"/>
      <c r="I5" s="126"/>
      <c r="N5"/>
    </row>
    <row r="6" spans="1:18" x14ac:dyDescent="0.2">
      <c r="A6" s="21" t="s">
        <v>1245</v>
      </c>
      <c r="B6" s="304">
        <f>IFERROR(VLOOKUP(A6,'School Tables'!$C$3:$D$365,2,FALSE),"")</f>
        <v>21325</v>
      </c>
      <c r="C6" s="297" t="str">
        <f>IFERROR(INDEX('School Tables'!$B$3:$B$365,MATCH('School Level Expenditures'!B6,'School Tables'!$D$3:$D$365,0)),"")</f>
        <v>Mascoma Valley Regional</v>
      </c>
      <c r="D6" s="294">
        <f>3506378.42+1029919.09+18704.96</f>
        <v>4555002.47</v>
      </c>
      <c r="E6" s="294">
        <f>153221.68</f>
        <v>153221.68</v>
      </c>
      <c r="F6" s="307">
        <f t="shared" ref="F6:F20" si="0">D6+E6</f>
        <v>4708224.1499999994</v>
      </c>
      <c r="G6" s="297"/>
      <c r="H6" s="297"/>
      <c r="I6" s="126"/>
      <c r="N6"/>
    </row>
    <row r="7" spans="1:18" x14ac:dyDescent="0.2">
      <c r="A7" s="21" t="s">
        <v>1246</v>
      </c>
      <c r="B7" s="304">
        <f>IFERROR(VLOOKUP(A7,'School Tables'!$C$3:$D$365,2,FALSE),"")</f>
        <v>26405</v>
      </c>
      <c r="C7" s="297" t="str">
        <f>IFERROR(INDEX('School Tables'!$B$3:$B$365,MATCH('School Level Expenditures'!B7,'School Tables'!$D$3:$D$365,0)),"")</f>
        <v>Mascoma Valley Regional</v>
      </c>
      <c r="D7" s="294">
        <f>5268527.42+2145839.88+35165.31</f>
        <v>7449532.6099999994</v>
      </c>
      <c r="E7" s="294">
        <f>76824.62</f>
        <v>76824.62</v>
      </c>
      <c r="F7" s="307">
        <f t="shared" si="0"/>
        <v>7526357.2299999995</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8577987.7599999998</v>
      </c>
      <c r="G36" s="303">
        <f>'DOE25'!L248+'DOE25'!L329</f>
        <v>8577987.7600000016</v>
      </c>
      <c r="H36" s="337">
        <f>F36-G36</f>
        <v>0</v>
      </c>
      <c r="I36" s="309" t="str">
        <f>IF(H36=0,"","Does not match DOE25 page 9 and 13 Totals!!")</f>
        <v/>
      </c>
      <c r="N36"/>
    </row>
    <row r="37" spans="1:14" x14ac:dyDescent="0.2">
      <c r="A37" s="21" t="s">
        <v>1243</v>
      </c>
      <c r="B37" s="304">
        <f>IFERROR(VLOOKUP(A37,'School Tables'!$O$3:$P$118,2,FALSE),"")</f>
        <v>21305</v>
      </c>
      <c r="C37" s="297" t="str">
        <f t="array" ref="C37">IFERROR(INDEX('School Tables'!$N$3:$N$118,MATCH('School Level Expenditures'!B37,'School Tables'!$P$3:$P$118,0)),"")</f>
        <v>Mascoma Valley Regional</v>
      </c>
      <c r="D37" s="294">
        <f>6113022.66+2067956.13+280188.75</f>
        <v>8461167.5399999991</v>
      </c>
      <c r="E37" s="294">
        <f>116820.22</f>
        <v>116820.22</v>
      </c>
      <c r="F37" s="307">
        <f>D37+E37</f>
        <v>8577987.7599999998</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Mascoma Valley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959355.91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-221464.11</v>
      </c>
      <c r="D11" s="95">
        <f>'DOE25'!G12</f>
        <v>0</v>
      </c>
      <c r="E11" s="95">
        <f>'DOE25'!H12</f>
        <v>0</v>
      </c>
      <c r="F11" s="95">
        <f>'DOE25'!I12</f>
        <v>0</v>
      </c>
      <c r="G11" s="95">
        <f>'DOE25'!J12</f>
        <v>899708.33</v>
      </c>
      <c r="H11" s="124"/>
      <c r="I11" s="124"/>
    </row>
    <row r="12" spans="1:9" x14ac:dyDescent="0.2">
      <c r="A12" s="1" t="s">
        <v>143</v>
      </c>
      <c r="B12" s="6">
        <v>140</v>
      </c>
      <c r="C12" s="95">
        <f>'DOE25'!F13</f>
        <v>1227</v>
      </c>
      <c r="D12" s="95">
        <f>'DOE25'!G13</f>
        <v>74482.740000000005</v>
      </c>
      <c r="E12" s="95">
        <f>'DOE25'!H13</f>
        <v>159308.99</v>
      </c>
      <c r="F12" s="95">
        <f>'DOE25'!I13</f>
        <v>0</v>
      </c>
      <c r="G12" s="95">
        <f>'DOE25'!J13</f>
        <v>0</v>
      </c>
      <c r="H12" s="124"/>
      <c r="I12" s="124"/>
    </row>
    <row r="13" spans="1:9" x14ac:dyDescent="0.2">
      <c r="A13" s="1" t="s">
        <v>144</v>
      </c>
      <c r="B13" s="6">
        <v>150</v>
      </c>
      <c r="C13" s="95">
        <f>'DOE25'!F14</f>
        <v>46856.79</v>
      </c>
      <c r="D13" s="95">
        <f>'DOE25'!G14</f>
        <v>3746.35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785975.59000000008</v>
      </c>
      <c r="D18" s="41">
        <f>SUM(D8:D17)</f>
        <v>78229.090000000011</v>
      </c>
      <c r="E18" s="41">
        <f>SUM(E8:E17)</f>
        <v>159308.99</v>
      </c>
      <c r="F18" s="41">
        <f>SUM(F8:F17)</f>
        <v>0</v>
      </c>
      <c r="G18" s="41">
        <f>SUM(G8:G17)</f>
        <v>899708.33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-148093.18</v>
      </c>
      <c r="D21" s="95">
        <f>'DOE25'!G22</f>
        <v>-30336.22</v>
      </c>
      <c r="E21" s="95">
        <f>'DOE25'!H22</f>
        <v>-43034.71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100033.43</v>
      </c>
      <c r="D23" s="95">
        <f>'DOE25'!G24</f>
        <v>53704.2</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67892.03</v>
      </c>
      <c r="D27" s="95">
        <f>'DOE25'!G28</f>
        <v>0</v>
      </c>
      <c r="E27" s="95">
        <f>'DOE25'!H28</f>
        <v>0</v>
      </c>
      <c r="F27" s="95">
        <f>'DOE25'!I28</f>
        <v>0</v>
      </c>
      <c r="G27" s="24" t="s">
        <v>288</v>
      </c>
      <c r="H27" s="124"/>
      <c r="I27" s="124"/>
    </row>
    <row r="28" spans="1:9" x14ac:dyDescent="0.2">
      <c r="A28" s="1" t="s">
        <v>157</v>
      </c>
      <c r="B28" s="6">
        <v>470</v>
      </c>
      <c r="C28" s="95">
        <f>'DOE25'!F29</f>
        <v>1212.55</v>
      </c>
      <c r="D28" s="95">
        <f>'DOE25'!G29</f>
        <v>0</v>
      </c>
      <c r="E28" s="95">
        <f>'DOE25'!H29</f>
        <v>0</v>
      </c>
      <c r="F28" s="95">
        <f>'DOE25'!I29</f>
        <v>0</v>
      </c>
      <c r="G28" s="24" t="s">
        <v>288</v>
      </c>
      <c r="H28" s="124"/>
      <c r="I28" s="124"/>
    </row>
    <row r="29" spans="1:9" x14ac:dyDescent="0.2">
      <c r="A29" s="1" t="s">
        <v>158</v>
      </c>
      <c r="B29" s="6">
        <v>480</v>
      </c>
      <c r="C29" s="95">
        <f>'DOE25'!F30</f>
        <v>1.47</v>
      </c>
      <c r="D29" s="95">
        <f>'DOE25'!G30</f>
        <v>21038.61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21046.3</v>
      </c>
      <c r="D31" s="41">
        <f>SUM(D21:D30)</f>
        <v>44406.59</v>
      </c>
      <c r="E31" s="41">
        <f>SUM(E21:E30)</f>
        <v>-43034.71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180000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33822.5</v>
      </c>
      <c r="E47" s="95">
        <f>'DOE25'!H48</f>
        <v>202343.7</v>
      </c>
      <c r="F47" s="95">
        <f>'DOE25'!I48</f>
        <v>0</v>
      </c>
      <c r="G47" s="95">
        <f>'DOE25'!J48</f>
        <v>899708.33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484929.29</v>
      </c>
      <c r="D49" s="24" t="s">
        <v>288</v>
      </c>
      <c r="E49" s="24" t="s">
        <v>288</v>
      </c>
      <c r="F49" s="24" t="s">
        <v>288</v>
      </c>
      <c r="G49" s="24" t="s">
        <v>288</v>
      </c>
      <c r="H49" s="124"/>
      <c r="I49" s="124"/>
    </row>
    <row r="50" spans="1:9" ht="12.75" thickTop="1" thickBot="1" x14ac:dyDescent="0.25">
      <c r="A50" s="38" t="s">
        <v>884</v>
      </c>
      <c r="B50" s="48"/>
      <c r="C50" s="41">
        <f>SUM(C34:C49)</f>
        <v>764929.29</v>
      </c>
      <c r="D50" s="41">
        <f>SUM(D34:D49)</f>
        <v>33822.5</v>
      </c>
      <c r="E50" s="41">
        <f>SUM(E34:E49)</f>
        <v>202343.7</v>
      </c>
      <c r="F50" s="41">
        <f>SUM(F34:F49)</f>
        <v>0</v>
      </c>
      <c r="G50" s="41">
        <f>SUM(G34:G49)</f>
        <v>899708.33</v>
      </c>
      <c r="H50" s="124"/>
      <c r="I50" s="124"/>
    </row>
    <row r="51" spans="1:9" ht="12" thickTop="1" x14ac:dyDescent="0.2">
      <c r="A51" s="38" t="s">
        <v>885</v>
      </c>
      <c r="B51" s="2"/>
      <c r="C51" s="41">
        <f>C50+C31</f>
        <v>785975.59000000008</v>
      </c>
      <c r="D51" s="41">
        <f>D50+D31</f>
        <v>78229.09</v>
      </c>
      <c r="E51" s="41">
        <f>E50+E31</f>
        <v>159308.99000000002</v>
      </c>
      <c r="F51" s="41">
        <f>F50+F31</f>
        <v>0</v>
      </c>
      <c r="G51" s="41">
        <f>G50+G31</f>
        <v>899708.33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18734274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58681</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6727.45</v>
      </c>
      <c r="D59" s="95">
        <f>'DOE25'!G96</f>
        <v>0</v>
      </c>
      <c r="E59" s="95">
        <f>'DOE25'!H96</f>
        <v>0</v>
      </c>
      <c r="F59" s="95">
        <f>'DOE25'!I96</f>
        <v>0</v>
      </c>
      <c r="G59" s="95">
        <f>'DOE25'!J96</f>
        <v>0</v>
      </c>
      <c r="H59"/>
      <c r="I59"/>
    </row>
    <row r="60" spans="1:9" x14ac:dyDescent="0.2">
      <c r="A60" s="1" t="s">
        <v>170</v>
      </c>
      <c r="B60" s="118" t="s">
        <v>171</v>
      </c>
      <c r="C60" s="24" t="s">
        <v>288</v>
      </c>
      <c r="D60" s="95">
        <f>'DOE25'!G97</f>
        <v>157371</v>
      </c>
      <c r="E60" s="24" t="s">
        <v>288</v>
      </c>
      <c r="F60" s="24" t="s">
        <v>288</v>
      </c>
      <c r="G60" s="24" t="s">
        <v>288</v>
      </c>
      <c r="H60"/>
      <c r="I60"/>
    </row>
    <row r="61" spans="1:9" ht="12" thickBot="1" x14ac:dyDescent="0.25">
      <c r="A61" s="1" t="s">
        <v>172</v>
      </c>
      <c r="B61" s="118" t="s">
        <v>173</v>
      </c>
      <c r="C61" s="95">
        <f>SUM('DOE25'!F98:F110)</f>
        <v>22992.400000000001</v>
      </c>
      <c r="D61" s="95">
        <f>SUM('DOE25'!G98:G110)</f>
        <v>0</v>
      </c>
      <c r="E61" s="95">
        <f>SUM('DOE25'!H98:H110)</f>
        <v>112769.16</v>
      </c>
      <c r="F61" s="95">
        <f>SUM('DOE25'!I98:I110)</f>
        <v>0</v>
      </c>
      <c r="G61" s="95">
        <f>SUM('DOE25'!J98:J110)</f>
        <v>0</v>
      </c>
      <c r="H61"/>
      <c r="I61"/>
    </row>
    <row r="62" spans="1:9" ht="12.75" thickTop="1" thickBot="1" x14ac:dyDescent="0.25">
      <c r="A62" s="29" t="s">
        <v>174</v>
      </c>
      <c r="B62" s="6"/>
      <c r="C62" s="130">
        <f>SUM(C57:C61)</f>
        <v>29719.850000000002</v>
      </c>
      <c r="D62" s="130">
        <f>SUM(D57:D61)</f>
        <v>157371</v>
      </c>
      <c r="E62" s="130">
        <f>SUM(E57:E61)</f>
        <v>171450.16</v>
      </c>
      <c r="F62" s="130">
        <f>SUM(F57:F61)</f>
        <v>0</v>
      </c>
      <c r="G62" s="130">
        <f>SUM(G57:G61)</f>
        <v>0</v>
      </c>
      <c r="H62"/>
      <c r="I62"/>
    </row>
    <row r="63" spans="1:9" ht="12" thickTop="1" x14ac:dyDescent="0.2">
      <c r="A63" s="29" t="s">
        <v>175</v>
      </c>
      <c r="B63" s="6"/>
      <c r="C63" s="22">
        <f>C56+C62</f>
        <v>18763993.850000001</v>
      </c>
      <c r="D63" s="22">
        <f>D56+D62</f>
        <v>157371</v>
      </c>
      <c r="E63" s="22">
        <f>E56+E62</f>
        <v>171450.16</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4445216.37</v>
      </c>
      <c r="D66" s="24" t="s">
        <v>288</v>
      </c>
      <c r="E66" s="24" t="s">
        <v>288</v>
      </c>
      <c r="F66" s="24" t="s">
        <v>288</v>
      </c>
      <c r="G66" s="24" t="s">
        <v>288</v>
      </c>
      <c r="H66"/>
      <c r="I66"/>
    </row>
    <row r="67" spans="1:9" x14ac:dyDescent="0.2">
      <c r="A67" s="1" t="s">
        <v>770</v>
      </c>
      <c r="B67" s="6">
        <v>3112</v>
      </c>
      <c r="C67" s="95">
        <f>'DOE25'!F118</f>
        <v>2362137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2619.0100000000002</v>
      </c>
      <c r="D69" s="95">
        <f>'DOE25'!G120</f>
        <v>0</v>
      </c>
      <c r="E69" s="95">
        <f>'DOE25'!H120</f>
        <v>0</v>
      </c>
      <c r="F69" s="95">
        <f>'DOE25'!I120</f>
        <v>0</v>
      </c>
      <c r="G69" s="95">
        <f>'DOE25'!J120</f>
        <v>0</v>
      </c>
      <c r="H69"/>
      <c r="I69"/>
    </row>
    <row r="70" spans="1:9" ht="12" thickTop="1" x14ac:dyDescent="0.2">
      <c r="A70" s="29" t="s">
        <v>252</v>
      </c>
      <c r="B70" s="2"/>
      <c r="C70" s="139">
        <f>SUM(C66:C69)</f>
        <v>6809972.3799999999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395712.16</v>
      </c>
      <c r="D75" s="24" t="s">
        <v>288</v>
      </c>
      <c r="E75" s="24" t="s">
        <v>288</v>
      </c>
      <c r="F75" s="24" t="s">
        <v>288</v>
      </c>
      <c r="G75" s="24" t="s">
        <v>288</v>
      </c>
      <c r="H75"/>
      <c r="I75"/>
    </row>
    <row r="76" spans="1:9" x14ac:dyDescent="0.2">
      <c r="A76" s="1" t="s">
        <v>257</v>
      </c>
      <c r="B76" s="6" t="s">
        <v>179</v>
      </c>
      <c r="C76" s="95">
        <f>SUM('DOE25'!F127:F130)</f>
        <v>160493.45000000001</v>
      </c>
      <c r="D76" s="24" t="s">
        <v>288</v>
      </c>
      <c r="E76" s="95">
        <f>SUM('DOE25'!H127:H130)</f>
        <v>0</v>
      </c>
      <c r="F76" s="95">
        <f>SUM('DOE25'!I127:I130)</f>
        <v>0</v>
      </c>
      <c r="G76" s="24" t="s">
        <v>288</v>
      </c>
      <c r="H76"/>
      <c r="I76"/>
    </row>
    <row r="77" spans="1:9" ht="12" thickBot="1" x14ac:dyDescent="0.25">
      <c r="A77" s="1" t="s">
        <v>258</v>
      </c>
      <c r="B77" s="6" t="s">
        <v>180</v>
      </c>
      <c r="C77" s="95">
        <f>SUM('DOE25'!F131:F135)</f>
        <v>460.71</v>
      </c>
      <c r="D77" s="95">
        <f>SUM('DOE25'!G131:G135)</f>
        <v>6285.72</v>
      </c>
      <c r="E77" s="95">
        <f>SUM('DOE25'!H131:H135)</f>
        <v>0</v>
      </c>
      <c r="F77" s="95">
        <f>SUM('DOE25'!I131:I135)</f>
        <v>0</v>
      </c>
      <c r="G77" s="95">
        <f>SUM('DOE25'!J131:J135)</f>
        <v>0</v>
      </c>
      <c r="H77"/>
      <c r="I77"/>
    </row>
    <row r="78" spans="1:9" ht="12.75" thickTop="1" thickBot="1" x14ac:dyDescent="0.25">
      <c r="A78" s="29" t="s">
        <v>259</v>
      </c>
      <c r="B78" s="6"/>
      <c r="C78" s="130">
        <f>SUM(C72:C77)</f>
        <v>556666.31999999995</v>
      </c>
      <c r="D78" s="130">
        <f>SUM(D72:D77)</f>
        <v>6285.72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7366638.7000000002</v>
      </c>
      <c r="D81" s="130">
        <f>SUM(D79:D80)+D78+D70</f>
        <v>6285.72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62854.25</v>
      </c>
      <c r="D88" s="341">
        <f>SUM('DOE25'!G153:G162)</f>
        <v>417204.34</v>
      </c>
      <c r="E88" s="341">
        <f>SUM('DOE25'!H153:H162)</f>
        <v>659132.55999999994</v>
      </c>
      <c r="F88" s="341">
        <f>SUM('DOE25'!I153:I162)</f>
        <v>0</v>
      </c>
      <c r="G88" s="24" t="s">
        <v>288</v>
      </c>
    </row>
    <row r="89" spans="1:9" x14ac:dyDescent="0.2">
      <c r="A89" t="s">
        <v>748</v>
      </c>
      <c r="B89" s="32" t="s">
        <v>185</v>
      </c>
      <c r="C89" s="95">
        <f>'DOE25'!F164+'DOE25'!F167+'DOE25'!F169</f>
        <v>0</v>
      </c>
      <c r="D89" s="95">
        <f>'DOE25'!G164+'DOE25'!G169</f>
        <v>0</v>
      </c>
      <c r="E89" s="95">
        <f>'DOE25'!H164+'DOE25'!H169</f>
        <v>10609.34</v>
      </c>
      <c r="F89" s="95">
        <f>'DOE25'!I164</f>
        <v>0</v>
      </c>
      <c r="G89" s="24" t="s">
        <v>288</v>
      </c>
    </row>
    <row r="90" spans="1:9" ht="12" thickBot="1" x14ac:dyDescent="0.25">
      <c r="A90" t="s">
        <v>749</v>
      </c>
      <c r="B90" s="32">
        <v>4810</v>
      </c>
      <c r="C90" s="95">
        <f>'DOE25'!F166</f>
        <v>2485.35</v>
      </c>
      <c r="D90" s="24" t="s">
        <v>288</v>
      </c>
      <c r="E90" s="24" t="s">
        <v>288</v>
      </c>
      <c r="F90" s="24" t="s">
        <v>288</v>
      </c>
      <c r="G90" s="24" t="s">
        <v>288</v>
      </c>
    </row>
    <row r="91" spans="1:9" ht="12.75" thickTop="1" thickBot="1" x14ac:dyDescent="0.25">
      <c r="A91" s="33" t="s">
        <v>750</v>
      </c>
      <c r="C91" s="131">
        <f>SUM(C85:C90)</f>
        <v>65339.6</v>
      </c>
      <c r="D91" s="131">
        <f>SUM(D85:D90)</f>
        <v>417204.34</v>
      </c>
      <c r="E91" s="131">
        <f>SUM(E85:E90)</f>
        <v>669741.89999999991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90252.94</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90252.94</v>
      </c>
      <c r="D103" s="86">
        <f>SUM(D93:D102)</f>
        <v>0</v>
      </c>
      <c r="E103" s="86">
        <f>SUM(E93:E102)</f>
        <v>0</v>
      </c>
      <c r="F103" s="86">
        <f>SUM(F93:F102)</f>
        <v>0</v>
      </c>
      <c r="G103" s="86">
        <f>SUM(G93:G102)</f>
        <v>175000</v>
      </c>
    </row>
    <row r="104" spans="1:7" ht="12.75" thickTop="1" thickBot="1" x14ac:dyDescent="0.25">
      <c r="A104" s="33" t="s">
        <v>761</v>
      </c>
      <c r="C104" s="86">
        <f>C63+C81+C91+C103</f>
        <v>26286225.090000004</v>
      </c>
      <c r="D104" s="86">
        <f>D63+D81+D91+D103</f>
        <v>580861.06000000006</v>
      </c>
      <c r="E104" s="86">
        <f>E63+E81+E91+E103</f>
        <v>841192.05999999994</v>
      </c>
      <c r="F104" s="86">
        <f>F63+F81+F91+F103</f>
        <v>0</v>
      </c>
      <c r="G104" s="86">
        <f>G63+G81+G103</f>
        <v>175000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9485873.4199999999</v>
      </c>
      <c r="D109" s="24" t="s">
        <v>288</v>
      </c>
      <c r="E109" s="95">
        <f>('DOE25'!L277)+('DOE25'!L296)+('DOE25'!L315)</f>
        <v>162515.31</v>
      </c>
      <c r="F109" s="24" t="s">
        <v>288</v>
      </c>
      <c r="G109" s="24" t="s">
        <v>288</v>
      </c>
    </row>
    <row r="110" spans="1:7" x14ac:dyDescent="0.2">
      <c r="A110" t="s">
        <v>198</v>
      </c>
      <c r="B110" s="32" t="s">
        <v>199</v>
      </c>
      <c r="C110" s="95">
        <f>('DOE25'!L199)+('DOE25'!L217)+('DOE25'!L235)</f>
        <v>6423271.3199999994</v>
      </c>
      <c r="D110" s="24" t="s">
        <v>288</v>
      </c>
      <c r="E110" s="95">
        <f>('DOE25'!L278)+('DOE25'!L297)+('DOE25'!L316)</f>
        <v>364870.08</v>
      </c>
      <c r="F110" s="24" t="s">
        <v>288</v>
      </c>
      <c r="G110" s="24" t="s">
        <v>288</v>
      </c>
    </row>
    <row r="111" spans="1:7" x14ac:dyDescent="0.2">
      <c r="A111" t="s">
        <v>200</v>
      </c>
      <c r="B111" s="32" t="s">
        <v>165</v>
      </c>
      <c r="C111" s="95">
        <f>('DOE25'!L200)+('DOE25'!L218)+('DOE25'!L236)</f>
        <v>400008.57</v>
      </c>
      <c r="D111" s="24" t="s">
        <v>288</v>
      </c>
      <c r="E111" s="95">
        <f>('DOE25'!L279)+('DOE25'!L298)+('DOE25'!L317)</f>
        <v>0</v>
      </c>
      <c r="F111" s="24" t="s">
        <v>288</v>
      </c>
      <c r="G111" s="24" t="s">
        <v>288</v>
      </c>
    </row>
    <row r="112" spans="1:7" x14ac:dyDescent="0.2">
      <c r="A112" t="s">
        <v>201</v>
      </c>
      <c r="B112" s="32" t="s">
        <v>167</v>
      </c>
      <c r="C112" s="95">
        <f>('DOE25'!L201)+('DOE25'!L219)+('DOE25'!L237)</f>
        <v>307540.40000000002</v>
      </c>
      <c r="D112" s="24" t="s">
        <v>288</v>
      </c>
      <c r="E112" s="95">
        <f>+('DOE25'!L280)+('DOE25'!L299)+('DOE25'!L318)</f>
        <v>4982.74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16616693.709999999</v>
      </c>
      <c r="D115" s="86">
        <f>SUM(D109:D114)</f>
        <v>0</v>
      </c>
      <c r="E115" s="86">
        <f>SUM(E109:E114)</f>
        <v>532368.13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1470903.92</v>
      </c>
      <c r="D118" s="24" t="s">
        <v>288</v>
      </c>
      <c r="E118" s="95">
        <f>+('DOE25'!L282)+('DOE25'!L301)+('DOE25'!L320)</f>
        <v>236975.11000000002</v>
      </c>
      <c r="F118" s="24" t="s">
        <v>288</v>
      </c>
      <c r="G118" s="24" t="s">
        <v>288</v>
      </c>
    </row>
    <row r="119" spans="1:7" x14ac:dyDescent="0.2">
      <c r="A119" t="s">
        <v>208</v>
      </c>
      <c r="B119" s="32" t="s">
        <v>209</v>
      </c>
      <c r="C119" s="95">
        <f>('DOE25'!L204)+('DOE25'!L222)+('DOE25'!L240)</f>
        <v>435134.71999999997</v>
      </c>
      <c r="D119" s="24" t="s">
        <v>288</v>
      </c>
      <c r="E119" s="95">
        <f>+('DOE25'!L283)+('DOE25'!L302)+('DOE25'!L321)</f>
        <v>57068.060000000005</v>
      </c>
      <c r="F119" s="24" t="s">
        <v>288</v>
      </c>
      <c r="G119" s="24" t="s">
        <v>288</v>
      </c>
    </row>
    <row r="120" spans="1:7" x14ac:dyDescent="0.2">
      <c r="A120" t="s">
        <v>210</v>
      </c>
      <c r="B120" s="32" t="s">
        <v>211</v>
      </c>
      <c r="C120" s="95">
        <f>('DOE25'!L205)+('DOE25'!L223)+('DOE25'!L241)</f>
        <v>1467264.38</v>
      </c>
      <c r="D120" s="24" t="s">
        <v>288</v>
      </c>
      <c r="E120" s="95">
        <f>+('DOE25'!L284)+('DOE25'!L303)+('DOE25'!L322)</f>
        <v>0</v>
      </c>
      <c r="F120" s="24" t="s">
        <v>288</v>
      </c>
      <c r="G120" s="24" t="s">
        <v>288</v>
      </c>
    </row>
    <row r="121" spans="1:7" x14ac:dyDescent="0.2">
      <c r="A121" t="s">
        <v>212</v>
      </c>
      <c r="B121" s="32" t="s">
        <v>213</v>
      </c>
      <c r="C121" s="95">
        <f>('DOE25'!L206)+('DOE25'!L224)+('DOE25'!L242)</f>
        <v>1432133.78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1793934.2100000002</v>
      </c>
      <c r="D123" s="24" t="s">
        <v>288</v>
      </c>
      <c r="E123" s="95">
        <f>+('DOE25'!L287)+('DOE25'!L306)+('DOE25'!L325)</f>
        <v>13857.85</v>
      </c>
      <c r="F123" s="24" t="s">
        <v>288</v>
      </c>
      <c r="G123" s="24" t="s">
        <v>288</v>
      </c>
    </row>
    <row r="124" spans="1:7" x14ac:dyDescent="0.2">
      <c r="A124" t="s">
        <v>218</v>
      </c>
      <c r="B124" s="32" t="s">
        <v>219</v>
      </c>
      <c r="C124" s="95">
        <f>('DOE25'!L209)+('DOE25'!L227)+('DOE25'!L245+'DOE25'!L255)</f>
        <v>1364851.23</v>
      </c>
      <c r="D124" s="24" t="s">
        <v>288</v>
      </c>
      <c r="E124" s="95">
        <f>+('DOE25'!L288)+('DOE25'!L307)+('DOE25'!L326)</f>
        <v>0</v>
      </c>
      <c r="F124" s="24" t="s">
        <v>288</v>
      </c>
      <c r="G124" s="24" t="s">
        <v>288</v>
      </c>
    </row>
    <row r="125" spans="1:7" x14ac:dyDescent="0.2">
      <c r="A125" t="s">
        <v>220</v>
      </c>
      <c r="B125" s="32" t="s">
        <v>221</v>
      </c>
      <c r="C125" s="95">
        <f>('DOE25'!L210)+('DOE25'!L228)+('DOE25'!L246)</f>
        <v>108370.48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582706</v>
      </c>
      <c r="E127" s="24" t="s">
        <v>288</v>
      </c>
      <c r="F127" s="24" t="s">
        <v>288</v>
      </c>
      <c r="G127" s="24" t="s">
        <v>288</v>
      </c>
    </row>
    <row r="128" spans="1:7" ht="12.75" thickTop="1" thickBot="1" x14ac:dyDescent="0.25">
      <c r="A128" s="33" t="s">
        <v>226</v>
      </c>
      <c r="C128" s="86">
        <f>SUM(C118:C127)</f>
        <v>8072592.7200000007</v>
      </c>
      <c r="D128" s="86">
        <f>SUM(D118:D127)</f>
        <v>582706</v>
      </c>
      <c r="E128" s="86">
        <f>SUM(E118:E127)</f>
        <v>307901.02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90252.94</v>
      </c>
      <c r="D130" s="24" t="s">
        <v>288</v>
      </c>
      <c r="E130" s="129">
        <f>'DOE25'!L337</f>
        <v>0</v>
      </c>
      <c r="F130" s="129">
        <f>SUM('DOE25'!L375:'DOE25'!L381)</f>
        <v>0</v>
      </c>
      <c r="G130" s="24" t="s">
        <v>288</v>
      </c>
    </row>
    <row r="131" spans="1:7" x14ac:dyDescent="0.2">
      <c r="A131" t="s">
        <v>229</v>
      </c>
      <c r="B131" s="32">
        <v>5110</v>
      </c>
      <c r="C131" s="95">
        <f>'DOE25'!L261</f>
        <v>718794.25</v>
      </c>
      <c r="D131" s="24" t="s">
        <v>288</v>
      </c>
      <c r="E131" s="129">
        <f>'DOE25'!L342</f>
        <v>0</v>
      </c>
      <c r="F131" s="24" t="s">
        <v>288</v>
      </c>
      <c r="G131" s="24" t="s">
        <v>288</v>
      </c>
    </row>
    <row r="132" spans="1:7" x14ac:dyDescent="0.2">
      <c r="A132" t="s">
        <v>230</v>
      </c>
      <c r="B132" s="32">
        <v>5120</v>
      </c>
      <c r="C132" s="95">
        <f>'DOE25'!L262</f>
        <v>799693.35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90252.94</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175000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45000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1828740.54</v>
      </c>
      <c r="D144" s="141">
        <f>SUM(D130:D143)</f>
        <v>0</v>
      </c>
      <c r="E144" s="141">
        <f>SUM(E130:E143)</f>
        <v>0</v>
      </c>
      <c r="F144" s="141">
        <f>SUM(F130:F143)</f>
        <v>0</v>
      </c>
      <c r="G144" s="141">
        <f>SUM(G130:G143)</f>
        <v>90252.94</v>
      </c>
    </row>
    <row r="145" spans="1:9" ht="12.75" thickTop="1" thickBot="1" x14ac:dyDescent="0.25">
      <c r="A145" s="33" t="s">
        <v>244</v>
      </c>
      <c r="C145" s="86">
        <f>(C115+C128+C144)</f>
        <v>26518026.969999999</v>
      </c>
      <c r="D145" s="86">
        <f>(D115+D128+D144)</f>
        <v>582706</v>
      </c>
      <c r="E145" s="86">
        <f>(E115+E128+E144)</f>
        <v>840269.15</v>
      </c>
      <c r="F145" s="86">
        <f>(F115+F128+F144)</f>
        <v>0</v>
      </c>
      <c r="G145" s="86">
        <f>(G115+G128+G144)</f>
        <v>90252.94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25</v>
      </c>
      <c r="D151" s="153">
        <f>'DOE25'!H491</f>
        <v>25</v>
      </c>
      <c r="E151" s="153">
        <f>'DOE25'!I491</f>
        <v>25</v>
      </c>
      <c r="F151" s="153">
        <f>'DOE25'!J491</f>
        <v>0</v>
      </c>
      <c r="G151" s="24" t="s">
        <v>288</v>
      </c>
    </row>
    <row r="152" spans="1:9" x14ac:dyDescent="0.2">
      <c r="A152" s="136" t="s">
        <v>28</v>
      </c>
      <c r="B152" s="152" t="str">
        <f>'DOE25'!F492</f>
        <v>5/20/13</v>
      </c>
      <c r="C152" s="152" t="str">
        <f>'DOE25'!G492</f>
        <v>6/12/14</v>
      </c>
      <c r="D152" s="152" t="str">
        <f>'DOE25'!H492</f>
        <v>7/02/15</v>
      </c>
      <c r="E152" s="152" t="str">
        <f>'DOE25'!I492</f>
        <v>1/07/16</v>
      </c>
      <c r="F152" s="152">
        <f>'DOE25'!J492</f>
        <v>0</v>
      </c>
      <c r="G152" s="24" t="s">
        <v>288</v>
      </c>
    </row>
    <row r="153" spans="1:9" x14ac:dyDescent="0.2">
      <c r="A153" s="136" t="s">
        <v>29</v>
      </c>
      <c r="B153" s="152" t="str">
        <f>'DOE25'!F493</f>
        <v>11/20/28</v>
      </c>
      <c r="C153" s="152" t="str">
        <f>'DOE25'!G493</f>
        <v>12/15/39</v>
      </c>
      <c r="D153" s="152" t="str">
        <f>'DOE25'!H493</f>
        <v>7/15/40</v>
      </c>
      <c r="E153" s="152" t="str">
        <f>'DOE25'!I493</f>
        <v>1/15/41</v>
      </c>
      <c r="F153" s="152">
        <f>'DOE25'!J493</f>
        <v>0</v>
      </c>
      <c r="G153" s="24" t="s">
        <v>288</v>
      </c>
    </row>
    <row r="154" spans="1:9" x14ac:dyDescent="0.2">
      <c r="A154" s="136" t="s">
        <v>30</v>
      </c>
      <c r="B154" s="137">
        <f>'DOE25'!F494</f>
        <v>2012334</v>
      </c>
      <c r="C154" s="137">
        <f>'DOE25'!G494</f>
        <v>4450000</v>
      </c>
      <c r="D154" s="137">
        <f>'DOE25'!H494</f>
        <v>10000000</v>
      </c>
      <c r="E154" s="137">
        <f>'DOE25'!I494</f>
        <v>7358000</v>
      </c>
      <c r="F154" s="137">
        <f>'DOE25'!J494</f>
        <v>0</v>
      </c>
      <c r="G154" s="24" t="s">
        <v>288</v>
      </c>
    </row>
    <row r="155" spans="1:9" x14ac:dyDescent="0.2">
      <c r="A155" s="136" t="s">
        <v>31</v>
      </c>
      <c r="B155" s="137">
        <f>'DOE25'!F495</f>
        <v>2.59</v>
      </c>
      <c r="C155" s="137">
        <f>'DOE25'!G495</f>
        <v>3.01</v>
      </c>
      <c r="D155" s="137">
        <f>'DOE25'!H495</f>
        <v>4.12</v>
      </c>
      <c r="E155" s="137">
        <f>'DOE25'!I495</f>
        <v>4.26</v>
      </c>
      <c r="F155" s="137">
        <f>'DOE25'!J495</f>
        <v>0</v>
      </c>
      <c r="G155" s="24" t="s">
        <v>288</v>
      </c>
    </row>
    <row r="156" spans="1:9" x14ac:dyDescent="0.2">
      <c r="A156" s="22" t="s">
        <v>32</v>
      </c>
      <c r="B156" s="137">
        <f>'DOE25'!F496</f>
        <v>1544475.31</v>
      </c>
      <c r="C156" s="137">
        <f>'DOE25'!G496</f>
        <v>3613165</v>
      </c>
      <c r="D156" s="137">
        <f>'DOE25'!H496</f>
        <v>9040334</v>
      </c>
      <c r="E156" s="137">
        <f>'DOE25'!I496</f>
        <v>6756836</v>
      </c>
      <c r="F156" s="137">
        <f>'DOE25'!J496</f>
        <v>0</v>
      </c>
      <c r="G156" s="138">
        <f>SUM(B156:F156)</f>
        <v>20954810.310000002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120439.14</v>
      </c>
      <c r="C158" s="137">
        <f>'DOE25'!G498</f>
        <v>129185.98</v>
      </c>
      <c r="D158" s="137">
        <f>'DOE25'!H498</f>
        <v>274230.56</v>
      </c>
      <c r="E158" s="137">
        <f>'DOE25'!I498</f>
        <v>194550.48</v>
      </c>
      <c r="F158" s="137">
        <f>'DOE25'!J498</f>
        <v>0</v>
      </c>
      <c r="G158" s="138">
        <f t="shared" si="0"/>
        <v>718406.16</v>
      </c>
    </row>
    <row r="159" spans="1:9" x14ac:dyDescent="0.2">
      <c r="A159" s="22" t="s">
        <v>35</v>
      </c>
      <c r="B159" s="137">
        <f>'DOE25'!F499</f>
        <v>1424036.17</v>
      </c>
      <c r="C159" s="137">
        <f>'DOE25'!G499</f>
        <v>3483979.02</v>
      </c>
      <c r="D159" s="137">
        <f>'DOE25'!H499</f>
        <v>2766103.44</v>
      </c>
      <c r="E159" s="137">
        <f>'DOE25'!I499</f>
        <v>6562285.5199999996</v>
      </c>
      <c r="F159" s="137">
        <f>'DOE25'!J499</f>
        <v>0</v>
      </c>
      <c r="G159" s="138">
        <f t="shared" si="0"/>
        <v>14236404.149999999</v>
      </c>
    </row>
    <row r="160" spans="1:9" x14ac:dyDescent="0.2">
      <c r="A160" s="22" t="s">
        <v>36</v>
      </c>
      <c r="B160" s="137">
        <f>'DOE25'!F500</f>
        <v>180560.39</v>
      </c>
      <c r="C160" s="137">
        <f>'DOE25'!G500</f>
        <v>0</v>
      </c>
      <c r="D160" s="137">
        <f>'DOE25'!H500</f>
        <v>0</v>
      </c>
      <c r="E160" s="137">
        <f>'DOE25'!I500</f>
        <v>0</v>
      </c>
      <c r="F160" s="137">
        <f>'DOE25'!J500</f>
        <v>0</v>
      </c>
      <c r="G160" s="138">
        <f t="shared" si="0"/>
        <v>180560.39</v>
      </c>
    </row>
    <row r="161" spans="1:7" x14ac:dyDescent="0.2">
      <c r="A161" s="22" t="s">
        <v>37</v>
      </c>
      <c r="B161" s="137">
        <f>'DOE25'!F501</f>
        <v>1604596.56</v>
      </c>
      <c r="C161" s="137">
        <f>'DOE25'!G501</f>
        <v>3483979.02</v>
      </c>
      <c r="D161" s="137">
        <f>'DOE25'!H501</f>
        <v>2766103.44</v>
      </c>
      <c r="E161" s="137">
        <f>'DOE25'!I501</f>
        <v>6562285.5199999996</v>
      </c>
      <c r="F161" s="137">
        <f>'DOE25'!J501</f>
        <v>0</v>
      </c>
      <c r="G161" s="138">
        <f t="shared" si="0"/>
        <v>14416964.539999999</v>
      </c>
    </row>
    <row r="162" spans="1:7" x14ac:dyDescent="0.2">
      <c r="A162" s="22" t="s">
        <v>38</v>
      </c>
      <c r="B162" s="137">
        <f>'DOE25'!F502</f>
        <v>131653.26</v>
      </c>
      <c r="C162" s="137">
        <f>'DOE25'!G502</f>
        <v>133421.71</v>
      </c>
      <c r="D162" s="137">
        <f>'DOE25'!H502</f>
        <v>286755.18</v>
      </c>
      <c r="E162" s="137">
        <f>'DOE25'!I502</f>
        <v>203784.06</v>
      </c>
      <c r="F162" s="137">
        <f>'DOE25'!J502</f>
        <v>0</v>
      </c>
      <c r="G162" s="138">
        <f t="shared" si="0"/>
        <v>755614.21</v>
      </c>
    </row>
    <row r="163" spans="1:7" x14ac:dyDescent="0.2">
      <c r="A163" s="22" t="s">
        <v>39</v>
      </c>
      <c r="B163" s="137">
        <f>'DOE25'!F503</f>
        <v>36403.74</v>
      </c>
      <c r="C163" s="137">
        <f>'DOE25'!G503</f>
        <v>103047.77</v>
      </c>
      <c r="D163" s="137">
        <f>'DOE25'!H503</f>
        <v>355830.3</v>
      </c>
      <c r="E163" s="137">
        <f>'DOE25'!I503</f>
        <v>275615.58</v>
      </c>
      <c r="F163" s="137">
        <f>'DOE25'!J503</f>
        <v>0</v>
      </c>
      <c r="G163" s="138">
        <f t="shared" si="0"/>
        <v>770897.39</v>
      </c>
    </row>
    <row r="164" spans="1:7" x14ac:dyDescent="0.2">
      <c r="A164" s="22" t="s">
        <v>246</v>
      </c>
      <c r="B164" s="137">
        <f>'DOE25'!F504</f>
        <v>168057</v>
      </c>
      <c r="C164" s="137">
        <f>'DOE25'!G504</f>
        <v>236469.47999999998</v>
      </c>
      <c r="D164" s="137">
        <f>'DOE25'!H504</f>
        <v>642585.48</v>
      </c>
      <c r="E164" s="137">
        <f>'DOE25'!I504</f>
        <v>479399.64</v>
      </c>
      <c r="F164" s="137">
        <f>'DOE25'!J504</f>
        <v>0</v>
      </c>
      <c r="G164" s="138">
        <f t="shared" si="0"/>
        <v>1526511.6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Mascoma Valley Regional School District</v>
      </c>
    </row>
    <row r="3" spans="1:4" x14ac:dyDescent="0.2">
      <c r="B3" s="188" t="s">
        <v>1587</v>
      </c>
    </row>
    <row r="4" spans="1:4" x14ac:dyDescent="0.2">
      <c r="B4" t="s">
        <v>61</v>
      </c>
      <c r="C4" s="179">
        <f>IF('DOE25'!F666+'DOE25'!F671=0,0,ROUND('DOE25'!F673,0))</f>
        <v>20457</v>
      </c>
    </row>
    <row r="5" spans="1:4" x14ac:dyDescent="0.2">
      <c r="B5" t="s">
        <v>700</v>
      </c>
      <c r="C5" s="179">
        <f>IF('DOE25'!G666+'DOE25'!G671=0,0,ROUND('DOE25'!G673,0))</f>
        <v>0</v>
      </c>
    </row>
    <row r="6" spans="1:4" x14ac:dyDescent="0.2">
      <c r="B6" t="s">
        <v>62</v>
      </c>
      <c r="C6" s="179">
        <f>IF('DOE25'!H666+'DOE25'!H671=0,0,ROUND('DOE25'!H673,0))</f>
        <v>22088</v>
      </c>
    </row>
    <row r="7" spans="1:4" x14ac:dyDescent="0.2">
      <c r="B7" t="s">
        <v>701</v>
      </c>
      <c r="C7" s="179">
        <f>IF('DOE25'!I666+'DOE25'!I671=0,0,ROUND('DOE25'!I673,0))</f>
        <v>20936</v>
      </c>
    </row>
    <row r="9" spans="1:4" x14ac:dyDescent="0.2">
      <c r="A9" s="187" t="s">
        <v>94</v>
      </c>
      <c r="B9" s="188" t="s">
        <v>1588</v>
      </c>
      <c r="C9" s="181" t="s">
        <v>720</v>
      </c>
      <c r="D9" s="181" t="s">
        <v>721</v>
      </c>
    </row>
    <row r="10" spans="1:4" x14ac:dyDescent="0.2">
      <c r="A10">
        <v>1100</v>
      </c>
      <c r="B10" t="s">
        <v>702</v>
      </c>
      <c r="C10" s="179">
        <f>ROUND('DOE25'!L198+'DOE25'!L216+'DOE25'!L234+'DOE25'!L277+'DOE25'!L296+'DOE25'!L315,0)</f>
        <v>9648389</v>
      </c>
      <c r="D10" s="182">
        <f>ROUND((C10/$C$28)*100,1)</f>
        <v>36</v>
      </c>
    </row>
    <row r="11" spans="1:4" x14ac:dyDescent="0.2">
      <c r="A11">
        <v>1200</v>
      </c>
      <c r="B11" t="s">
        <v>703</v>
      </c>
      <c r="C11" s="179">
        <f>ROUND('DOE25'!L199+'DOE25'!L217+'DOE25'!L235+'DOE25'!L278+'DOE25'!L297+'DOE25'!L316,0)</f>
        <v>6788141</v>
      </c>
      <c r="D11" s="182">
        <f>ROUND((C11/$C$28)*100,1)</f>
        <v>25.3</v>
      </c>
    </row>
    <row r="12" spans="1:4" x14ac:dyDescent="0.2">
      <c r="A12">
        <v>1300</v>
      </c>
      <c r="B12" t="s">
        <v>704</v>
      </c>
      <c r="C12" s="179">
        <f>ROUND('DOE25'!L200+'DOE25'!L218+'DOE25'!L236+'DOE25'!L279+'DOE25'!L298+'DOE25'!L317,0)</f>
        <v>400009</v>
      </c>
      <c r="D12" s="182">
        <f>ROUND((C12/$C$28)*100,1)</f>
        <v>1.5</v>
      </c>
    </row>
    <row r="13" spans="1:4" x14ac:dyDescent="0.2">
      <c r="A13">
        <v>1400</v>
      </c>
      <c r="B13" t="s">
        <v>705</v>
      </c>
      <c r="C13" s="179">
        <f>ROUND('DOE25'!L201+'DOE25'!L219+'DOE25'!L237+'DOE25'!L280+'DOE25'!L299+'DOE25'!L318,0)</f>
        <v>312523</v>
      </c>
      <c r="D13" s="182">
        <f>ROUND((C13/$C$28)*100,1)</f>
        <v>1.2</v>
      </c>
    </row>
    <row r="14" spans="1:4" x14ac:dyDescent="0.2">
      <c r="D14" s="182"/>
    </row>
    <row r="15" spans="1:4" x14ac:dyDescent="0.2">
      <c r="A15">
        <v>2100</v>
      </c>
      <c r="B15" t="s">
        <v>706</v>
      </c>
      <c r="C15" s="179">
        <f>ROUND('DOE25'!L203+'DOE25'!L221+'DOE25'!L239+'DOE25'!L282+'DOE25'!L301+'DOE25'!L320,0)</f>
        <v>1707879</v>
      </c>
      <c r="D15" s="182">
        <f t="shared" ref="D15:D27" si="0">ROUND((C15/$C$28)*100,1)</f>
        <v>6.4</v>
      </c>
    </row>
    <row r="16" spans="1:4" x14ac:dyDescent="0.2">
      <c r="A16">
        <v>2200</v>
      </c>
      <c r="B16" t="s">
        <v>707</v>
      </c>
      <c r="C16" s="179">
        <f>ROUND('DOE25'!L204+'DOE25'!L222+'DOE25'!L240+'DOE25'!L283+'DOE25'!L302+'DOE25'!L321,0)</f>
        <v>492203</v>
      </c>
      <c r="D16" s="182">
        <f t="shared" si="0"/>
        <v>1.8</v>
      </c>
    </row>
    <row r="17" spans="1:4" x14ac:dyDescent="0.2">
      <c r="A17" s="183" t="s">
        <v>723</v>
      </c>
      <c r="B17" t="s">
        <v>738</v>
      </c>
      <c r="C17" s="179">
        <f>ROUND('DOE25'!L205+'DOE25'!L210+'DOE25'!L223+'DOE25'!L228+'DOE25'!L241+'DOE25'!L246+'DOE25'!L284+'DOE25'!L289+'DOE25'!L303+'DOE25'!L308+'DOE25'!L322+'DOE25'!L327,0)</f>
        <v>1575635</v>
      </c>
      <c r="D17" s="182">
        <f t="shared" si="0"/>
        <v>5.9</v>
      </c>
    </row>
    <row r="18" spans="1:4" x14ac:dyDescent="0.2">
      <c r="A18">
        <v>2400</v>
      </c>
      <c r="B18" t="s">
        <v>711</v>
      </c>
      <c r="C18" s="179">
        <f>ROUND('DOE25'!L206+'DOE25'!L224+'DOE25'!L242+'DOE25'!L285+'DOE25'!L304+'DOE25'!L323,0)</f>
        <v>1432134</v>
      </c>
      <c r="D18" s="182">
        <f t="shared" si="0"/>
        <v>5.3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1807792</v>
      </c>
      <c r="D20" s="182">
        <f t="shared" si="0"/>
        <v>6.7</v>
      </c>
    </row>
    <row r="21" spans="1:4" x14ac:dyDescent="0.2">
      <c r="A21">
        <v>2700</v>
      </c>
      <c r="B21" t="s">
        <v>710</v>
      </c>
      <c r="C21" s="179">
        <f>ROUND('DOE25'!L209+'DOE25'!L227+'DOE25'!L245+'DOE25'!L288+'DOE25'!L307+'DOE25'!L326,0)</f>
        <v>1364851</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799693</v>
      </c>
      <c r="D25" s="182">
        <f t="shared" si="0"/>
        <v>3</v>
      </c>
    </row>
    <row r="26" spans="1:4" x14ac:dyDescent="0.2">
      <c r="A26" s="183" t="s">
        <v>717</v>
      </c>
      <c r="B26" t="s">
        <v>718</v>
      </c>
      <c r="C26" s="179">
        <f>'DOE25'!L269+'DOE25'!L270+'DOE25'!L350+'DOE25'!L351</f>
        <v>45000</v>
      </c>
      <c r="D26" s="182">
        <f t="shared" si="0"/>
        <v>0.2</v>
      </c>
    </row>
    <row r="27" spans="1:4" x14ac:dyDescent="0.2">
      <c r="A27">
        <v>3100</v>
      </c>
      <c r="B27" t="s">
        <v>11</v>
      </c>
      <c r="C27" s="179">
        <f>ROUND('DOE25'!L363-'DOE25'!L362,0)-SUM('DOE25'!G97:G110)</f>
        <v>425335</v>
      </c>
      <c r="D27" s="182">
        <f t="shared" si="0"/>
        <v>1.6</v>
      </c>
    </row>
    <row r="28" spans="1:4" x14ac:dyDescent="0.2">
      <c r="B28" s="187" t="s">
        <v>719</v>
      </c>
      <c r="C28" s="180">
        <f>SUM(C10:C27)</f>
        <v>26799584</v>
      </c>
      <c r="D28" s="184">
        <f>ROUND(SUM(D10:D27),0)</f>
        <v>100</v>
      </c>
    </row>
    <row r="29" spans="1:4" x14ac:dyDescent="0.2">
      <c r="A29">
        <v>4000</v>
      </c>
      <c r="B29" t="s">
        <v>724</v>
      </c>
      <c r="C29" s="179">
        <f>ROUND('DOE25'!L256+'DOE25'!L337+'DOE25'!L375+'DOE25'!L376+'DOE25'!L377+'DOE25'!L378+'DOE25'!L379+'DOE25'!L380+'DOE25'!L381,0)</f>
        <v>90253</v>
      </c>
    </row>
    <row r="30" spans="1:4" x14ac:dyDescent="0.2">
      <c r="B30" s="187" t="s">
        <v>725</v>
      </c>
      <c r="C30" s="180">
        <f>SUM(C28:C29)</f>
        <v>26889837</v>
      </c>
    </row>
    <row r="31" spans="1:4" x14ac:dyDescent="0.2">
      <c r="B31" s="33"/>
      <c r="C31" s="180"/>
    </row>
    <row r="32" spans="1:4" x14ac:dyDescent="0.2">
      <c r="A32">
        <v>5100</v>
      </c>
      <c r="B32" s="33" t="s">
        <v>726</v>
      </c>
      <c r="C32" s="180">
        <f>ROUND('DOE25'!L261+'DOE25'!L342,0)</f>
        <v>718794</v>
      </c>
    </row>
    <row r="34" spans="1:4" x14ac:dyDescent="0.2">
      <c r="A34" s="187" t="s">
        <v>94</v>
      </c>
      <c r="B34" s="188" t="s">
        <v>1589</v>
      </c>
      <c r="C34" s="181" t="s">
        <v>720</v>
      </c>
      <c r="D34" s="181" t="s">
        <v>721</v>
      </c>
    </row>
    <row r="35" spans="1:4" x14ac:dyDescent="0.2">
      <c r="A35">
        <v>1100</v>
      </c>
      <c r="B35" s="185" t="s">
        <v>727</v>
      </c>
      <c r="C35" s="179">
        <f>ROUND('DOE25'!F60+'DOE25'!G60+'DOE25'!H60+'DOE25'!I60+'DOE25'!J60,0)</f>
        <v>18734274</v>
      </c>
      <c r="D35" s="182">
        <f t="shared" ref="D35:D40" si="1">ROUND((C35/$C$41)*100,1)</f>
        <v>68.2</v>
      </c>
    </row>
    <row r="36" spans="1:4" x14ac:dyDescent="0.2">
      <c r="B36" s="185" t="s">
        <v>739</v>
      </c>
      <c r="C36" s="179">
        <f>SUM('DOE25'!F112:J112)-SUM('DOE25'!G97:G110)+('DOE25'!F175+'DOE25'!F176+'DOE25'!I175+'DOE25'!I176)-C35</f>
        <v>201170.01000000164</v>
      </c>
      <c r="D36" s="182">
        <f t="shared" si="1"/>
        <v>0.7</v>
      </c>
    </row>
    <row r="37" spans="1:4" x14ac:dyDescent="0.2">
      <c r="A37" s="183" t="s">
        <v>835</v>
      </c>
      <c r="B37" s="185" t="s">
        <v>728</v>
      </c>
      <c r="C37" s="179">
        <f>ROUND('DOE25'!F117+'DOE25'!F118,0)</f>
        <v>6807353</v>
      </c>
      <c r="D37" s="182">
        <f t="shared" si="1"/>
        <v>24.8</v>
      </c>
    </row>
    <row r="38" spans="1:4" x14ac:dyDescent="0.2">
      <c r="A38" s="183" t="s">
        <v>734</v>
      </c>
      <c r="B38" s="185" t="s">
        <v>729</v>
      </c>
      <c r="C38" s="179">
        <f>ROUND(SUM('DOE25'!F140:J140)-SUM('DOE25'!F117:F119),0)</f>
        <v>565571</v>
      </c>
      <c r="D38" s="182">
        <f t="shared" si="1"/>
        <v>2.1</v>
      </c>
    </row>
    <row r="39" spans="1:4" x14ac:dyDescent="0.2">
      <c r="A39">
        <v>4000</v>
      </c>
      <c r="B39" s="185" t="s">
        <v>730</v>
      </c>
      <c r="C39" s="179">
        <f>ROUND('DOE25'!F170+'DOE25'!G170+'DOE25'!H170+'DOE25'!I170,0)</f>
        <v>1152286</v>
      </c>
      <c r="D39" s="182">
        <f t="shared" si="1"/>
        <v>4.2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27460654.010000002</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Mascoma Valley Regional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t="s">
        <v>1653</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2020-09-10T18:18:13Z</cp:lastPrinted>
  <dcterms:created xsi:type="dcterms:W3CDTF">1997-12-04T19:04:30Z</dcterms:created>
  <dcterms:modified xsi:type="dcterms:W3CDTF">2020-12-11T18:38:01Z</dcterms:modified>
</cp:coreProperties>
</file>