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F117" i="1" l="1"/>
  <c r="F50" i="1" l="1"/>
  <c r="G48" i="1"/>
  <c r="F12" i="1"/>
  <c r="G22" i="1"/>
  <c r="G180" i="1"/>
  <c r="K264" i="1"/>
  <c r="F5" i="13" l="1"/>
  <c r="D37" i="14" l="1"/>
  <c r="D25" i="14"/>
  <c r="D9" i="14"/>
  <c r="D8" i="14"/>
  <c r="D7" i="14"/>
  <c r="D6" i="14"/>
  <c r="D5" i="14"/>
  <c r="B11" i="12" l="1"/>
  <c r="B10" i="12"/>
  <c r="J598" i="1"/>
  <c r="I598" i="1"/>
  <c r="H598" i="1"/>
  <c r="H605" i="1"/>
  <c r="F368" i="1"/>
  <c r="H369" i="1"/>
  <c r="G369" i="1"/>
  <c r="F369" i="1"/>
  <c r="H368" i="1"/>
  <c r="G368" i="1"/>
  <c r="H14" i="1"/>
  <c r="H30" i="1"/>
  <c r="H22" i="1"/>
  <c r="H28" i="1" l="1"/>
  <c r="H24" i="1"/>
  <c r="H13" i="1"/>
  <c r="F29" i="1"/>
  <c r="G97" i="1"/>
  <c r="F14" i="1"/>
  <c r="F10" i="1"/>
  <c r="J473" i="1"/>
  <c r="I473" i="1"/>
  <c r="H473" i="1"/>
  <c r="G473" i="1"/>
  <c r="I469" i="1"/>
  <c r="F110" i="1"/>
  <c r="F57" i="1"/>
  <c r="F96" i="1"/>
  <c r="J605" i="1"/>
  <c r="I605" i="1"/>
  <c r="I596" i="1"/>
  <c r="H596" i="1"/>
  <c r="J596" i="1"/>
  <c r="J594" i="1"/>
  <c r="H592" i="1"/>
  <c r="H580" i="1" l="1"/>
  <c r="G580" i="1"/>
  <c r="F580" i="1"/>
  <c r="G563" i="1"/>
  <c r="F543" i="1"/>
  <c r="F542" i="1"/>
  <c r="H538" i="1"/>
  <c r="H539" i="1"/>
  <c r="H537" i="1"/>
  <c r="K532" i="1"/>
  <c r="J534" i="1"/>
  <c r="J533" i="1"/>
  <c r="J532" i="1"/>
  <c r="H534" i="1"/>
  <c r="H533" i="1"/>
  <c r="H532" i="1"/>
  <c r="G534" i="1"/>
  <c r="G533" i="1"/>
  <c r="G532" i="1"/>
  <c r="F534" i="1"/>
  <c r="F533" i="1"/>
  <c r="F532" i="1"/>
  <c r="G529" i="1"/>
  <c r="G528" i="1"/>
  <c r="G527" i="1"/>
  <c r="F529" i="1"/>
  <c r="F528" i="1"/>
  <c r="F527" i="1"/>
  <c r="H529" i="1"/>
  <c r="H528" i="1"/>
  <c r="H527" i="1"/>
  <c r="J524" i="1"/>
  <c r="J523" i="1"/>
  <c r="J522" i="1"/>
  <c r="I524" i="1"/>
  <c r="I523" i="1"/>
  <c r="I522" i="1"/>
  <c r="H524" i="1"/>
  <c r="H523" i="1"/>
  <c r="H522" i="1"/>
  <c r="G524" i="1"/>
  <c r="G523" i="1"/>
  <c r="G522" i="1"/>
  <c r="F524" i="1"/>
  <c r="F523" i="1"/>
  <c r="F522" i="1"/>
  <c r="H321" i="1"/>
  <c r="G315" i="1"/>
  <c r="G296" i="1"/>
  <c r="G277" i="1"/>
  <c r="J321" i="1"/>
  <c r="J302" i="1"/>
  <c r="J283" i="1"/>
  <c r="I321" i="1"/>
  <c r="I302" i="1"/>
  <c r="I283" i="1"/>
  <c r="H302" i="1"/>
  <c r="H283" i="1"/>
  <c r="G321" i="1"/>
  <c r="G302" i="1"/>
  <c r="G283" i="1"/>
  <c r="F321" i="1"/>
  <c r="F302" i="1"/>
  <c r="F283" i="1"/>
  <c r="G320" i="1"/>
  <c r="G301" i="1"/>
  <c r="G282" i="1"/>
  <c r="F320" i="1"/>
  <c r="F301" i="1"/>
  <c r="F282" i="1"/>
  <c r="G336" i="1"/>
  <c r="I318" i="1"/>
  <c r="I299" i="1"/>
  <c r="I280" i="1"/>
  <c r="G318" i="1"/>
  <c r="G299" i="1"/>
  <c r="G280" i="1"/>
  <c r="J316" i="1"/>
  <c r="J297" i="1"/>
  <c r="J278" i="1"/>
  <c r="I316" i="1"/>
  <c r="I297" i="1"/>
  <c r="I278" i="1"/>
  <c r="H316" i="1"/>
  <c r="H297" i="1"/>
  <c r="H278" i="1"/>
  <c r="G316" i="1"/>
  <c r="G297" i="1"/>
  <c r="G278" i="1"/>
  <c r="F316" i="1"/>
  <c r="F297" i="1"/>
  <c r="F278" i="1"/>
  <c r="I315" i="1"/>
  <c r="I296" i="1"/>
  <c r="I277" i="1"/>
  <c r="H315" i="1"/>
  <c r="H296" i="1"/>
  <c r="H277" i="1"/>
  <c r="F315" i="1"/>
  <c r="F296" i="1"/>
  <c r="F277" i="1"/>
  <c r="F280" i="1"/>
  <c r="I361" i="1"/>
  <c r="I360" i="1"/>
  <c r="I359" i="1"/>
  <c r="G359" i="1"/>
  <c r="G361" i="1"/>
  <c r="G360" i="1"/>
  <c r="F361" i="1"/>
  <c r="F360" i="1"/>
  <c r="F359" i="1"/>
  <c r="H361" i="1"/>
  <c r="H360" i="1"/>
  <c r="H359" i="1"/>
  <c r="G198" i="1"/>
  <c r="G216" i="1"/>
  <c r="G234" i="1"/>
  <c r="K245" i="1"/>
  <c r="K227" i="1"/>
  <c r="K209" i="1"/>
  <c r="J245" i="1"/>
  <c r="J227" i="1"/>
  <c r="J209" i="1"/>
  <c r="I245" i="1"/>
  <c r="I227" i="1"/>
  <c r="I209" i="1"/>
  <c r="H245" i="1"/>
  <c r="H227" i="1"/>
  <c r="H209" i="1"/>
  <c r="G245" i="1"/>
  <c r="G227" i="1"/>
  <c r="G209" i="1"/>
  <c r="F245" i="1"/>
  <c r="F227" i="1"/>
  <c r="F209" i="1"/>
  <c r="J244" i="1"/>
  <c r="J208" i="1"/>
  <c r="I244" i="1"/>
  <c r="I226" i="1"/>
  <c r="I208" i="1"/>
  <c r="H244" i="1"/>
  <c r="H226" i="1"/>
  <c r="H208" i="1"/>
  <c r="G244" i="1"/>
  <c r="G226" i="1"/>
  <c r="G208" i="1"/>
  <c r="F244" i="1"/>
  <c r="F226" i="1"/>
  <c r="F208" i="1"/>
  <c r="J242" i="1"/>
  <c r="J224" i="1"/>
  <c r="J206" i="1"/>
  <c r="I242" i="1"/>
  <c r="I224" i="1"/>
  <c r="I206" i="1"/>
  <c r="G242" i="1"/>
  <c r="G224" i="1"/>
  <c r="G206" i="1"/>
  <c r="H241" i="1"/>
  <c r="H223" i="1"/>
  <c r="H205" i="1"/>
  <c r="K241" i="1"/>
  <c r="K223" i="1"/>
  <c r="K205" i="1"/>
  <c r="I241" i="1"/>
  <c r="I223" i="1"/>
  <c r="I205" i="1"/>
  <c r="G241" i="1"/>
  <c r="G223" i="1"/>
  <c r="G205" i="1"/>
  <c r="F241" i="1"/>
  <c r="F223" i="1"/>
  <c r="F205" i="1"/>
  <c r="J240" i="1"/>
  <c r="J222" i="1"/>
  <c r="J204" i="1"/>
  <c r="I240" i="1"/>
  <c r="I222" i="1"/>
  <c r="I204" i="1"/>
  <c r="H240" i="1"/>
  <c r="H222" i="1"/>
  <c r="H204" i="1"/>
  <c r="G240" i="1"/>
  <c r="G204" i="1"/>
  <c r="F240" i="1"/>
  <c r="F222" i="1"/>
  <c r="F204" i="1"/>
  <c r="K239" i="1"/>
  <c r="K221" i="1"/>
  <c r="K203" i="1"/>
  <c r="J239" i="1"/>
  <c r="J221" i="1"/>
  <c r="J203" i="1"/>
  <c r="I239" i="1"/>
  <c r="I221" i="1"/>
  <c r="I203" i="1"/>
  <c r="H239" i="1"/>
  <c r="H221" i="1"/>
  <c r="H203" i="1"/>
  <c r="F239" i="1"/>
  <c r="F221" i="1"/>
  <c r="F203" i="1"/>
  <c r="K237" i="1"/>
  <c r="K219" i="1"/>
  <c r="J235" i="1"/>
  <c r="J217" i="1"/>
  <c r="J199" i="1"/>
  <c r="I235" i="1"/>
  <c r="I217" i="1"/>
  <c r="I199" i="1"/>
  <c r="H235" i="1"/>
  <c r="H217" i="1"/>
  <c r="H199" i="1"/>
  <c r="F235" i="1"/>
  <c r="F217" i="1"/>
  <c r="F199" i="1"/>
  <c r="I234" i="1"/>
  <c r="I216" i="1"/>
  <c r="I198" i="1"/>
  <c r="F234" i="1"/>
  <c r="F216" i="1"/>
  <c r="F198" i="1"/>
  <c r="K242" i="1"/>
  <c r="H242" i="1"/>
  <c r="F242" i="1"/>
  <c r="I237" i="1"/>
  <c r="H237" i="1"/>
  <c r="F237" i="1"/>
  <c r="H236" i="1"/>
  <c r="J234" i="1"/>
  <c r="H234" i="1"/>
  <c r="H224" i="1"/>
  <c r="K224" i="1"/>
  <c r="F224" i="1"/>
  <c r="J219" i="1"/>
  <c r="I219" i="1"/>
  <c r="F219" i="1"/>
  <c r="J216" i="1"/>
  <c r="H216" i="1"/>
  <c r="K206" i="1"/>
  <c r="H206" i="1"/>
  <c r="F206" i="1"/>
  <c r="F201" i="1"/>
  <c r="J198" i="1"/>
  <c r="H198"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L308" i="1"/>
  <c r="E125" i="2" s="1"/>
  <c r="L315" i="1"/>
  <c r="L316" i="1"/>
  <c r="L317" i="1"/>
  <c r="L318" i="1"/>
  <c r="L320" i="1"/>
  <c r="L321" i="1"/>
  <c r="L322" i="1"/>
  <c r="L323" i="1"/>
  <c r="L324" i="1"/>
  <c r="L325" i="1"/>
  <c r="L326" i="1"/>
  <c r="H663" i="1" s="1"/>
  <c r="L327" i="1"/>
  <c r="L334" i="1"/>
  <c r="L335" i="1"/>
  <c r="L336" i="1"/>
  <c r="L261" i="1"/>
  <c r="L262" i="1"/>
  <c r="C132" i="2" s="1"/>
  <c r="L342" i="1"/>
  <c r="L343" i="1"/>
  <c r="L256" i="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I60" i="1"/>
  <c r="F79" i="1"/>
  <c r="C57" i="2" s="1"/>
  <c r="F94" i="1"/>
  <c r="F111" i="1"/>
  <c r="G111" i="1"/>
  <c r="H79" i="1"/>
  <c r="H94" i="1"/>
  <c r="E58" i="2" s="1"/>
  <c r="H111" i="1"/>
  <c r="I111" i="1"/>
  <c r="I112" i="1" s="1"/>
  <c r="J111" i="1"/>
  <c r="J112" i="1" s="1"/>
  <c r="F121" i="1"/>
  <c r="F136" i="1"/>
  <c r="G121" i="1"/>
  <c r="G136" i="1"/>
  <c r="H121" i="1"/>
  <c r="H136" i="1"/>
  <c r="I121" i="1"/>
  <c r="I136" i="1"/>
  <c r="J121" i="1"/>
  <c r="J140" i="1" s="1"/>
  <c r="J136" i="1"/>
  <c r="F147" i="1"/>
  <c r="F170" i="1" s="1"/>
  <c r="G147" i="1"/>
  <c r="D85" i="2" s="1"/>
  <c r="H147" i="1"/>
  <c r="H170" i="1" s="1"/>
  <c r="I147" i="1"/>
  <c r="L251" i="1"/>
  <c r="C113" i="2" s="1"/>
  <c r="L333" i="1"/>
  <c r="E113" i="2" s="1"/>
  <c r="L255" i="1"/>
  <c r="L269" i="1"/>
  <c r="L270" i="1"/>
  <c r="L350" i="1"/>
  <c r="E142" i="2" s="1"/>
  <c r="L351" i="1"/>
  <c r="E143" i="2" s="1"/>
  <c r="I666" i="1"/>
  <c r="I671" i="1"/>
  <c r="I670" i="1"/>
  <c r="C42" i="10"/>
  <c r="C3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E123" i="2"/>
  <c r="E124" i="2"/>
  <c r="C125"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L257" i="1" s="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I370" i="1" s="1"/>
  <c r="H635" i="1" s="1"/>
  <c r="F370" i="1"/>
  <c r="G370" i="1"/>
  <c r="H370" i="1"/>
  <c r="L382" i="1"/>
  <c r="F383" i="1"/>
  <c r="G383" i="1"/>
  <c r="H383" i="1"/>
  <c r="I383" i="1"/>
  <c r="J383" i="1"/>
  <c r="K383" i="1"/>
  <c r="F394" i="1"/>
  <c r="F409" i="1" s="1"/>
  <c r="H644" i="1" s="1"/>
  <c r="G394" i="1"/>
  <c r="H394" i="1"/>
  <c r="I394" i="1"/>
  <c r="F402" i="1"/>
  <c r="G402" i="1"/>
  <c r="H402" i="1"/>
  <c r="H409" i="1" s="1"/>
  <c r="H645" i="1" s="1"/>
  <c r="I402" i="1"/>
  <c r="F408" i="1"/>
  <c r="G408" i="1"/>
  <c r="G409" i="1" s="1"/>
  <c r="H646" i="1" s="1"/>
  <c r="H408" i="1"/>
  <c r="I408" i="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I471"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31" i="1"/>
  <c r="H634" i="1"/>
  <c r="H636" i="1"/>
  <c r="H637" i="1"/>
  <c r="H639" i="1"/>
  <c r="G641" i="1"/>
  <c r="G644" i="1"/>
  <c r="G645" i="1"/>
  <c r="G646" i="1"/>
  <c r="G651" i="1"/>
  <c r="G652" i="1"/>
  <c r="G653" i="1"/>
  <c r="H653" i="1"/>
  <c r="G654" i="1"/>
  <c r="H654" i="1"/>
  <c r="G655" i="1"/>
  <c r="H655" i="1"/>
  <c r="H656" i="1"/>
  <c r="J656" i="1" s="1"/>
  <c r="I170" i="1"/>
  <c r="H140" i="1"/>
  <c r="A40" i="12" l="1"/>
  <c r="D50" i="2"/>
  <c r="J652" i="1"/>
  <c r="G663" i="1"/>
  <c r="E119" i="2"/>
  <c r="E110" i="2"/>
  <c r="G339" i="1"/>
  <c r="G353" i="1" s="1"/>
  <c r="E114" i="2"/>
  <c r="G662" i="1"/>
  <c r="C121" i="2"/>
  <c r="C120" i="2"/>
  <c r="C112" i="2"/>
  <c r="D15" i="13"/>
  <c r="C15" i="13" s="1"/>
  <c r="C20" i="10"/>
  <c r="C119" i="2"/>
  <c r="C12" i="10"/>
  <c r="C110" i="2"/>
  <c r="D6" i="13"/>
  <c r="C6" i="13" s="1"/>
  <c r="J258" i="1"/>
  <c r="J272" i="1" s="1"/>
  <c r="C13" i="10"/>
  <c r="C11" i="10"/>
  <c r="F258" i="1"/>
  <c r="F272" i="1" s="1"/>
  <c r="E112" i="2"/>
  <c r="K339" i="1"/>
  <c r="K353" i="1" s="1"/>
  <c r="C91" i="2"/>
  <c r="H112" i="1"/>
  <c r="L402" i="1"/>
  <c r="C139" i="2" s="1"/>
  <c r="H462" i="1"/>
  <c r="H642" i="1" s="1"/>
  <c r="J642" i="1" s="1"/>
  <c r="G553" i="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J646" i="1"/>
  <c r="F112" i="1"/>
  <c r="L394" i="1"/>
  <c r="C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H194" i="1"/>
  <c r="G140" i="1"/>
  <c r="B11" i="16" s="1"/>
  <c r="F140" i="1"/>
  <c r="G63" i="2"/>
  <c r="J619" i="1"/>
  <c r="G42" i="2"/>
  <c r="J51" i="1"/>
  <c r="G16" i="2"/>
  <c r="G18" i="2" s="1"/>
  <c r="J19" i="1"/>
  <c r="G622" i="1" s="1"/>
  <c r="F546" i="1"/>
  <c r="H435" i="1"/>
  <c r="D103" i="2"/>
  <c r="I140" i="1"/>
  <c r="A22" i="12"/>
  <c r="G50" i="2"/>
  <c r="J653" i="1"/>
  <c r="G572" i="1"/>
  <c r="I435" i="1"/>
  <c r="G435" i="1"/>
  <c r="I664" i="1"/>
  <c r="G647" i="1" l="1"/>
  <c r="J469" i="1"/>
  <c r="E51" i="2"/>
  <c r="D51" i="2"/>
  <c r="G630" i="1"/>
  <c r="H469" i="1"/>
  <c r="F194" i="1"/>
  <c r="C81" i="2"/>
  <c r="E128" i="2"/>
  <c r="E115" i="2"/>
  <c r="G36" i="14"/>
  <c r="H36" i="14" s="1"/>
  <c r="I36" i="14" s="1"/>
  <c r="G24" i="14"/>
  <c r="H24" i="14" s="1"/>
  <c r="I24" i="14" s="1"/>
  <c r="F661" i="1"/>
  <c r="F665" i="1" s="1"/>
  <c r="F668" i="1" s="1"/>
  <c r="H649" i="1"/>
  <c r="J649" i="1" s="1"/>
  <c r="H661" i="1"/>
  <c r="H665" i="1" s="1"/>
  <c r="H668" i="1" s="1"/>
  <c r="C141" i="2"/>
  <c r="C144" i="2"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C115" i="2"/>
  <c r="C63" i="2"/>
  <c r="C39" i="10"/>
  <c r="G33" i="13"/>
  <c r="C128" i="2"/>
  <c r="D31" i="13"/>
  <c r="C31" i="13" s="1"/>
  <c r="I462" i="1"/>
  <c r="H643" i="1" s="1"/>
  <c r="J643" i="1" s="1"/>
  <c r="G661" i="1"/>
  <c r="G665" i="1" s="1"/>
  <c r="G673" i="1" s="1"/>
  <c r="C5" i="10" s="1"/>
  <c r="C25" i="13"/>
  <c r="I33" i="13"/>
  <c r="K553" i="1"/>
  <c r="C51" i="2"/>
  <c r="G632" i="1"/>
  <c r="G194" i="1"/>
  <c r="G627" i="1"/>
  <c r="J52" i="1"/>
  <c r="H622" i="1" s="1"/>
  <c r="J622" i="1" s="1"/>
  <c r="C38" i="10"/>
  <c r="G628" i="1" l="1"/>
  <c r="F469" i="1"/>
  <c r="G633" i="1"/>
  <c r="F473" i="1"/>
  <c r="J627" i="1"/>
  <c r="H638" i="1"/>
  <c r="J471" i="1"/>
  <c r="J477" i="1" s="1"/>
  <c r="H627" i="1" s="1"/>
  <c r="H632" i="1"/>
  <c r="J632" i="1" s="1"/>
  <c r="H471" i="1"/>
  <c r="H477" i="1" s="1"/>
  <c r="H625" i="1" s="1"/>
  <c r="J625" i="1" s="1"/>
  <c r="H630" i="1"/>
  <c r="J630" i="1" s="1"/>
  <c r="G629" i="1"/>
  <c r="G469" i="1"/>
  <c r="C104" i="2"/>
  <c r="E145" i="2"/>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F471" i="1" l="1"/>
  <c r="H628" i="1"/>
  <c r="J628" i="1"/>
  <c r="F475" i="1"/>
  <c r="F477" i="1" s="1"/>
  <c r="H623" i="1" s="1"/>
  <c r="J623" i="1" s="1"/>
  <c r="H633" i="1"/>
  <c r="J633" i="1" s="1"/>
  <c r="G471" i="1"/>
  <c r="G477" i="1" s="1"/>
  <c r="H629" i="1"/>
  <c r="J629" i="1" s="1"/>
  <c r="I668" i="1"/>
  <c r="D28" i="10"/>
  <c r="D37" i="10"/>
  <c r="D36" i="10"/>
  <c r="D35" i="10"/>
  <c r="D40" i="10"/>
  <c r="D39" i="10"/>
  <c r="H624" i="1" l="1"/>
  <c r="B33" i="16"/>
  <c r="D41" i="10"/>
  <c r="J624" i="1" l="1"/>
  <c r="H657"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<sst xmlns="http://schemas.openxmlformats.org/spreadsheetml/2006/main" count="5550" uniqueCount="1644">
  <si>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</si>
  <si>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</si>
  <si>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</si>
  <si>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</si>
  <si>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</si>
  <si>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</si>
  <si>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</si>
  <si>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</si>
  <si>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</si>
  <si>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</si>
  <si>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</si>
  <si>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</si>
  <si>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</si>
  <si>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</si>
  <si>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</si>
  <si>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</si>
  <si>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</si>
  <si>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</si>
  <si>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</si>
  <si>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</si>
  <si>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</si>
  <si>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</si>
  <si>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</si>
  <si>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</si>
  <si>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</si>
  <si>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</si>
  <si>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</si>
  <si>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</si>
  <si>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</si>
  <si>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</si>
  <si>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</si>
  <si>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</si>
  <si>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</si>
  <si>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</si>
  <si>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</si>
  <si>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</si>
  <si>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</si>
  <si>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</si>
  <si>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</si>
  <si>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</si>
  <si>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</si>
  <si>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</si>
  <si>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</si>
  <si>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</si>
  <si>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</si>
  <si>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</si>
  <si>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</si>
  <si>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</si>
  <si>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</si>
  <si>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</si>
  <si>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</si>
  <si>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</si>
  <si>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</si>
  <si>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</si>
  <si>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</si>
  <si>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</si>
  <si>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</si>
  <si>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</si>
  <si>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</si>
  <si>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</si>
  <si>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</si>
  <si>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</si>
  <si>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</si>
  <si>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</si>
  <si>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</si>
  <si>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</si>
  <si>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</si>
  <si>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</si>
  <si>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</si>
  <si>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</si>
  <si>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</si>
  <si>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</si>
  <si>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</si>
  <si>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</si>
  <si>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</si>
  <si>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</si>
  <si>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</si>
  <si>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</si>
  <si>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</si>
  <si>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</si>
  <si>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</si>
  <si>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</si>
  <si>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</si>
  <si>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</si>
  <si>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</si>
  <si>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</si>
  <si>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</si>
  <si>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</si>
  <si>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</si>
  <si>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</si>
  <si>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</si>
  <si>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</si>
  <si>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</si>
  <si>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</si>
  <si>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</si>
  <si>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</si>
  <si>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</si>
  <si>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</si>
  <si>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</si>
  <si>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</si>
  <si>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</si>
  <si>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</si>
  <si>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</si>
  <si>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</si>
  <si>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</si>
  <si>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</si>
  <si>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</si>
  <si>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</si>
  <si>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</si>
  <si>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</si>
  <si>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</si>
  <si>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</si>
  <si>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</si>
  <si>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</si>
  <si>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</si>
  <si>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</si>
  <si>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</si>
  <si>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</si>
  <si>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</si>
  <si>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</si>
  <si>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</si>
  <si>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</si>
  <si>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</si>
  <si>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</si>
  <si>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</si>
  <si>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</si>
  <si>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</si>
  <si>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</si>
  <si>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</si>
  <si>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</si>
  <si>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</si>
  <si>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</si>
  <si>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</si>
  <si>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</si>
  <si>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</si>
  <si>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</si>
  <si>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</si>
  <si>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</si>
  <si>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</si>
  <si>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</si>
  <si>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</si>
  <si>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</si>
  <si>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</si>
  <si>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</si>
  <si>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</si>
  <si>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</si>
  <si>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</si>
  <si>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</si>
  <si>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</si>
  <si>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</si>
  <si>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</si>
  <si>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</si>
  <si>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</si>
  <si>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</si>
  <si>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</si>
  <si>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</si>
  <si>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</si>
  <si>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</si>
  <si>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</si>
  <si>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</si>
  <si>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</si>
  <si>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</si>
  <si>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</si>
  <si>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</si>
  <si>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</si>
  <si>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</si>
  <si>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</si>
  <si>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</si>
  <si>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</si>
  <si>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</si>
  <si>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</si>
  <si>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</si>
  <si>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</si>
  <si>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</si>
  <si>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</si>
  <si>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</si>
  <si>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</si>
  <si>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</si>
  <si>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</si>
  <si>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</si>
  <si>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</si>
  <si>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</si>
  <si>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</si>
  <si>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</si>
  <si>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</si>
  <si>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</si>
  <si>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</si>
  <si>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</si>
  <si>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</si>
  <si>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</si>
  <si>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</si>
  <si>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</si>
  <si>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</si>
  <si>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</si>
  <si>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</si>
  <si>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</si>
  <si>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</si>
  <si>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</si>
  <si>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</si>
  <si>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</si>
  <si>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</si>
  <si>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</si>
  <si>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</si>
  <si>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</si>
  <si>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</si>
  <si>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</si>
  <si>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</si>
  <si>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</si>
  <si>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</si>
  <si>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</si>
  <si>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</si>
  <si>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</si>
  <si>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</si>
  <si>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</si>
  <si>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</si>
  <si>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</si>
  <si>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</si>
  <si>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</si>
  <si>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</si>
  <si>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</si>
  <si>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</si>
  <si>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</si>
  <si>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</si>
  <si>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</si>
  <si>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</si>
  <si>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</si>
  <si>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</si>
  <si>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</si>
  <si>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</si>
  <si>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</si>
  <si>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</si>
  <si>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</si>
  <si>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</si>
  <si>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</si>
  <si>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</si>
  <si>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</si>
  <si>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</si>
  <si>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</si>
  <si>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</si>
  <si>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</si>
  <si>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</si>
  <si>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</si>
  <si>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</si>
  <si>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</si>
  <si>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</si>
  <si>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</si>
  <si>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</si>
  <si>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</si>
  <si>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</si>
  <si>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</si>
  <si>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</si>
  <si>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</si>
  <si>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</si>
  <si>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</si>
  <si>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</si>
  <si>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</si>
  <si>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</si>
  <si>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</si>
  <si>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</si>
  <si>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</si>
  <si>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</si>
  <si>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</si>
  <si>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</si>
  <si>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</si>
  <si>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</si>
  <si>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</si>
  <si>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</si>
  <si>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</si>
  <si>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</si>
  <si>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</si>
  <si>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</si>
  <si>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</si>
  <si>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</si>
  <si>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</si>
  <si>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</si>
  <si>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</si>
  <si>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</si>
  <si>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</si>
  <si>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</si>
  <si>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</si>
  <si>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</si>
  <si>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</si>
  <si>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</si>
  <si>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</si>
  <si>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</si>
  <si>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</si>
  <si>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</si>
  <si>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</si>
  <si>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</si>
  <si>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</si>
  <si>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</si>
  <si>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</si>
  <si>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</si>
  <si>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</si>
  <si>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</si>
  <si>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</si>
  <si>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</si>
  <si>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</si>
  <si>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</si>
  <si>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</si>
  <si>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</si>
  <si>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</si>
  <si>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</si>
  <si>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</si>
  <si>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</si>
  <si>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</si>
  <si>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</si>
  <si>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</si>
  <si>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</si>
  <si>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</si>
  <si>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</si>
  <si>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</si>
  <si>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</si>
  <si>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</si>
  <si>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</si>
  <si>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</si>
  <si>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</si>
  <si>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</si>
  <si>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</si>
  <si>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</si>
  <si>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</si>
  <si>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</si>
  <si>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</si>
  <si>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</si>
  <si>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</si>
  <si>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</si>
  <si>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</si>
  <si>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</si>
  <si>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</si>
  <si>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</si>
  <si>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</si>
  <si>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</si>
  <si>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</si>
  <si>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</si>
  <si>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</si>
  <si>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</si>
  <si>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</si>
  <si>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</si>
  <si>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</si>
  <si>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</si>
  <si>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</si>
  <si>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</si>
  <si>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</si>
  <si>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</si>
  <si>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</si>
  <si>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</si>
  <si>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</si>
  <si>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</si>
  <si>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</si>
  <si>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</si>
  <si>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</si>
  <si>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</si>
  <si>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</si>
  <si>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</si>
  <si>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</si>
  <si>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</si>
  <si>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</si>
  <si>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</si>
  <si>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</si>
  <si>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</si>
  <si>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</si>
  <si>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</si>
  <si>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</si>
  <si>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</si>
  <si>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</si>
  <si>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</si>
  <si>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</si>
  <si>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</si>
  <si>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</si>
  <si>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</si>
  <si>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</si>
  <si>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</si>
  <si>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</si>
  <si>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</si>
  <si>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</si>
  <si>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</si>
  <si>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</si>
  <si>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</si>
  <si>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</si>
  <si>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</si>
  <si>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</si>
  <si>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</si>
  <si>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</si>
  <si>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</si>
  <si>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</si>
  <si>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</si>
  <si>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</si>
  <si>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</si>
  <si>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</si>
  <si>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</si>
  <si>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</si>
  <si>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</si>
  <si>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</si>
  <si>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</si>
  <si>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</si>
  <si>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</si>
  <si>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</si>
  <si>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</si>
  <si>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</si>
  <si>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</si>
  <si>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</si>
  <si>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</si>
  <si>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</si>
  <si>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</si>
  <si>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</si>
  <si>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</si>
  <si>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</si>
  <si>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</si>
  <si>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</si>
  <si>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</si>
  <si>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</si>
  <si>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</si>
  <si>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</si>
  <si>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</si>
  <si>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</si>
  <si>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</si>
  <si>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</si>
  <si>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</si>
  <si>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</si>
  <si>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</si>
  <si>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</si>
  <si>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</si>
  <si>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</si>
  <si>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</si>
  <si>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</si>
  <si>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</si>
  <si>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</si>
  <si>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</si>
  <si>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</si>
  <si>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</si>
  <si>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</si>
  <si>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</si>
  <si>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</si>
  <si>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</si>
  <si>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</si>
  <si>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</si>
  <si>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</si>
  <si>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</si>
  <si>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</si>
  <si>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</si>
  <si>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</si>
  <si>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</si>
  <si>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</si>
  <si>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</si>
  <si>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</si>
  <si>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</si>
  <si>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</si>
  <si>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</si>
  <si>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</si>
  <si>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</si>
  <si>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</si>
  <si>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</si>
  <si>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</si>
  <si>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</si>
  <si>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</si>
  <si>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</si>
  <si>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</si>
  <si>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</si>
  <si>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</si>
  <si>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</si>
  <si>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</si>
  <si>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</si>
  <si>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</si>
  <si>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</si>
  <si>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</si>
  <si>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</si>
  <si>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</si>
  <si>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</si>
  <si>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</si>
  <si>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</si>
  <si>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</si>
  <si>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</si>
  <si>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</si>
  <si>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</si>
  <si>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</si>
  <si>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</si>
  <si>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</si>
  <si>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</si>
  <si>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</si>
  <si>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</si>
  <si>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</si>
  <si>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</si>
  <si>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</si>
  <si>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</si>
  <si>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</si>
  <si>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</si>
  <si>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</si>
  <si>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</si>
  <si>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</si>
  <si>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</si>
  <si>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</si>
  <si>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</si>
  <si>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</si>
  <si>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</si>
  <si>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</si>
  <si>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</si>
  <si>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</si>
  <si>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</si>
  <si>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</si>
  <si>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</si>
  <si>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</si>
  <si>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</si>
  <si>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</si>
  <si>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</si>
  <si>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</si>
  <si>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</si>
  <si>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</si>
  <si>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</si>
  <si>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</si>
  <si>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</si>
  <si>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</si>
  <si>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</si>
  <si>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</si>
  <si>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</si>
  <si>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</si>
  <si>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</si>
  <si>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</si>
  <si>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</si>
  <si>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</si>
  <si>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</si>
  <si>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</si>
  <si>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</si>
  <si>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</si>
  <si>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</si>
  <si>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</si>
  <si>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</si>
  <si>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</si>
  <si>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</si>
  <si>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</si>
  <si>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</si>
  <si>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</si>
  <si>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</si>
  <si>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</si>
  <si>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</si>
  <si>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</si>
  <si>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</si>
  <si>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</si>
  <si>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</si>
  <si>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</si>
  <si>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</si>
  <si>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</si>
  <si>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</si>
  <si>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</si>
  <si>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</si>
  <si>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</si>
  <si>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</si>
  <si>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</si>
  <si>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</si>
  <si>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</si>
  <si>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</si>
  <si>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</si>
  <si>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</si>
  <si>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</si>
  <si>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</si>
  <si>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</si>
  <si>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</si>
  <si>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</si>
  <si>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</si>
  <si>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</si>
  <si>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</si>
  <si>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</si>
  <si>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</si>
  <si>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</si>
  <si>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</si>
  <si>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</si>
  <si>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</si>
  <si>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</si>
  <si>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</si>
  <si>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</si>
  <si>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</si>
  <si>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</si>
  <si>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</si>
  <si>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</si>
  <si>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</si>
  <si>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</si>
  <si>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</si>
  <si>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</si>
  <si>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</si>
  <si>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</si>
  <si>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</si>
  <si>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</si>
  <si>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</si>
  <si>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</si>
  <si>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</si>
  <si>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</si>
  <si>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</si>
  <si>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</si>
  <si>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</si>
  <si>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</si>
  <si>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</si>
  <si>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</si>
  <si>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</si>
  <si>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</si>
  <si>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</si>
  <si>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</si>
  <si>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</si>
  <si>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</si>
  <si>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</si>
  <si>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</si>
  <si>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</si>
  <si>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</si>
  <si>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</si>
  <si>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</si>
  <si>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</si>
  <si>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</si>
  <si>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</si>
  <si>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</si>
  <si>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</si>
  <si>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</si>
  <si>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</si>
  <si>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</si>
  <si>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</si>
  <si>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</si>
  <si>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</si>
  <si>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</si>
  <si>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</si>
  <si>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</si>
  <si>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</si>
  <si>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</si>
  <si>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</si>
  <si>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</si>
  <si>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</si>
  <si>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</si>
  <si>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</si>
  <si>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</si>
  <si>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</si>
  <si>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</si>
  <si>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</si>
  <si>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</si>
  <si>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</si>
  <si>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</si>
  <si>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</si>
  <si>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</si>
  <si>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</si>
  <si>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</si>
  <si>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</si>
  <si>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</si>
  <si>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</si>
  <si>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</si>
  <si>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</si>
  <si>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</si>
  <si>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</si>
  <si>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</si>
  <si>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</si>
  <si>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</si>
  <si>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</si>
  <si>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</si>
  <si>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</si>
  <si>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</si>
  <si>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</si>
  <si>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</si>
  <si>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</si>
  <si>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</si>
  <si>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</si>
  <si>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</si>
  <si>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</si>
  <si>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</si>
  <si>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</si>
  <si>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</si>
  <si>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</si>
  <si>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</si>
  <si>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</si>
  <si>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</si>
  <si>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</si>
  <si>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</si>
  <si>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</si>
  <si>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</si>
  <si>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</si>
  <si>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</si>
  <si>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</si>
  <si>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</si>
  <si>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</si>
  <si>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</si>
  <si>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</si>
  <si>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</si>
  <si>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</si>
  <si>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</si>
  <si>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</si>
  <si>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</si>
  <si>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</si>
  <si>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</si>
  <si>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</si>
  <si>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</si>
  <si>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</si>
  <si>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</si>
  <si>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</si>
  <si>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</si>
  <si>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</si>
  <si>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</si>
  <si>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</si>
  <si>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</si>
  <si>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</si>
  <si>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</si>
  <si>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</si>
  <si>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</si>
  <si>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</si>
  <si>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</si>
  <si>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</si>
  <si>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</si>
  <si>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</si>
  <si>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</si>
  <si>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</si>
  <si>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</si>
  <si>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</si>
  <si>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</si>
  <si>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</si>
  <si>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</si>
  <si>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</si>
  <si>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</si>
  <si>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</si>
  <si>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</si>
  <si>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</si>
  <si>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</si>
  <si>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</si>
  <si>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</si>
  <si>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</si>
  <si>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</si>
  <si>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</si>
  <si>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</si>
  <si>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</si>
  <si>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</si>
  <si>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</si>
  <si>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</si>
  <si>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</si>
  <si>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</si>
  <si>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</si>
  <si>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</si>
  <si>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</si>
  <si>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</si>
  <si>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</si>
  <si>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</si>
  <si>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</si>
  <si>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</si>
  <si>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</si>
  <si>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</si>
  <si>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</si>
  <si>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</si>
  <si>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</si>
  <si>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</si>
  <si>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</si>
  <si>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</si>
  <si>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</si>
  <si>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</si>
  <si>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</si>
  <si>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</si>
  <si>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</si>
  <si>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</si>
  <si>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</si>
  <si>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</si>
  <si>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</si>
  <si>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</si>
  <si>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</si>
  <si>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</si>
  <si>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</si>
  <si>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</si>
  <si>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</si>
  <si>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</si>
  <si>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</si>
  <si>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</si>
  <si>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</si>
  <si>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</si>
  <si>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</si>
  <si>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</si>
  <si>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</si>
  <si>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</si>
  <si>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</si>
  <si>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</si>
  <si>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</si>
  <si>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</si>
  <si>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</si>
  <si>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</si>
  <si>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</si>
  <si>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</si>
  <si>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</si>
  <si>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</si>
  <si>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</si>
  <si>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</si>
  <si>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</si>
  <si>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</si>
  <si>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</si>
  <si>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</si>
  <si>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</si>
  <si>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</si>
  <si>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</si>
  <si>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</si>
  <si>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</si>
  <si>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</si>
  <si>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</si>
  <si>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</si>
  <si>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</si>
  <si>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</si>
  <si>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</si>
  <si>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</si>
  <si>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</si>
  <si>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</si>
  <si>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</si>
  <si>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</si>
  <si>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</si>
  <si>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</si>
  <si>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</si>
  <si>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</si>
  <si>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</si>
  <si>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</si>
  <si>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</si>
  <si>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</si>
  <si>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</si>
  <si>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</si>
  <si>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</si>
  <si>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</si>
  <si>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</si>
  <si>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</si>
  <si>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</si>
  <si>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</si>
  <si>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</si>
  <si>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</si>
  <si>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</si>
  <si>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</si>
  <si>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</si>
  <si>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</si>
  <si>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</si>
  <si>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</si>
  <si>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</si>
  <si>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</si>
  <si>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</si>
  <si>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</si>
  <si>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</si>
  <si>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</si>
  <si>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</si>
  <si>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</si>
  <si>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</si>
  <si>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</si>
  <si>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</si>
  <si>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</si>
  <si>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</si>
  <si>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</si>
  <si>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</si>
  <si>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</si>
  <si>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</si>
  <si>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</si>
  <si>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</si>
  <si>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</si>
  <si>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</si>
  <si>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</si>
  <si>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</si>
  <si>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</si>
  <si>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</si>
  <si>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</si>
  <si>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</si>
  <si>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</si>
  <si>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</si>
  <si>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</si>
  <si>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</si>
  <si>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</si>
  <si>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</si>
  <si>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</si>
  <si>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</si>
  <si>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</si>
  <si>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</si>
  <si>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</si>
  <si>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</si>
  <si>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</si>
  <si>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</si>
  <si>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</si>
  <si>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</si>
  <si>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</si>
  <si>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</si>
  <si>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</si>
  <si>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</si>
  <si>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</si>
  <si>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</si>
  <si>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</si>
  <si>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</si>
  <si>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</si>
  <si>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</si>
  <si>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</si>
  <si>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</si>
  <si>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</si>
  <si>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</si>
  <si>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</si>
  <si>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</si>
  <si>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</si>
  <si>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</si>
  <si>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</si>
  <si>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</si>
  <si>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</si>
  <si>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</si>
  <si>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</si>
  <si>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</si>
  <si>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</si>
  <si>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</si>
  <si>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</si>
  <si>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</si>
  <si>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</si>
  <si>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</si>
  <si>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</si>
  <si>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</si>
  <si>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</si>
  <si>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</si>
  <si>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</si>
  <si>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</si>
  <si>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</si>
  <si>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</si>
  <si>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</si>
  <si>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</si>
  <si>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</si>
  <si>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</si>
  <si>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</si>
  <si>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</si>
  <si>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</si>
  <si>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</si>
  <si>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</si>
  <si>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</si>
  <si>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</si>
  <si>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</si>
  <si>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</si>
  <si>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</si>
  <si>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</si>
  <si>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</si>
  <si>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</si>
  <si>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</si>
  <si>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</si>
  <si>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</si>
  <si>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</si>
  <si>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</si>
  <si>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</si>
  <si>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</si>
  <si>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</si>
  <si>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</si>
  <si>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</si>
  <si>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</si>
  <si>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</si>
  <si>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</si>
  <si>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</si>
  <si>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</si>
  <si>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</si>
  <si>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</si>
  <si>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</si>
  <si>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</si>
  <si>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</si>
  <si>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</si>
  <si>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</si>
  <si>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</si>
  <si>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</si>
  <si>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</si>
  <si>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</si>
  <si>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</si>
  <si>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</si>
  <si>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</si>
  <si>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</si>
  <si>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</si>
  <si>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</si>
  <si>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</si>
  <si>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</si>
  <si>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</si>
  <si>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</si>
  <si>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</si>
  <si>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</si>
  <si>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</si>
  <si>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</si>
  <si>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</si>
  <si>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</si>
  <si>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</si>
  <si>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</si>
  <si>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</si>
  <si>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</si>
  <si>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</si>
  <si>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</si>
  <si>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</si>
  <si>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</si>
  <si>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</si>
  <si>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</si>
  <si>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</si>
  <si>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</si>
  <si>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</si>
  <si>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</si>
  <si>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</si>
  <si>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</si>
  <si>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</si>
  <si>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</si>
  <si>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</si>
  <si>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</si>
  <si>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</si>
  <si>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</si>
  <si>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</si>
  <si>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</si>
  <si>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</si>
  <si>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</si>
  <si>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</si>
  <si>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</si>
  <si>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</si>
  <si>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</si>
  <si>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</si>
  <si>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</si>
  <si>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</si>
  <si>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</si>
  <si>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</si>
  <si>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</si>
  <si>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</si>
  <si>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</si>
  <si>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</si>
  <si>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</si>
  <si>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</si>
  <si>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</si>
  <si>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</si>
  <si>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</si>
  <si>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</si>
  <si>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</si>
  <si>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</si>
  <si>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</si>
  <si>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</si>
  <si>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</si>
  <si>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</si>
  <si>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</si>
  <si>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</si>
  <si>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</si>
  <si>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</si>
  <si>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</si>
  <si>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</si>
  <si>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</si>
  <si>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</si>
  <si>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</si>
  <si>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</si>
  <si>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</si>
  <si>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</si>
  <si>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</si>
  <si>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</si>
  <si>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</si>
  <si>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</si>
  <si>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</si>
  <si>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</si>
  <si>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</si>
  <si>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</si>
  <si>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</si>
  <si>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</si>
  <si>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</si>
  <si>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</si>
  <si>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</si>
  <si>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</si>
  <si>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</si>
  <si>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</si>
  <si>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</si>
  <si>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</si>
  <si>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</si>
  <si>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</si>
  <si>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</si>
  <si>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</si>
  <si>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</si>
  <si>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</si>
  <si>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</si>
  <si>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</si>
  <si>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</si>
  <si>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</si>
  <si>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</si>
  <si>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</si>
  <si>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</si>
  <si>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</si>
  <si>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</si>
  <si>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</si>
  <si>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</si>
  <si>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</si>
  <si>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</si>
  <si>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</si>
  <si>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</si>
  <si>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</si>
  <si>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</si>
  <si>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</si>
  <si>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</si>
  <si>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</si>
  <si>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</si>
  <si>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</si>
  <si>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</si>
  <si>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</si>
  <si>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</si>
  <si>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</si>
  <si>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</si>
  <si>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</si>
  <si>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</si>
  <si>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</si>
  <si>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</si>
  <si>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</si>
  <si>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</si>
  <si>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</si>
  <si>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</si>
  <si>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</si>
  <si>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</si>
  <si>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</si>
  <si>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</si>
  <si>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</si>
  <si>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</si>
  <si>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</si>
  <si>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</si>
  <si>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</si>
  <si>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</si>
  <si>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</si>
  <si>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</si>
  <si>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</si>
  <si>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</si>
  <si>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</si>
  <si>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</si>
  <si>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</si>
  <si>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</si>
  <si>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</si>
  <si>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</si>
  <si>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</si>
  <si>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</si>
  <si>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</si>
  <si>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</si>
  <si>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</si>
  <si>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</si>
  <si>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</si>
  <si>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</si>
  <si>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</si>
  <si>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</si>
  <si>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</si>
  <si>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</si>
  <si>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</si>
  <si>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</si>
  <si>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</si>
  <si>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</si>
  <si>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</si>
  <si>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</si>
  <si>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</si>
  <si>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</si>
  <si>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</si>
  <si>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</si>
  <si>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</si>
  <si>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</si>
  <si>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</si>
  <si>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</si>
  <si>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</si>
  <si>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</si>
  <si>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</si>
  <si>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</si>
  <si>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</si>
  <si>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</si>
  <si>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</si>
  <si>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</si>
  <si>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</si>
  <si>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</si>
  <si>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</si>
  <si>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</si>
  <si>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</si>
  <si>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</si>
  <si>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</si>
  <si>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</si>
  <si>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</si>
  <si>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</si>
  <si>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</si>
  <si>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</si>
  <si>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</si>
  <si>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</si>
  <si>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</si>
  <si>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</si>
  <si>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</si>
  <si>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</si>
  <si>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</si>
  <si>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</si>
  <si>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</si>
  <si>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</si>
  <si>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</si>
  <si>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</si>
  <si>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</si>
  <si>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</si>
  <si>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</si>
  <si>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</si>
  <si>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</si>
  <si>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</si>
  <si>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</si>
  <si>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</si>
  <si>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</si>
  <si>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</si>
  <si>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</si>
  <si>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</si>
  <si>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</si>
  <si>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</si>
  <si>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</si>
  <si>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</si>
  <si>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</si>
  <si>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</si>
  <si>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</si>
  <si>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</si>
  <si>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</si>
  <si>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</si>
  <si>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</si>
  <si>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</si>
  <si>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</si>
  <si>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</si>
  <si>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</si>
  <si>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</si>
  <si>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</si>
  <si>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</si>
  <si>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</si>
  <si>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</si>
  <si>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</si>
  <si>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</si>
  <si>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</si>
  <si>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</si>
  <si>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</si>
  <si>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</si>
  <si>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</si>
  <si>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</si>
  <si>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</si>
  <si>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</si>
  <si>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</si>
  <si>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</si>
  <si>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</si>
  <si>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</si>
  <si>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</si>
  <si>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</si>
  <si>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</si>
  <si>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</si>
  <si>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</si>
  <si>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</si>
  <si>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</si>
  <si>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</si>
  <si>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</si>
  <si>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</si>
  <si>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</si>
  <si>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</si>
  <si>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</si>
  <si>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</si>
  <si>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</si>
  <si>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</si>
  <si>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</si>
  <si>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</si>
  <si>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</si>
  <si>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</si>
  <si>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</si>
  <si>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</si>
  <si>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</si>
  <si>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</si>
  <si>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</si>
  <si>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</si>
  <si>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</si>
  <si>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</si>
  <si>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</si>
  <si>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</si>
  <si>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</si>
  <si>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</si>
  <si>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</si>
  <si>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</si>
  <si>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</si>
  <si>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</si>
  <si>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</si>
  <si>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</si>
  <si>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</si>
  <si>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</si>
  <si>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</si>
  <si>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</si>
  <si>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</si>
  <si>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</si>
  <si>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</si>
  <si>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</si>
  <si>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</si>
  <si>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</si>
  <si>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</si>
  <si>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</si>
  <si>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</si>
  <si>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</si>
  <si>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</si>
  <si>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</si>
  <si>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</si>
  <si>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</si>
  <si>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</si>
  <si>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</si>
  <si>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</si>
  <si>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</si>
  <si>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</si>
  <si>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</si>
  <si>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</si>
  <si>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</si>
  <si>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</si>
  <si>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</si>
  <si>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</si>
  <si>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</si>
  <si>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</si>
  <si>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</si>
  <si>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</si>
  <si>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</si>
  <si>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</si>
  <si>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</si>
  <si>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</si>
  <si>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</si>
  <si>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</si>
  <si>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</si>
  <si>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</si>
  <si>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</si>
  <si>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</si>
  <si>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</si>
  <si>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</si>
  <si>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</si>
  <si>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</si>
  <si>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</si>
  <si>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</si>
  <si>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</si>
  <si>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</si>
  <si>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</si>
  <si>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</si>
  <si>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</si>
  <si>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</si>
  <si>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</si>
  <si>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</si>
  <si>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</si>
  <si>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</si>
  <si>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</si>
  <si>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</si>
  <si>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</si>
  <si>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</si>
  <si>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</si>
  <si>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</si>
  <si>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</si>
  <si>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</si>
  <si>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</si>
  <si>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</si>
  <si>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</si>
  <si>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</si>
  <si>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</si>
  <si>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</si>
  <si>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</si>
  <si>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</si>
  <si>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</si>
  <si>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</si>
  <si>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</si>
  <si>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</si>
  <si>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</si>
  <si>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</si>
  <si>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</si>
  <si>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</si>
  <si>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</si>
  <si>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</si>
  <si>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</si>
  <si>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</si>
  <si>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</si>
  <si>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</si>
  <si>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</si>
  <si>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</si>
  <si>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</si>
  <si>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</si>
  <si>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</si>
  <si>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</si>
  <si>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</si>
  <si>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</si>
  <si>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</si>
  <si>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</si>
  <si>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</si>
  <si>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</si>
  <si>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</si>
  <si>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</si>
  <si>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</si>
  <si>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</si>
  <si>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</si>
  <si>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</si>
  <si>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</si>
  <si>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</si>
  <si>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</si>
  <si>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</si>
  <si>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</si>
  <si>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</si>
  <si>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</si>
  <si>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</si>
  <si>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</si>
  <si>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</si>
  <si>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</si>
  <si>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</si>
  <si>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</si>
  <si>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</si>
  <si>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</si>
  <si>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</si>
  <si>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</si>
  <si>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</si>
  <si>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</si>
  <si>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</si>
  <si>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</si>
  <si>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</si>
  <si>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</si>
  <si>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</si>
  <si>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</si>
  <si>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</si>
  <si>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</si>
  <si>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</si>
  <si>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</si>
  <si>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</si>
  <si>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</si>
  <si>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</si>
  <si>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</si>
  <si>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</si>
  <si>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</si>
  <si>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</si>
  <si>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</si>
  <si>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</si>
  <si>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</si>
  <si>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</si>
  <si>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</si>
  <si>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</si>
  <si>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</si>
  <si>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</si>
  <si>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</si>
  <si>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</si>
  <si>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</si>
  <si>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</si>
  <si>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</si>
  <si>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</si>
  <si>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</si>
  <si>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</si>
  <si>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</si>
  <si>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</si>
  <si>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</si>
  <si>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</si>
  <si>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</si>
  <si>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</si>
  <si>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</si>
  <si>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</si>
  <si>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</si>
  <si>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</si>
  <si>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</si>
  <si>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</si>
  <si>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</si>
  <si>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</si>
  <si>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</si>
  <si>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</si>
  <si>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</si>
  <si>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</si>
  <si>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</si>
  <si>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</si>
  <si>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</si>
  <si>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</si>
  <si>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</si>
  <si>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</si>
  <si>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</si>
  <si>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</si>
  <si>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</si>
  <si>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</si>
  <si>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</si>
  <si>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</si>
  <si>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</si>
  <si>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</si>
  <si>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</si>
  <si>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</si>
  <si>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</si>
  <si>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</si>
  <si>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</si>
  <si>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</si>
  <si>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</si>
  <si>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</si>
  <si>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</si>
  <si>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</si>
  <si>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</si>
  <si>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</si>
  <si>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</si>
  <si>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</si>
  <si>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</si>
  <si>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</si>
  <si>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</si>
  <si>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</si>
  <si>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</si>
  <si>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</si>
  <si>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</si>
  <si>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</si>
  <si>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</si>
  <si>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</si>
  <si>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</si>
  <si>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</si>
  <si>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</si>
  <si>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</si>
  <si>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</si>
  <si>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</si>
  <si>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</si>
  <si>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</si>
  <si>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</si>
  <si>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</si>
  <si>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</si>
  <si>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</si>
  <si>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</si>
  <si>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</si>
  <si>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</si>
  <si>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</si>
  <si>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</si>
  <si>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</si>
  <si>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</si>
  <si>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</si>
  <si>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</si>
  <si>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</si>
  <si>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</si>
  <si>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</si>
  <si>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</si>
  <si>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</si>
  <si>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</si>
  <si>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</si>
  <si>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</si>
  <si>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</si>
  <si>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</si>
  <si>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</si>
  <si>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</si>
  <si>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</si>
  <si>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</si>
  <si>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</si>
  <si>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</si>
  <si>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</si>
  <si>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</si>
  <si>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</si>
  <si>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</si>
  <si>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</si>
  <si>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</si>
  <si>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</si>
  <si>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</si>
  <si>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</si>
  <si>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</si>
  <si>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</si>
  <si>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</si>
  <si>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</si>
  <si>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</si>
  <si>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</si>
  <si>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</si>
  <si>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</si>
  <si>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</si>
  <si>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</si>
  <si>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</si>
  <si>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</si>
  <si>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</si>
  <si>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</si>
  <si>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</si>
  <si>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</si>
  <si>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</si>
  <si>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</si>
  <si>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</si>
  <si>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</si>
  <si>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</si>
  <si>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</si>
  <si>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</si>
  <si>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</si>
  <si>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</si>
  <si>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</si>
  <si>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</si>
  <si>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</si>
  <si>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</si>
  <si>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</si>
  <si>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</si>
  <si>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</si>
  <si>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</si>
  <si>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</si>
  <si>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</si>
  <si>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</si>
  <si>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</si>
  <si>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</si>
  <si>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</si>
  <si>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</si>
  <si>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</si>
  <si>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</si>
  <si>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</si>
  <si>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</si>
  <si>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</si>
  <si>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</si>
  <si>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</si>
  <si>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</si>
  <si>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</si>
  <si>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</si>
  <si>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</si>
  <si>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</si>
  <si>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</si>
  <si>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</si>
  <si>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</si>
  <si>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</si>
  <si>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</si>
  <si>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</si>
  <si>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</si>
  <si>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</si>
  <si>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</si>
  <si>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</si>
  <si>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</si>
  <si>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</si>
  <si>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</si>
  <si>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</si>
  <si>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</si>
  <si>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</si>
  <si>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</si>
  <si>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</si>
  <si>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</si>
  <si>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</si>
  <si>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</si>
  <si>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</si>
  <si>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</si>
  <si>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</si>
  <si>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</si>
  <si>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</si>
  <si>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</si>
  <si>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</si>
  <si>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</si>
  <si>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</si>
  <si>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</si>
  <si>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</si>
  <si>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</si>
  <si>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</si>
  <si>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</si>
  <si>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</si>
  <si>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</si>
  <si>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</si>
  <si>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</si>
  <si>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</si>
  <si>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</si>
  <si>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</si>
  <si>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</si>
  <si>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</si>
  <si>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</si>
  <si>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</si>
  <si>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</si>
  <si>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</si>
  <si>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</si>
  <si>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</si>
  <si>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</si>
  <si>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</si>
  <si>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</si>
  <si>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</si>
  <si>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</si>
  <si>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</si>
  <si>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</si>
  <si>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</si>
  <si>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</si>
  <si>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</si>
  <si>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</si>
  <si>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</si>
  <si>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</si>
  <si>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</si>
  <si>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</si>
  <si>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</si>
  <si>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</si>
  <si>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</si>
  <si>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</si>
  <si>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</si>
  <si>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</si>
  <si>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</si>
  <si>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</si>
  <si>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</si>
  <si>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</si>
  <si>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</si>
  <si>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</si>
  <si>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</si>
  <si>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</si>
  <si>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</si>
  <si>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</si>
  <si>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</si>
  <si>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</si>
  <si>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</si>
  <si>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MERRIMACK VALLEY SCHOOL DISTRICT</t>
  </si>
  <si>
    <t>Fiancial statement adjustemnt after DOE25 submittal.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</si>
</sst>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7" zoomScaleNormal="117" workbookViewId="0">
      <pane xSplit="5" ySplit="3" topLeftCell="F644" activePane="bottomRight" state="frozen"/>
      <selection pane="topRight" activeCell="F1" sqref="F1"/>
      <selection pane="bottomLeft" activeCell="A4" sqref="A4"/>
      <selection pane="bottomRight" activeCell="H667" sqref="H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352</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2252412</v>
      </c>
      <c r="G9" s="18">
        <v>25133</v>
      </c>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f>2471+34191</f>
        <v>36662</v>
      </c>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112566+12580</f>
        <v>125146</v>
      </c>
      <c r="G12" s="18"/>
      <c r="H12" s="18">
        <v>55639</v>
      </c>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19006</v>
      </c>
      <c r="G13" s="18">
        <v>17210</v>
      </c>
      <c r="H13" s="18">
        <f>350928</f>
        <v>350928</v>
      </c>
      <c r="I13" s="18"/>
      <c r="J13" s="67">
        <f>SUM(I443)</f>
        <v>673837</v>
      </c>
      <c r="K13" s="24" t="s">
        <v>288</v>
      </c>
      <c r="L13" s="24" t="s">
        <v>288</v>
      </c>
      <c r="M13" s="8"/>
      <c r="N13" s="266"/>
    </row>
    <row r="14" spans="1:14" s="3" customFormat="1" ht="12.2" customHeight="1" x14ac:dyDescent="0.15">
      <c r="A14" s="1" t="s">
        <v>565</v>
      </c>
      <c r="B14" s="2" t="s">
        <v>289</v>
      </c>
      <c r="C14" s="6">
        <v>6</v>
      </c>
      <c r="D14" s="2" t="s">
        <v>428</v>
      </c>
      <c r="E14" s="6">
        <v>150</v>
      </c>
      <c r="F14" s="18">
        <f>734+1599+5870</f>
        <v>8203</v>
      </c>
      <c r="G14" s="18">
        <v>1010</v>
      </c>
      <c r="H14" s="18">
        <f>1964+29580-15210</f>
        <v>16334</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10294</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2441429</v>
      </c>
      <c r="G19" s="41">
        <f>SUM(G9:G18)</f>
        <v>53647</v>
      </c>
      <c r="H19" s="41">
        <f>SUM(H9:H18)</f>
        <v>422901</v>
      </c>
      <c r="I19" s="41">
        <f>SUM(I9:I18)</f>
        <v>0</v>
      </c>
      <c r="J19" s="41">
        <f>SUM(J9:J18)</f>
        <v>673837</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f>1599+12580</f>
        <v>14179</v>
      </c>
      <c r="H22" s="18">
        <f>170018-123+11113-14524</f>
        <v>166484</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117673</v>
      </c>
      <c r="G24" s="18">
        <v>39468</v>
      </c>
      <c r="H24" s="18">
        <f>100595</f>
        <v>100595</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1862620</v>
      </c>
      <c r="G28" s="18"/>
      <c r="H28" s="18">
        <f>93571</f>
        <v>93571</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18+1859+7471-26-48-2</f>
        <v>9272</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f>64144+4778</f>
        <v>68922</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1989565</v>
      </c>
      <c r="G32" s="41">
        <f>SUM(G22:G31)</f>
        <v>53647</v>
      </c>
      <c r="H32" s="41">
        <f>SUM(H22:H31)</f>
        <v>429572</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10294</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f>12580-10294-12580</f>
        <v>-10294</v>
      </c>
      <c r="H48" s="18">
        <v>-6671</v>
      </c>
      <c r="I48" s="18"/>
      <c r="J48" s="13">
        <f>SUM(I460)</f>
        <v>673837</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439284+12580</f>
        <v>451864</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451864</v>
      </c>
      <c r="G51" s="41">
        <f>SUM(G35:G50)</f>
        <v>0</v>
      </c>
      <c r="H51" s="41">
        <f>SUM(H35:H50)</f>
        <v>-6671</v>
      </c>
      <c r="I51" s="41">
        <f>SUM(I35:I50)</f>
        <v>0</v>
      </c>
      <c r="J51" s="41">
        <f>SUM(J35:J50)</f>
        <v>673837</v>
      </c>
      <c r="K51" s="45" t="s">
        <v>288</v>
      </c>
      <c r="L51" s="45" t="s">
        <v>288</v>
      </c>
      <c r="N51" s="264"/>
    </row>
    <row r="52" spans="1:14" s="3" customFormat="1" ht="12.2" customHeight="1" thickTop="1" x14ac:dyDescent="0.15">
      <c r="A52" s="38" t="s">
        <v>455</v>
      </c>
      <c r="B52" s="39" t="s">
        <v>289</v>
      </c>
      <c r="C52" s="6">
        <v>37</v>
      </c>
      <c r="D52" s="39" t="s">
        <v>653</v>
      </c>
      <c r="E52" s="39"/>
      <c r="F52" s="41">
        <f>F51+F32</f>
        <v>2441429</v>
      </c>
      <c r="G52" s="41">
        <f>G51+G32</f>
        <v>53647</v>
      </c>
      <c r="H52" s="41">
        <f>H51+H32</f>
        <v>422901</v>
      </c>
      <c r="I52" s="41">
        <f>I51+I32</f>
        <v>0</v>
      </c>
      <c r="J52" s="41">
        <f>J51+J32</f>
        <v>673837</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f>7802990+4450740+7501991+2013890+2759684</f>
        <v>24529295</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24529295</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781295</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122902</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904197</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f>558</f>
        <v>558</v>
      </c>
      <c r="G96" s="18">
        <v>524</v>
      </c>
      <c r="H96" s="18"/>
      <c r="I96" s="18"/>
      <c r="J96" s="18">
        <v>39940</v>
      </c>
      <c r="K96" s="24" t="s">
        <v>288</v>
      </c>
      <c r="L96" s="24" t="s">
        <v>288</v>
      </c>
      <c r="M96" s="8"/>
      <c r="N96" s="266"/>
    </row>
    <row r="97" spans="1:14" s="3" customFormat="1" ht="12.2" customHeight="1" x14ac:dyDescent="0.15">
      <c r="A97" s="1" t="s">
        <v>503</v>
      </c>
      <c r="B97" s="2" t="s">
        <v>315</v>
      </c>
      <c r="C97" s="6">
        <v>12</v>
      </c>
      <c r="D97" s="2" t="s">
        <v>430</v>
      </c>
      <c r="E97" s="6">
        <v>1600</v>
      </c>
      <c r="F97" s="24" t="s">
        <v>288</v>
      </c>
      <c r="G97" s="18">
        <f>33017+24776+33321+8133+14254+106021+221705+12580</f>
        <v>453807</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28468</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107892+35668-2</f>
        <v>143558</v>
      </c>
      <c r="G110" s="18">
        <v>7441</v>
      </c>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172584</v>
      </c>
      <c r="G111" s="41">
        <f>SUM(G96:G110)</f>
        <v>461772</v>
      </c>
      <c r="H111" s="41">
        <f>SUM(H96:H110)</f>
        <v>0</v>
      </c>
      <c r="I111" s="41">
        <f>SUM(I96:I110)</f>
        <v>0</v>
      </c>
      <c r="J111" s="41">
        <f>SUM(J96:J110)</f>
        <v>39940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25606076</v>
      </c>
      <c r="G112" s="41">
        <f>G60+G111</f>
        <v>461772</v>
      </c>
      <c r="H112" s="41">
        <f>H60+H79+H94+H111</f>
        <v>0</v>
      </c>
      <c r="I112" s="41">
        <f>I60+I111</f>
        <v>0</v>
      </c>
      <c r="J112" s="41">
        <f>J60+J111</f>
        <v>39940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f>10356896+10138</f>
        <v>10367034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3218583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24575</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13610192</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328245</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26420</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15113</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354665</v>
      </c>
      <c r="G136" s="41">
        <f>SUM(G123:G135)</f>
        <v>15113</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13964857</v>
      </c>
      <c r="G140" s="41">
        <f>G121+SUM(G136:G137)</f>
        <v>15113</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v>14869</v>
      </c>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14869</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413677</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294295</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630499</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59396</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v>27079</v>
      </c>
      <c r="H161" s="18">
        <v>232015</v>
      </c>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59396</v>
      </c>
      <c r="G163" s="41">
        <f>SUM(G150:G162)</f>
        <v>321374</v>
      </c>
      <c r="H163" s="41">
        <f>SUM(H150:H162)</f>
        <v>1276191</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59396</v>
      </c>
      <c r="G170" s="41">
        <f>G147+G163+SUM(G164:G169)</f>
        <v>321374</v>
      </c>
      <c r="H170" s="41">
        <f>H147+H163+SUM(H164:H169)</f>
        <v>1291060</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f>299478-12580</f>
        <v>286898</v>
      </c>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286898</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286898</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39630329</v>
      </c>
      <c r="G194" s="47">
        <f>G112+G140+G170+G193</f>
        <v>1085157</v>
      </c>
      <c r="H194" s="47">
        <f>H112+H140+H170+H193</f>
        <v>1291060</v>
      </c>
      <c r="I194" s="47">
        <f>I112+I140+I170+I193</f>
        <v>0</v>
      </c>
      <c r="J194" s="47">
        <f>J112+J140+J193</f>
        <v>39940</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4205985+195756</f>
        <v>4401741</v>
      </c>
      <c r="G198" s="18">
        <f>1821642</f>
        <v>1821642</v>
      </c>
      <c r="H198" s="18">
        <f>2568</f>
        <v>2568</v>
      </c>
      <c r="I198" s="18">
        <f>82689+58257</f>
        <v>140946</v>
      </c>
      <c r="J198" s="18">
        <f>29348</f>
        <v>29348</v>
      </c>
      <c r="K198" s="18"/>
      <c r="L198" s="19">
        <f>SUM(F198:K198)</f>
        <v>6396245</v>
      </c>
      <c r="M198" s="8"/>
      <c r="N198" s="266"/>
    </row>
    <row r="199" spans="1:14" s="3" customFormat="1" ht="12.2" customHeight="1" x14ac:dyDescent="0.15">
      <c r="A199" s="1" t="s">
        <v>439</v>
      </c>
      <c r="B199" s="2" t="s">
        <v>341</v>
      </c>
      <c r="C199" s="2" t="s">
        <v>291</v>
      </c>
      <c r="D199" s="2" t="s">
        <v>431</v>
      </c>
      <c r="E199" s="6">
        <v>1200</v>
      </c>
      <c r="F199" s="18">
        <f>2315703+64631</f>
        <v>2380334</v>
      </c>
      <c r="G199" s="18">
        <v>896453</v>
      </c>
      <c r="H199" s="18">
        <f>456030+85055</f>
        <v>541085</v>
      </c>
      <c r="I199" s="18">
        <f>5161+1065</f>
        <v>6226</v>
      </c>
      <c r="J199" s="18">
        <f>451</f>
        <v>451</v>
      </c>
      <c r="K199" s="18"/>
      <c r="L199" s="19">
        <f>SUM(F199:K199)</f>
        <v>3824549</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f>43333</f>
        <v>43333</v>
      </c>
      <c r="G201" s="18">
        <v>43145</v>
      </c>
      <c r="H201" s="18"/>
      <c r="I201" s="18"/>
      <c r="J201" s="18"/>
      <c r="K201" s="18">
        <v>127</v>
      </c>
      <c r="L201" s="19">
        <f>SUM(F201:K201)</f>
        <v>86605</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682937+552749</f>
        <v>1235686</v>
      </c>
      <c r="G203" s="18">
        <v>557761</v>
      </c>
      <c r="H203" s="18">
        <f>168397+33569</f>
        <v>201966</v>
      </c>
      <c r="I203" s="18">
        <f>3536+3310</f>
        <v>6846</v>
      </c>
      <c r="J203" s="18">
        <f>697</f>
        <v>697</v>
      </c>
      <c r="K203" s="18">
        <f>787</f>
        <v>787</v>
      </c>
      <c r="L203" s="19">
        <f t="shared" ref="L203:L209" si="0">SUM(F203:K203)</f>
        <v>2003743</v>
      </c>
      <c r="M203" s="8"/>
      <c r="N203" s="266"/>
    </row>
    <row r="204" spans="1:14" s="3" customFormat="1" ht="12.2" customHeight="1" x14ac:dyDescent="0.15">
      <c r="A204" s="1" t="s">
        <v>443</v>
      </c>
      <c r="B204" s="2" t="s">
        <v>341</v>
      </c>
      <c r="C204" s="2" t="s">
        <v>295</v>
      </c>
      <c r="D204" s="2" t="s">
        <v>431</v>
      </c>
      <c r="E204" s="6">
        <v>2200</v>
      </c>
      <c r="F204" s="18">
        <f>76523+167217</f>
        <v>243740</v>
      </c>
      <c r="G204" s="18">
        <f>137967</f>
        <v>137967</v>
      </c>
      <c r="H204" s="18">
        <f>207+24355</f>
        <v>24562</v>
      </c>
      <c r="I204" s="18">
        <f>6331+49323</f>
        <v>55654</v>
      </c>
      <c r="J204" s="18">
        <f>59635</f>
        <v>59635</v>
      </c>
      <c r="K204" s="18"/>
      <c r="L204" s="19">
        <f t="shared" si="0"/>
        <v>521558</v>
      </c>
      <c r="M204" s="8"/>
      <c r="N204" s="266"/>
    </row>
    <row r="205" spans="1:14" s="3" customFormat="1" ht="12.2" customHeight="1" x14ac:dyDescent="0.15">
      <c r="A205" s="1" t="s">
        <v>444</v>
      </c>
      <c r="B205" s="2" t="s">
        <v>341</v>
      </c>
      <c r="C205" s="2" t="s">
        <v>296</v>
      </c>
      <c r="D205" s="2" t="s">
        <v>431</v>
      </c>
      <c r="E205" s="6">
        <v>2300</v>
      </c>
      <c r="F205" s="18">
        <f>23568</f>
        <v>23568</v>
      </c>
      <c r="G205" s="18">
        <f>7162</f>
        <v>7162</v>
      </c>
      <c r="H205" s="18">
        <f>84+49328+331158</f>
        <v>380570</v>
      </c>
      <c r="I205" s="18">
        <f>2118</f>
        <v>2118</v>
      </c>
      <c r="J205" s="18"/>
      <c r="K205" s="18">
        <f>2581</f>
        <v>2581</v>
      </c>
      <c r="L205" s="19">
        <f t="shared" si="0"/>
        <v>415999</v>
      </c>
      <c r="M205" s="8"/>
      <c r="N205" s="266"/>
    </row>
    <row r="206" spans="1:14" s="3" customFormat="1" ht="12.2" customHeight="1" x14ac:dyDescent="0.15">
      <c r="A206" s="1" t="s">
        <v>445</v>
      </c>
      <c r="B206" s="2" t="s">
        <v>341</v>
      </c>
      <c r="C206" s="2" t="s">
        <v>297</v>
      </c>
      <c r="D206" s="2" t="s">
        <v>431</v>
      </c>
      <c r="E206" s="6">
        <v>2400</v>
      </c>
      <c r="F206" s="18">
        <f>667967</f>
        <v>667967</v>
      </c>
      <c r="G206" s="18">
        <f>263825</f>
        <v>263825</v>
      </c>
      <c r="H206" s="18">
        <f>20110</f>
        <v>20110</v>
      </c>
      <c r="I206" s="18">
        <f>4304+3440</f>
        <v>7744</v>
      </c>
      <c r="J206" s="18">
        <f>25790</f>
        <v>25790</v>
      </c>
      <c r="K206" s="18">
        <f>4620</f>
        <v>4620</v>
      </c>
      <c r="L206" s="19">
        <f t="shared" si="0"/>
        <v>990056</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f>410206+255075</f>
        <v>665281</v>
      </c>
      <c r="G208" s="18">
        <f>260971</f>
        <v>260971</v>
      </c>
      <c r="H208" s="18">
        <f>159651+156448</f>
        <v>316099</v>
      </c>
      <c r="I208" s="18">
        <f>436228+90180</f>
        <v>526408</v>
      </c>
      <c r="J208" s="18">
        <f>44560</f>
        <v>44560</v>
      </c>
      <c r="K208" s="18"/>
      <c r="L208" s="19">
        <f t="shared" si="0"/>
        <v>1813319</v>
      </c>
      <c r="M208" s="8"/>
      <c r="N208" s="266"/>
    </row>
    <row r="209" spans="1:14" s="3" customFormat="1" ht="12.2" customHeight="1" x14ac:dyDescent="0.15">
      <c r="A209" s="1" t="s">
        <v>448</v>
      </c>
      <c r="B209" s="2" t="s">
        <v>341</v>
      </c>
      <c r="C209" s="2" t="s">
        <v>300</v>
      </c>
      <c r="D209" s="2" t="s">
        <v>431</v>
      </c>
      <c r="E209" s="6">
        <v>2700</v>
      </c>
      <c r="F209" s="18">
        <f>46152+395961</f>
        <v>442113</v>
      </c>
      <c r="G209" s="18">
        <f>149770</f>
        <v>149770</v>
      </c>
      <c r="H209" s="18">
        <f>125590</f>
        <v>125590</v>
      </c>
      <c r="I209" s="18">
        <f>48605</f>
        <v>48605</v>
      </c>
      <c r="J209" s="18">
        <f>55464</f>
        <v>55464</v>
      </c>
      <c r="K209" s="18">
        <f>275</f>
        <v>275</v>
      </c>
      <c r="L209" s="19">
        <f t="shared" si="0"/>
        <v>821817</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10103763</v>
      </c>
      <c r="G212" s="41">
        <f t="shared" si="1"/>
        <v>4138696</v>
      </c>
      <c r="H212" s="41">
        <f t="shared" si="1"/>
        <v>1612550</v>
      </c>
      <c r="I212" s="41">
        <f t="shared" si="1"/>
        <v>794547</v>
      </c>
      <c r="J212" s="41">
        <f t="shared" si="1"/>
        <v>215945</v>
      </c>
      <c r="K212" s="41">
        <f t="shared" si="1"/>
        <v>8390</v>
      </c>
      <c r="L212" s="41">
        <f t="shared" si="1"/>
        <v>16873891</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f>2275132+109301</f>
        <v>2384433</v>
      </c>
      <c r="G216" s="18">
        <f>1017118</f>
        <v>1017118</v>
      </c>
      <c r="H216" s="18">
        <f>5922</f>
        <v>5922</v>
      </c>
      <c r="I216" s="18">
        <f>24466+32528</f>
        <v>56994</v>
      </c>
      <c r="J216" s="18">
        <f>28093</f>
        <v>28093</v>
      </c>
      <c r="K216" s="18"/>
      <c r="L216" s="19">
        <f>SUM(F216:K216)</f>
        <v>3492560</v>
      </c>
      <c r="M216" s="8"/>
      <c r="N216" s="266"/>
    </row>
    <row r="217" spans="1:14" s="3" customFormat="1" ht="12.2" customHeight="1" x14ac:dyDescent="0.15">
      <c r="A217" s="1" t="s">
        <v>439</v>
      </c>
      <c r="B217" s="2" t="s">
        <v>346</v>
      </c>
      <c r="C217" s="2" t="s">
        <v>291</v>
      </c>
      <c r="D217" s="2" t="s">
        <v>431</v>
      </c>
      <c r="E217" s="6">
        <v>1200</v>
      </c>
      <c r="F217" s="18">
        <f>1018235+36087</f>
        <v>1054322</v>
      </c>
      <c r="G217" s="18">
        <v>500537</v>
      </c>
      <c r="H217" s="18">
        <f>446092+47491</f>
        <v>493583</v>
      </c>
      <c r="I217" s="18">
        <f>3646+595</f>
        <v>4241</v>
      </c>
      <c r="J217" s="18">
        <f>205+252</f>
        <v>457</v>
      </c>
      <c r="K217" s="18"/>
      <c r="L217" s="19">
        <f>SUM(F217:K217)</f>
        <v>2053140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f>59133</f>
        <v>59133</v>
      </c>
      <c r="G219" s="18">
        <v>24090</v>
      </c>
      <c r="H219" s="18"/>
      <c r="I219" s="18">
        <f>24625</f>
        <v>24625</v>
      </c>
      <c r="J219" s="18">
        <f>16788</f>
        <v>16788</v>
      </c>
      <c r="K219" s="18">
        <f>325+71</f>
        <v>396</v>
      </c>
      <c r="L219" s="19">
        <f>SUM(F219:K219)</f>
        <v>125032</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f>414714+308629</f>
        <v>723343</v>
      </c>
      <c r="G221" s="18">
        <v>311427</v>
      </c>
      <c r="H221" s="18">
        <f>76642+18744</f>
        <v>95386</v>
      </c>
      <c r="I221" s="18">
        <f>3206+1848</f>
        <v>5054</v>
      </c>
      <c r="J221" s="18">
        <f>389</f>
        <v>389</v>
      </c>
      <c r="K221" s="18">
        <f>440</f>
        <v>440</v>
      </c>
      <c r="L221" s="19">
        <f t="shared" ref="L221:L227" si="2">SUM(F221:K221)</f>
        <v>1136039</v>
      </c>
      <c r="M221" s="8"/>
      <c r="N221" s="266"/>
    </row>
    <row r="222" spans="1:14" s="3" customFormat="1" ht="12.2" customHeight="1" x14ac:dyDescent="0.15">
      <c r="A222" s="1" t="s">
        <v>443</v>
      </c>
      <c r="B222" s="2" t="s">
        <v>346</v>
      </c>
      <c r="C222" s="2" t="s">
        <v>295</v>
      </c>
      <c r="D222" s="2" t="s">
        <v>431</v>
      </c>
      <c r="E222" s="6">
        <v>2200</v>
      </c>
      <c r="F222" s="18">
        <f>103785+93366</f>
        <v>197151</v>
      </c>
      <c r="G222" s="18">
        <v>77034</v>
      </c>
      <c r="H222" s="18">
        <f>13599</f>
        <v>13599</v>
      </c>
      <c r="I222" s="18">
        <f>14593+27539</f>
        <v>42132</v>
      </c>
      <c r="J222" s="18">
        <f>820+33297</f>
        <v>34117</v>
      </c>
      <c r="K222" s="18"/>
      <c r="L222" s="19">
        <f t="shared" si="2"/>
        <v>364033</v>
      </c>
      <c r="M222" s="8"/>
      <c r="N222" s="266"/>
    </row>
    <row r="223" spans="1:14" s="3" customFormat="1" ht="12.2" customHeight="1" x14ac:dyDescent="0.15">
      <c r="A223" s="1" t="s">
        <v>444</v>
      </c>
      <c r="B223" s="2" t="s">
        <v>346</v>
      </c>
      <c r="C223" s="2" t="s">
        <v>296</v>
      </c>
      <c r="D223" s="2" t="s">
        <v>431</v>
      </c>
      <c r="E223" s="6">
        <v>2300</v>
      </c>
      <c r="F223" s="18">
        <f>13159</f>
        <v>13159</v>
      </c>
      <c r="G223" s="18">
        <f>3999</f>
        <v>3999</v>
      </c>
      <c r="H223" s="18">
        <f>28+27542+184903</f>
        <v>212473</v>
      </c>
      <c r="I223" s="18">
        <f>1182</f>
        <v>1182</v>
      </c>
      <c r="J223" s="18"/>
      <c r="K223" s="18">
        <f>1441</f>
        <v>1441</v>
      </c>
      <c r="L223" s="19">
        <f t="shared" si="2"/>
        <v>232254</v>
      </c>
      <c r="M223" s="8"/>
      <c r="N223" s="266"/>
    </row>
    <row r="224" spans="1:14" s="3" customFormat="1" ht="12.2" customHeight="1" x14ac:dyDescent="0.15">
      <c r="A224" s="1" t="s">
        <v>445</v>
      </c>
      <c r="B224" s="2" t="s">
        <v>346</v>
      </c>
      <c r="C224" s="2" t="s">
        <v>297</v>
      </c>
      <c r="D224" s="2" t="s">
        <v>431</v>
      </c>
      <c r="E224" s="6">
        <v>2400</v>
      </c>
      <c r="F224" s="18">
        <f>311761</f>
        <v>311761</v>
      </c>
      <c r="G224" s="18">
        <f>147307</f>
        <v>147307</v>
      </c>
      <c r="H224" s="18">
        <f>8062</f>
        <v>8062</v>
      </c>
      <c r="I224" s="18">
        <f>250+1921</f>
        <v>2171</v>
      </c>
      <c r="J224" s="18">
        <f>14400</f>
        <v>14400</v>
      </c>
      <c r="K224" s="18">
        <f>2234</f>
        <v>2234</v>
      </c>
      <c r="L224" s="19">
        <f t="shared" si="2"/>
        <v>485935</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f>136537+142422</f>
        <v>278959</v>
      </c>
      <c r="G226" s="18">
        <f>145714</f>
        <v>145714</v>
      </c>
      <c r="H226" s="18">
        <f>48302+87353</f>
        <v>135655</v>
      </c>
      <c r="I226" s="18">
        <f>101574+50352</f>
        <v>151926</v>
      </c>
      <c r="J226" s="18">
        <v>24880</v>
      </c>
      <c r="K226" s="18"/>
      <c r="L226" s="19">
        <f t="shared" si="2"/>
        <v>737134</v>
      </c>
      <c r="M226" s="8"/>
      <c r="N226" s="266"/>
    </row>
    <row r="227" spans="1:14" s="3" customFormat="1" ht="12.2" customHeight="1" x14ac:dyDescent="0.15">
      <c r="A227" s="1" t="s">
        <v>448</v>
      </c>
      <c r="B227" s="2" t="s">
        <v>346</v>
      </c>
      <c r="C227" s="2" t="s">
        <v>300</v>
      </c>
      <c r="D227" s="2" t="s">
        <v>431</v>
      </c>
      <c r="E227" s="6">
        <v>2700</v>
      </c>
      <c r="F227" s="18">
        <f>10292+221086</f>
        <v>231378</v>
      </c>
      <c r="G227" s="18">
        <f>83625</f>
        <v>83625</v>
      </c>
      <c r="H227" s="18">
        <f>70124</f>
        <v>70124</v>
      </c>
      <c r="I227" s="18">
        <f>27139</f>
        <v>27139</v>
      </c>
      <c r="J227" s="18">
        <f>30968</f>
        <v>30968</v>
      </c>
      <c r="K227" s="18">
        <f>155</f>
        <v>155</v>
      </c>
      <c r="L227" s="19">
        <f t="shared" si="2"/>
        <v>443389</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5253639</v>
      </c>
      <c r="G230" s="41">
        <f>SUM(G216:G229)</f>
        <v>2310851</v>
      </c>
      <c r="H230" s="41">
        <f>SUM(H216:H229)</f>
        <v>1034804</v>
      </c>
      <c r="I230" s="41">
        <f>SUM(I216:I229)</f>
        <v>315464</v>
      </c>
      <c r="J230" s="41">
        <f>SUM(J216:J229)</f>
        <v>150092</v>
      </c>
      <c r="K230" s="41">
        <f t="shared" si="3"/>
        <v>4666</v>
      </c>
      <c r="L230" s="41">
        <f t="shared" si="3"/>
        <v>9069516</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f>2443962+156232</f>
        <v>2600194</v>
      </c>
      <c r="G234" s="18">
        <f>1453850</f>
        <v>1453850</v>
      </c>
      <c r="H234" s="18">
        <f>1417</f>
        <v>1417</v>
      </c>
      <c r="I234" s="18">
        <f>77297+46495</f>
        <v>123792</v>
      </c>
      <c r="J234" s="18">
        <f>19954</f>
        <v>19954</v>
      </c>
      <c r="K234" s="18"/>
      <c r="L234" s="19">
        <f>SUM(F234:K234)</f>
        <v>4199207</v>
      </c>
      <c r="M234" s="8"/>
      <c r="N234" s="266"/>
    </row>
    <row r="235" spans="1:14" s="3" customFormat="1" ht="12.2" customHeight="1" x14ac:dyDescent="0.15">
      <c r="A235" s="1" t="s">
        <v>439</v>
      </c>
      <c r="B235" s="2" t="s">
        <v>350</v>
      </c>
      <c r="C235" s="2" t="s">
        <v>291</v>
      </c>
      <c r="D235" s="2" t="s">
        <v>431</v>
      </c>
      <c r="E235" s="6">
        <v>1200</v>
      </c>
      <c r="F235" s="18">
        <f>970285+51582</f>
        <v>1021867</v>
      </c>
      <c r="G235" s="18">
        <v>715459</v>
      </c>
      <c r="H235" s="18">
        <f>428305+67882</f>
        <v>496187</v>
      </c>
      <c r="I235" s="18">
        <f>3693+850</f>
        <v>4543</v>
      </c>
      <c r="J235" s="18">
        <f>526+360</f>
        <v>886</v>
      </c>
      <c r="K235" s="18"/>
      <c r="L235" s="19">
        <f>SUM(F235:K235)</f>
        <v>2238942</v>
      </c>
      <c r="M235" s="8"/>
      <c r="N235" s="266"/>
    </row>
    <row r="236" spans="1:14" s="3" customFormat="1" ht="12.2" customHeight="1" x14ac:dyDescent="0.15">
      <c r="A236" s="1" t="s">
        <v>440</v>
      </c>
      <c r="B236" s="2" t="s">
        <v>350</v>
      </c>
      <c r="C236" s="2" t="s">
        <v>292</v>
      </c>
      <c r="D236" s="2" t="s">
        <v>431</v>
      </c>
      <c r="E236" s="6">
        <v>1300</v>
      </c>
      <c r="F236" s="18"/>
      <c r="G236" s="18"/>
      <c r="H236" s="18">
        <f>291519</f>
        <v>291519</v>
      </c>
      <c r="I236" s="18"/>
      <c r="J236" s="18"/>
      <c r="K236" s="18"/>
      <c r="L236" s="19">
        <f>SUM(F236:K236)</f>
        <v>291519</v>
      </c>
      <c r="M236" s="8"/>
      <c r="N236" s="266"/>
    </row>
    <row r="237" spans="1:14" s="3" customFormat="1" ht="12.2" customHeight="1" x14ac:dyDescent="0.15">
      <c r="A237" s="1" t="s">
        <v>441</v>
      </c>
      <c r="B237" s="2" t="s">
        <v>350</v>
      </c>
      <c r="C237" s="2" t="s">
        <v>293</v>
      </c>
      <c r="D237" s="2" t="s">
        <v>431</v>
      </c>
      <c r="E237" s="6">
        <v>1400</v>
      </c>
      <c r="F237" s="18">
        <f>261383</f>
        <v>261383</v>
      </c>
      <c r="G237" s="18">
        <v>34434</v>
      </c>
      <c r="H237" s="18">
        <f>31022</f>
        <v>31022</v>
      </c>
      <c r="I237" s="18">
        <f>65021</f>
        <v>65021</v>
      </c>
      <c r="J237" s="18"/>
      <c r="K237" s="18">
        <f>4153+102</f>
        <v>4255</v>
      </c>
      <c r="L237" s="19">
        <f>SUM(F237:K237)</f>
        <v>396115</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f>490812+441149</f>
        <v>931961</v>
      </c>
      <c r="G239" s="18">
        <v>445149</v>
      </c>
      <c r="H239" s="18">
        <f>171856+26792</f>
        <v>198648</v>
      </c>
      <c r="I239" s="18">
        <f>4270+2642</f>
        <v>6912</v>
      </c>
      <c r="J239" s="18">
        <f>556</f>
        <v>556</v>
      </c>
      <c r="K239" s="18">
        <f>628</f>
        <v>628</v>
      </c>
      <c r="L239" s="19">
        <f t="shared" ref="L239:L245" si="4">SUM(F239:K239)</f>
        <v>1583854</v>
      </c>
      <c r="M239" s="8"/>
      <c r="N239" s="266"/>
    </row>
    <row r="240" spans="1:14" s="3" customFormat="1" ht="12.2" customHeight="1" x14ac:dyDescent="0.15">
      <c r="A240" s="1" t="s">
        <v>443</v>
      </c>
      <c r="B240" s="2" t="s">
        <v>350</v>
      </c>
      <c r="C240" s="2" t="s">
        <v>295</v>
      </c>
      <c r="D240" s="2" t="s">
        <v>431</v>
      </c>
      <c r="E240" s="6">
        <v>2200</v>
      </c>
      <c r="F240" s="18">
        <f>77961+133456</f>
        <v>211417</v>
      </c>
      <c r="G240" s="18">
        <f>110112</f>
        <v>110112</v>
      </c>
      <c r="H240" s="18">
        <f>189+19438</f>
        <v>19627</v>
      </c>
      <c r="I240" s="18">
        <f>9806+39364</f>
        <v>49170</v>
      </c>
      <c r="J240" s="18">
        <f>1661+47595</f>
        <v>49256</v>
      </c>
      <c r="K240" s="18"/>
      <c r="L240" s="19">
        <f t="shared" si="4"/>
        <v>439582</v>
      </c>
      <c r="M240" s="8"/>
      <c r="N240" s="266"/>
    </row>
    <row r="241" spans="1:14" s="3" customFormat="1" ht="12.2" customHeight="1" x14ac:dyDescent="0.15">
      <c r="A241" s="1" t="s">
        <v>444</v>
      </c>
      <c r="B241" s="2" t="s">
        <v>350</v>
      </c>
      <c r="C241" s="2" t="s">
        <v>296</v>
      </c>
      <c r="D241" s="2" t="s">
        <v>431</v>
      </c>
      <c r="E241" s="6">
        <v>2300</v>
      </c>
      <c r="F241" s="18">
        <f>18810</f>
        <v>18810</v>
      </c>
      <c r="G241" s="18">
        <f>5716</f>
        <v>5716</v>
      </c>
      <c r="H241" s="18">
        <f>2630+39369+264297</f>
        <v>306296</v>
      </c>
      <c r="I241" s="18">
        <f>1690</f>
        <v>1690</v>
      </c>
      <c r="J241" s="18"/>
      <c r="K241" s="18">
        <f>2060</f>
        <v>2060</v>
      </c>
      <c r="L241" s="19">
        <f t="shared" si="4"/>
        <v>334572</v>
      </c>
      <c r="M241" s="8"/>
      <c r="N241" s="266"/>
    </row>
    <row r="242" spans="1:14" s="3" customFormat="1" ht="12.2" customHeight="1" x14ac:dyDescent="0.15">
      <c r="A242" s="1" t="s">
        <v>445</v>
      </c>
      <c r="B242" s="2" t="s">
        <v>350</v>
      </c>
      <c r="C242" s="2" t="s">
        <v>297</v>
      </c>
      <c r="D242" s="2" t="s">
        <v>431</v>
      </c>
      <c r="E242" s="6">
        <v>2400</v>
      </c>
      <c r="F242" s="18">
        <f>415119</f>
        <v>415119</v>
      </c>
      <c r="G242" s="18">
        <f>210558</f>
        <v>210558</v>
      </c>
      <c r="H242" s="18">
        <f>17336</f>
        <v>17336</v>
      </c>
      <c r="I242" s="18">
        <f>2746</f>
        <v>2746</v>
      </c>
      <c r="J242" s="18">
        <f>20583</f>
        <v>20583</v>
      </c>
      <c r="K242" s="18">
        <f>21790</f>
        <v>21790</v>
      </c>
      <c r="L242" s="19">
        <f t="shared" si="4"/>
        <v>688132</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f>268850+203575</f>
        <v>472425</v>
      </c>
      <c r="G244" s="18">
        <f>208281</f>
        <v>208281</v>
      </c>
      <c r="H244" s="18">
        <f>89648+124861</f>
        <v>214509</v>
      </c>
      <c r="I244" s="18">
        <f>197493+71972</f>
        <v>269465</v>
      </c>
      <c r="J244" s="18">
        <f>35564</f>
        <v>35564</v>
      </c>
      <c r="K244" s="18"/>
      <c r="L244" s="19">
        <f t="shared" si="4"/>
        <v>1200244</v>
      </c>
      <c r="M244" s="8"/>
      <c r="N244" s="266"/>
    </row>
    <row r="245" spans="1:14" s="3" customFormat="1" ht="12.2" customHeight="1" x14ac:dyDescent="0.15">
      <c r="A245" s="1" t="s">
        <v>448</v>
      </c>
      <c r="B245" s="2" t="s">
        <v>350</v>
      </c>
      <c r="C245" s="2" t="s">
        <v>300</v>
      </c>
      <c r="D245" s="2" t="s">
        <v>431</v>
      </c>
      <c r="E245" s="6">
        <v>2700</v>
      </c>
      <c r="F245" s="18">
        <f>36746+316016</f>
        <v>352762</v>
      </c>
      <c r="G245" s="18">
        <f>119531</f>
        <v>119531</v>
      </c>
      <c r="H245" s="18">
        <f>100234</f>
        <v>100234</v>
      </c>
      <c r="I245" s="18">
        <f>38791</f>
        <v>38791</v>
      </c>
      <c r="J245" s="18">
        <f>44266</f>
        <v>44266</v>
      </c>
      <c r="K245" s="18">
        <f>221</f>
        <v>221</v>
      </c>
      <c r="L245" s="19">
        <f t="shared" si="4"/>
        <v>655805</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6285938</v>
      </c>
      <c r="G248" s="41">
        <f t="shared" si="5"/>
        <v>3303090</v>
      </c>
      <c r="H248" s="41">
        <f t="shared" si="5"/>
        <v>1676795</v>
      </c>
      <c r="I248" s="41">
        <f t="shared" si="5"/>
        <v>562130</v>
      </c>
      <c r="J248" s="41">
        <f t="shared" si="5"/>
        <v>171065</v>
      </c>
      <c r="K248" s="41">
        <f t="shared" si="5"/>
        <v>28954</v>
      </c>
      <c r="L248" s="41">
        <f t="shared" si="5"/>
        <v>12027972</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434468</v>
      </c>
      <c r="I256" s="18"/>
      <c r="J256" s="18"/>
      <c r="K256" s="18"/>
      <c r="L256" s="19">
        <f t="shared" si="6"/>
        <v>434468</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434468</v>
      </c>
      <c r="I257" s="41">
        <f t="shared" si="7"/>
        <v>0</v>
      </c>
      <c r="J257" s="41">
        <f t="shared" si="7"/>
        <v>0</v>
      </c>
      <c r="K257" s="41">
        <f t="shared" si="7"/>
        <v>0</v>
      </c>
      <c r="L257" s="41">
        <f>SUM(F257:K257)</f>
        <v>434468</v>
      </c>
      <c r="M257" s="8"/>
      <c r="N257" s="266"/>
    </row>
    <row r="258" spans="1:14" s="3" customFormat="1" ht="12.2" customHeight="1" thickTop="1" x14ac:dyDescent="0.15">
      <c r="A258" s="38" t="s">
        <v>462</v>
      </c>
      <c r="B258" s="40">
        <v>10</v>
      </c>
      <c r="C258" s="40">
        <v>8</v>
      </c>
      <c r="D258" s="39" t="s">
        <v>431</v>
      </c>
      <c r="E258" s="40"/>
      <c r="F258" s="41">
        <f t="shared" ref="F258:L258" si="8">F212+F230+F248+F257</f>
        <v>21643340</v>
      </c>
      <c r="G258" s="41">
        <f t="shared" si="8"/>
        <v>9752637</v>
      </c>
      <c r="H258" s="41">
        <f t="shared" si="8"/>
        <v>4758617</v>
      </c>
      <c r="I258" s="41">
        <f t="shared" si="8"/>
        <v>1672141</v>
      </c>
      <c r="J258" s="41">
        <f t="shared" si="8"/>
        <v>537102</v>
      </c>
      <c r="K258" s="41">
        <f t="shared" si="8"/>
        <v>42010</v>
      </c>
      <c r="L258" s="41">
        <f t="shared" si="8"/>
        <v>38405847</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f>299478-12580</f>
        <v>286898</v>
      </c>
      <c r="L264" s="19">
        <f>SUM(F264:K264)</f>
        <v>286898</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286898</v>
      </c>
      <c r="L271" s="41">
        <f t="shared" si="9"/>
        <v>286898</v>
      </c>
      <c r="M271" s="8"/>
      <c r="N271" s="266"/>
    </row>
    <row r="272" spans="1:14" s="34" customFormat="1" ht="12.2" customHeight="1" thickTop="1" x14ac:dyDescent="0.2">
      <c r="A272" s="43" t="s">
        <v>464</v>
      </c>
      <c r="B272" s="40">
        <v>10</v>
      </c>
      <c r="C272" s="40">
        <v>18</v>
      </c>
      <c r="D272" s="39" t="s">
        <v>431</v>
      </c>
      <c r="E272" s="40"/>
      <c r="F272" s="42">
        <f t="shared" ref="F272:L272" si="11">F258+F271</f>
        <v>21643340</v>
      </c>
      <c r="G272" s="42">
        <f t="shared" si="11"/>
        <v>9752637</v>
      </c>
      <c r="H272" s="42">
        <f t="shared" si="11"/>
        <v>4758617</v>
      </c>
      <c r="I272" s="42">
        <f t="shared" si="11"/>
        <v>1672141</v>
      </c>
      <c r="J272" s="42">
        <f t="shared" si="11"/>
        <v>537102</v>
      </c>
      <c r="K272" s="42">
        <f t="shared" si="11"/>
        <v>328908</v>
      </c>
      <c r="L272" s="42">
        <f t="shared" si="11"/>
        <v>38692745</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f>23583+97269</f>
        <v>120852</v>
      </c>
      <c r="G277" s="18">
        <f>46149+51-1</f>
        <v>46199</v>
      </c>
      <c r="H277" s="18">
        <f>269</f>
        <v>269</v>
      </c>
      <c r="I277" s="18">
        <f>34943</f>
        <v>34943</v>
      </c>
      <c r="J277" s="18"/>
      <c r="K277" s="18"/>
      <c r="L277" s="19">
        <f>SUM(F277:K277)</f>
        <v>202263</v>
      </c>
      <c r="M277" s="8"/>
      <c r="N277" s="266"/>
    </row>
    <row r="278" spans="1:14" s="3" customFormat="1" ht="12.2" customHeight="1" x14ac:dyDescent="0.15">
      <c r="A278" s="1" t="s">
        <v>439</v>
      </c>
      <c r="B278" s="2" t="s">
        <v>357</v>
      </c>
      <c r="C278" s="2" t="s">
        <v>291</v>
      </c>
      <c r="D278" s="2" t="s">
        <v>431</v>
      </c>
      <c r="E278" s="6">
        <v>1200</v>
      </c>
      <c r="F278" s="18">
        <f>123593</f>
        <v>123593</v>
      </c>
      <c r="G278" s="18">
        <f>61321</f>
        <v>61321</v>
      </c>
      <c r="H278" s="18">
        <f>25400</f>
        <v>25400</v>
      </c>
      <c r="I278" s="18">
        <f>11424</f>
        <v>11424</v>
      </c>
      <c r="J278" s="18">
        <f>25790</f>
        <v>25790</v>
      </c>
      <c r="K278" s="18"/>
      <c r="L278" s="19">
        <f>SUM(F278:K278)</f>
        <v>247528</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f>12075</f>
        <v>12075</v>
      </c>
      <c r="G280" s="18">
        <f>867</f>
        <v>867</v>
      </c>
      <c r="H280" s="18"/>
      <c r="I280" s="18">
        <f>4625</f>
        <v>4625</v>
      </c>
      <c r="J280" s="18"/>
      <c r="K280" s="18"/>
      <c r="L280" s="19">
        <f>SUM(F280:K280)</f>
        <v>17567</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f>1911+15113</f>
        <v>17024</v>
      </c>
      <c r="G282" s="18">
        <f>4979</f>
        <v>4979</v>
      </c>
      <c r="H282" s="18"/>
      <c r="I282" s="18"/>
      <c r="J282" s="18"/>
      <c r="K282" s="18"/>
      <c r="L282" s="19">
        <f t="shared" ref="L282:L288" si="12">SUM(F282:K282)</f>
        <v>22003</v>
      </c>
      <c r="M282" s="8"/>
      <c r="N282" s="266"/>
    </row>
    <row r="283" spans="1:14" s="3" customFormat="1" ht="12.2" customHeight="1" x14ac:dyDescent="0.15">
      <c r="A283" s="1" t="s">
        <v>443</v>
      </c>
      <c r="B283" s="2" t="s">
        <v>357</v>
      </c>
      <c r="C283" s="2" t="s">
        <v>295</v>
      </c>
      <c r="D283" s="2" t="s">
        <v>431</v>
      </c>
      <c r="E283" s="6">
        <v>2200</v>
      </c>
      <c r="F283" s="18">
        <f>24088</f>
        <v>24088</v>
      </c>
      <c r="G283" s="18">
        <f>9035</f>
        <v>9035</v>
      </c>
      <c r="H283" s="18">
        <f>31882</f>
        <v>31882</v>
      </c>
      <c r="I283" s="18">
        <f>2997</f>
        <v>2997</v>
      </c>
      <c r="J283" s="18">
        <f>681</f>
        <v>681</v>
      </c>
      <c r="K283" s="18"/>
      <c r="L283" s="19">
        <f t="shared" si="12"/>
        <v>68683</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v>2340</v>
      </c>
      <c r="L286" s="19">
        <f t="shared" si="12"/>
        <v>2340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v>2396</v>
      </c>
      <c r="I288" s="18"/>
      <c r="J288" s="18"/>
      <c r="K288" s="18"/>
      <c r="L288" s="19">
        <f t="shared" si="12"/>
        <v>2396</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297632</v>
      </c>
      <c r="G291" s="42">
        <f t="shared" si="13"/>
        <v>122401</v>
      </c>
      <c r="H291" s="42">
        <f t="shared" si="13"/>
        <v>59947</v>
      </c>
      <c r="I291" s="42">
        <f t="shared" si="13"/>
        <v>53989</v>
      </c>
      <c r="J291" s="42">
        <f t="shared" si="13"/>
        <v>26471</v>
      </c>
      <c r="K291" s="42">
        <f t="shared" si="13"/>
        <v>2340</v>
      </c>
      <c r="L291" s="41">
        <f t="shared" si="13"/>
        <v>562780</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f>54310</f>
        <v>54310</v>
      </c>
      <c r="G296" s="18">
        <f>25768+29-1</f>
        <v>25796</v>
      </c>
      <c r="H296" s="18">
        <f>150</f>
        <v>150</v>
      </c>
      <c r="I296" s="18">
        <f>19510</f>
        <v>19510</v>
      </c>
      <c r="J296" s="18"/>
      <c r="K296" s="18"/>
      <c r="L296" s="19">
        <f>SUM(F296:K296)</f>
        <v>99766</v>
      </c>
      <c r="M296" s="8"/>
      <c r="N296" s="266"/>
    </row>
    <row r="297" spans="1:14" s="3" customFormat="1" ht="12.2" customHeight="1" x14ac:dyDescent="0.15">
      <c r="A297" s="1" t="s">
        <v>439</v>
      </c>
      <c r="B297" s="2" t="s">
        <v>358</v>
      </c>
      <c r="C297" s="2" t="s">
        <v>291</v>
      </c>
      <c r="D297" s="2" t="s">
        <v>431</v>
      </c>
      <c r="E297" s="6">
        <v>1200</v>
      </c>
      <c r="F297" s="18">
        <f>69009</f>
        <v>69009</v>
      </c>
      <c r="G297" s="18">
        <f>34239</f>
        <v>34239</v>
      </c>
      <c r="H297" s="18">
        <f>14182</f>
        <v>14182</v>
      </c>
      <c r="I297" s="18">
        <f>6378</f>
        <v>6378</v>
      </c>
      <c r="J297" s="18">
        <f>14400</f>
        <v>14400</v>
      </c>
      <c r="K297" s="18"/>
      <c r="L297" s="19">
        <f>SUM(F297:K297)</f>
        <v>138208</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f>484</f>
        <v>484</v>
      </c>
      <c r="H299" s="18"/>
      <c r="I299" s="18">
        <f>2582</f>
        <v>2582</v>
      </c>
      <c r="J299" s="18"/>
      <c r="K299" s="18"/>
      <c r="L299" s="19">
        <f>SUM(F299:K299)</f>
        <v>3066</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f>8438</f>
        <v>8438</v>
      </c>
      <c r="G301" s="18">
        <f>2780</f>
        <v>2780</v>
      </c>
      <c r="H301" s="18"/>
      <c r="I301" s="18"/>
      <c r="J301" s="18"/>
      <c r="K301" s="18"/>
      <c r="L301" s="19">
        <f t="shared" ref="L301:L307" si="14">SUM(F301:K301)</f>
        <v>11218</v>
      </c>
      <c r="M301" s="8"/>
      <c r="N301" s="266"/>
    </row>
    <row r="302" spans="1:14" s="3" customFormat="1" ht="12.2" customHeight="1" x14ac:dyDescent="0.15">
      <c r="A302" s="1" t="s">
        <v>443</v>
      </c>
      <c r="B302" s="2" t="s">
        <v>358</v>
      </c>
      <c r="C302" s="2" t="s">
        <v>295</v>
      </c>
      <c r="D302" s="2" t="s">
        <v>431</v>
      </c>
      <c r="E302" s="6">
        <v>2200</v>
      </c>
      <c r="F302" s="18">
        <f>13450</f>
        <v>13450</v>
      </c>
      <c r="G302" s="18">
        <f>5045</f>
        <v>5045</v>
      </c>
      <c r="H302" s="18">
        <f>17801</f>
        <v>17801</v>
      </c>
      <c r="I302" s="18">
        <f>1673</f>
        <v>1673</v>
      </c>
      <c r="J302" s="18">
        <f>380</f>
        <v>380</v>
      </c>
      <c r="K302" s="18"/>
      <c r="L302" s="19">
        <f t="shared" si="14"/>
        <v>38349</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v>1307</v>
      </c>
      <c r="L305" s="19">
        <f t="shared" si="14"/>
        <v>1307</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v>1338</v>
      </c>
      <c r="I307" s="18"/>
      <c r="J307" s="18"/>
      <c r="K307" s="18"/>
      <c r="L307" s="19">
        <f t="shared" si="14"/>
        <v>1338</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145207</v>
      </c>
      <c r="G310" s="42">
        <f t="shared" si="15"/>
        <v>68344</v>
      </c>
      <c r="H310" s="42">
        <f t="shared" si="15"/>
        <v>33471</v>
      </c>
      <c r="I310" s="42">
        <f t="shared" si="15"/>
        <v>30143</v>
      </c>
      <c r="J310" s="42">
        <f t="shared" si="15"/>
        <v>14780</v>
      </c>
      <c r="K310" s="42">
        <f t="shared" si="15"/>
        <v>1307</v>
      </c>
      <c r="L310" s="41">
        <f t="shared" si="15"/>
        <v>293252</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f>77630</f>
        <v>77630</v>
      </c>
      <c r="G315" s="18">
        <f>36832+41-1</f>
        <v>36872</v>
      </c>
      <c r="H315" s="18">
        <f>215</f>
        <v>215</v>
      </c>
      <c r="I315" s="18">
        <f>27888</f>
        <v>27888</v>
      </c>
      <c r="J315" s="18"/>
      <c r="K315" s="18"/>
      <c r="L315" s="19">
        <f>SUM(F315:K315)</f>
        <v>142605</v>
      </c>
      <c r="M315" s="8"/>
      <c r="N315" s="266"/>
    </row>
    <row r="316" spans="1:14" s="3" customFormat="1" ht="12.2" customHeight="1" x14ac:dyDescent="0.15">
      <c r="A316" s="1" t="s">
        <v>439</v>
      </c>
      <c r="B316" s="2" t="s">
        <v>359</v>
      </c>
      <c r="C316" s="2" t="s">
        <v>291</v>
      </c>
      <c r="D316" s="2" t="s">
        <v>431</v>
      </c>
      <c r="E316" s="6">
        <v>1200</v>
      </c>
      <c r="F316" s="18">
        <f>98640</f>
        <v>98640</v>
      </c>
      <c r="G316" s="18">
        <f>48940</f>
        <v>48940</v>
      </c>
      <c r="H316" s="18">
        <f>20272</f>
        <v>20272</v>
      </c>
      <c r="I316" s="18">
        <f>9117</f>
        <v>9117</v>
      </c>
      <c r="J316" s="18">
        <f>20583</f>
        <v>20583</v>
      </c>
      <c r="K316" s="18"/>
      <c r="L316" s="19">
        <f>SUM(F316:K316)</f>
        <v>197552</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f>692</f>
        <v>692</v>
      </c>
      <c r="H318" s="18"/>
      <c r="I318" s="18">
        <f>3691</f>
        <v>3691</v>
      </c>
      <c r="J318" s="18"/>
      <c r="K318" s="18"/>
      <c r="L318" s="19">
        <f>SUM(F318:K318)</f>
        <v>4383</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f>12062</f>
        <v>12062</v>
      </c>
      <c r="G320" s="18">
        <f>3974</f>
        <v>3974</v>
      </c>
      <c r="H320" s="18"/>
      <c r="I320" s="18"/>
      <c r="J320" s="18"/>
      <c r="K320" s="18"/>
      <c r="L320" s="19">
        <f t="shared" ref="L320:L326" si="16">SUM(F320:K320)</f>
        <v>16036</v>
      </c>
      <c r="M320" s="8"/>
      <c r="N320" s="266"/>
    </row>
    <row r="321" spans="1:14" s="3" customFormat="1" ht="12.2" customHeight="1" x14ac:dyDescent="0.15">
      <c r="A321" s="1" t="s">
        <v>443</v>
      </c>
      <c r="B321" s="2" t="s">
        <v>359</v>
      </c>
      <c r="C321" s="2" t="s">
        <v>295</v>
      </c>
      <c r="D321" s="2" t="s">
        <v>431</v>
      </c>
      <c r="E321" s="6">
        <v>2200</v>
      </c>
      <c r="F321" s="18">
        <f>19225</f>
        <v>19225</v>
      </c>
      <c r="G321" s="18">
        <f>7211</f>
        <v>7211</v>
      </c>
      <c r="H321" s="18">
        <f>25444</f>
        <v>25444</v>
      </c>
      <c r="I321" s="18">
        <f>2392</f>
        <v>2392</v>
      </c>
      <c r="J321" s="18">
        <f>543</f>
        <v>543</v>
      </c>
      <c r="K321" s="18"/>
      <c r="L321" s="19">
        <f t="shared" si="16"/>
        <v>54815</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v>1868</v>
      </c>
      <c r="L324" s="19">
        <f t="shared" si="16"/>
        <v>1868</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v>1912</v>
      </c>
      <c r="I326" s="18"/>
      <c r="J326" s="18"/>
      <c r="K326" s="18"/>
      <c r="L326" s="19">
        <f t="shared" si="16"/>
        <v>1912</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207557</v>
      </c>
      <c r="G329" s="42">
        <f t="shared" si="17"/>
        <v>97689</v>
      </c>
      <c r="H329" s="42">
        <f t="shared" si="17"/>
        <v>47843</v>
      </c>
      <c r="I329" s="42">
        <f t="shared" si="17"/>
        <v>43088</v>
      </c>
      <c r="J329" s="42">
        <f t="shared" si="17"/>
        <v>21126</v>
      </c>
      <c r="K329" s="42">
        <f t="shared" si="17"/>
        <v>1868</v>
      </c>
      <c r="L329" s="41">
        <f t="shared" si="17"/>
        <v>419171</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v>2058</v>
      </c>
      <c r="G336" s="18">
        <f>456</f>
        <v>456</v>
      </c>
      <c r="H336" s="18">
        <v>437</v>
      </c>
      <c r="I336" s="18">
        <v>69</v>
      </c>
      <c r="J336" s="18"/>
      <c r="K336" s="18"/>
      <c r="L336" s="19">
        <f t="shared" si="18"/>
        <v>3020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2058</v>
      </c>
      <c r="G338" s="41">
        <f t="shared" si="19"/>
        <v>456</v>
      </c>
      <c r="H338" s="41">
        <f t="shared" si="19"/>
        <v>437</v>
      </c>
      <c r="I338" s="41">
        <f t="shared" si="19"/>
        <v>69</v>
      </c>
      <c r="J338" s="41">
        <f t="shared" si="19"/>
        <v>0</v>
      </c>
      <c r="K338" s="41">
        <f t="shared" si="19"/>
        <v>0</v>
      </c>
      <c r="L338" s="41">
        <f t="shared" si="18"/>
        <v>3020</v>
      </c>
      <c r="M338" s="8"/>
      <c r="N338" s="266"/>
    </row>
    <row r="339" spans="1:43" s="3" customFormat="1" ht="12.2" customHeight="1" thickTop="1" x14ac:dyDescent="0.15">
      <c r="A339" s="38" t="s">
        <v>468</v>
      </c>
      <c r="B339" s="40">
        <v>14</v>
      </c>
      <c r="C339" s="40">
        <v>7</v>
      </c>
      <c r="D339" s="39" t="s">
        <v>431</v>
      </c>
      <c r="E339" s="40"/>
      <c r="F339" s="41">
        <f t="shared" ref="F339:L339" si="20">F291+F310+F329+F338</f>
        <v>652454</v>
      </c>
      <c r="G339" s="41">
        <f t="shared" si="20"/>
        <v>288890</v>
      </c>
      <c r="H339" s="41">
        <f t="shared" si="20"/>
        <v>141698</v>
      </c>
      <c r="I339" s="41">
        <f t="shared" si="20"/>
        <v>127289</v>
      </c>
      <c r="J339" s="41">
        <f t="shared" si="20"/>
        <v>62377</v>
      </c>
      <c r="K339" s="41">
        <f t="shared" si="20"/>
        <v>5515</v>
      </c>
      <c r="L339" s="41">
        <f t="shared" si="20"/>
        <v>1278223</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652454</v>
      </c>
      <c r="G353" s="41">
        <f>G339</f>
        <v>288890</v>
      </c>
      <c r="H353" s="41">
        <f>H339</f>
        <v>141698</v>
      </c>
      <c r="I353" s="41">
        <f>I339</f>
        <v>127289</v>
      </c>
      <c r="J353" s="41">
        <f>J339</f>
        <v>62377</v>
      </c>
      <c r="K353" s="47">
        <f>K339+K352</f>
        <v>5515</v>
      </c>
      <c r="L353" s="41">
        <f>L339+L352</f>
        <v>1278223</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f>162456+29991</f>
        <v>192447</v>
      </c>
      <c r="G359" s="18">
        <f>54391</f>
        <v>54391</v>
      </c>
      <c r="H359" s="18">
        <f>9080</f>
        <v>9080</v>
      </c>
      <c r="I359" s="18">
        <f>124544+1223</f>
        <v>125767</v>
      </c>
      <c r="J359" s="18"/>
      <c r="K359" s="18"/>
      <c r="L359" s="13">
        <f>SUM(F359:K359)</f>
        <v>381685</v>
      </c>
      <c r="M359" s="8"/>
      <c r="N359" s="266"/>
    </row>
    <row r="360" spans="1:22" s="3" customFormat="1" ht="12.2" customHeight="1" x14ac:dyDescent="0.15">
      <c r="A360" s="1" t="s">
        <v>542</v>
      </c>
      <c r="B360" s="2" t="s">
        <v>366</v>
      </c>
      <c r="C360" s="6">
        <v>2</v>
      </c>
      <c r="D360" s="2" t="s">
        <v>431</v>
      </c>
      <c r="E360" s="6"/>
      <c r="F360" s="18">
        <f>73465+16746</f>
        <v>90211</v>
      </c>
      <c r="G360" s="18">
        <f>30370</f>
        <v>30370</v>
      </c>
      <c r="H360" s="18">
        <f>1600</f>
        <v>1600</v>
      </c>
      <c r="I360" s="18">
        <f>69255+683</f>
        <v>69938</v>
      </c>
      <c r="J360" s="18"/>
      <c r="K360" s="18"/>
      <c r="L360" s="19">
        <f>SUM(F360:K360)</f>
        <v>192119</v>
      </c>
      <c r="M360" s="8"/>
      <c r="N360" s="266"/>
    </row>
    <row r="361" spans="1:22" s="3" customFormat="1" ht="12.2" customHeight="1" x14ac:dyDescent="0.15">
      <c r="A361" s="3" t="s">
        <v>543</v>
      </c>
      <c r="B361" s="2" t="s">
        <v>366</v>
      </c>
      <c r="C361" s="6">
        <v>3</v>
      </c>
      <c r="D361" s="2" t="s">
        <v>431</v>
      </c>
      <c r="E361" s="6"/>
      <c r="F361" s="18">
        <f>178061+23936</f>
        <v>201997</v>
      </c>
      <c r="G361" s="18">
        <f>43410</f>
        <v>43410</v>
      </c>
      <c r="H361" s="18">
        <f>4655</f>
        <v>4655</v>
      </c>
      <c r="I361" s="18">
        <f>177743+976-1</f>
        <v>178718</v>
      </c>
      <c r="J361" s="18"/>
      <c r="K361" s="18"/>
      <c r="L361" s="19">
        <f>SUM(F361:K361)</f>
        <v>428780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484655</v>
      </c>
      <c r="G363" s="47">
        <f t="shared" si="22"/>
        <v>128171</v>
      </c>
      <c r="H363" s="47">
        <f t="shared" si="22"/>
        <v>15335</v>
      </c>
      <c r="I363" s="47">
        <f t="shared" si="22"/>
        <v>374423</v>
      </c>
      <c r="J363" s="47">
        <f t="shared" si="22"/>
        <v>0</v>
      </c>
      <c r="K363" s="47">
        <f t="shared" si="22"/>
        <v>0</v>
      </c>
      <c r="L363" s="47">
        <f t="shared" si="22"/>
        <v>1002584</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f>93208+12453+10437-1</f>
        <v>116097</v>
      </c>
      <c r="G368" s="18">
        <f>65122</f>
        <v>65122</v>
      </c>
      <c r="H368" s="18">
        <f>156266</f>
        <v>156266</v>
      </c>
      <c r="I368" s="56">
        <f>SUM(F368:H368)</f>
        <v>337485</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f>6111+852+1305+179+1223</f>
        <v>9670</v>
      </c>
      <c r="G369" s="63">
        <f>3299+834+683</f>
        <v>4816</v>
      </c>
      <c r="H369" s="63">
        <f>21476+976</f>
        <v>22452</v>
      </c>
      <c r="I369" s="56">
        <f>SUM(F369:H369)</f>
        <v>36938</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125767</v>
      </c>
      <c r="G370" s="47">
        <f>SUM(G368:G369)</f>
        <v>69938</v>
      </c>
      <c r="H370" s="47">
        <f>SUM(H368:H369)</f>
        <v>178718</v>
      </c>
      <c r="I370" s="47">
        <f>SUM(I368:I369)</f>
        <v>374423</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v>11213</v>
      </c>
      <c r="I397" s="18"/>
      <c r="J397" s="24" t="s">
        <v>288</v>
      </c>
      <c r="K397" s="24" t="s">
        <v>288</v>
      </c>
      <c r="L397" s="56">
        <f t="shared" si="26"/>
        <v>11213</v>
      </c>
      <c r="M397" s="8"/>
      <c r="N397" s="266"/>
    </row>
    <row r="398" spans="1:14" s="3" customFormat="1" ht="12.2" customHeight="1" x14ac:dyDescent="0.15">
      <c r="A398" s="79" t="s">
        <v>515</v>
      </c>
      <c r="B398" s="2" t="s">
        <v>381</v>
      </c>
      <c r="C398" s="6">
        <v>10</v>
      </c>
      <c r="D398" s="2" t="s">
        <v>432</v>
      </c>
      <c r="E398" s="6"/>
      <c r="F398" s="18"/>
      <c r="G398" s="18"/>
      <c r="H398" s="18">
        <v>28727</v>
      </c>
      <c r="I398" s="18"/>
      <c r="J398" s="24" t="s">
        <v>288</v>
      </c>
      <c r="K398" s="24" t="s">
        <v>288</v>
      </c>
      <c r="L398" s="56">
        <f t="shared" si="26"/>
        <v>28727</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39940</v>
      </c>
      <c r="I402" s="47">
        <f>SUM(I396:I401)</f>
        <v>0</v>
      </c>
      <c r="J402" s="45" t="s">
        <v>288</v>
      </c>
      <c r="K402" s="45" t="s">
        <v>288</v>
      </c>
      <c r="L402" s="47">
        <f>SUM(L396:L401)</f>
        <v>39940</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39940</v>
      </c>
      <c r="I409" s="47">
        <f>I394+I402+I408</f>
        <v>0</v>
      </c>
      <c r="J409" s="24" t="s">
        <v>288</v>
      </c>
      <c r="K409" s="24" t="s">
        <v>288</v>
      </c>
      <c r="L409" s="47">
        <f>L394+L402+L408</f>
        <v>39940</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v>673837</v>
      </c>
      <c r="H443" s="18"/>
      <c r="I443" s="56">
        <f t="shared" si="33"/>
        <v>673837</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673837</v>
      </c>
      <c r="H447" s="13">
        <f>SUM(H440:H446)</f>
        <v>0</v>
      </c>
      <c r="I447" s="13">
        <f>SUM(I440:I446)</f>
        <v>673837</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673837</v>
      </c>
      <c r="H460" s="18"/>
      <c r="I460" s="56">
        <f t="shared" si="34"/>
        <v>673837</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673837</v>
      </c>
      <c r="H461" s="83">
        <f>SUM(H455:H460)</f>
        <v>0</v>
      </c>
      <c r="I461" s="83">
        <f>SUM(I455:I460)</f>
        <v>673837</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673837</v>
      </c>
      <c r="H462" s="42">
        <f>H453+H461</f>
        <v>0</v>
      </c>
      <c r="I462" s="42">
        <f>I453+I461</f>
        <v>673837</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-495856</v>
      </c>
      <c r="G466" s="18">
        <v>-82549</v>
      </c>
      <c r="H466" s="18">
        <v>-19508</v>
      </c>
      <c r="I466" s="18"/>
      <c r="J466" s="18">
        <v>633897</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F194</f>
        <v>39630329</v>
      </c>
      <c r="G469" s="18">
        <f t="shared" ref="G469:J469" si="35">G194</f>
        <v>1085157</v>
      </c>
      <c r="H469" s="18">
        <f t="shared" si="35"/>
        <v>1291060</v>
      </c>
      <c r="I469" s="18">
        <f>I194</f>
        <v>0</v>
      </c>
      <c r="J469" s="18">
        <f t="shared" si="35"/>
        <v>39940</v>
      </c>
      <c r="K469" s="24" t="s">
        <v>288</v>
      </c>
      <c r="L469" s="24" t="s">
        <v>288</v>
      </c>
      <c r="N469" s="265"/>
    </row>
    <row r="470" spans="1:14" s="52" customFormat="1" ht="12.2" customHeight="1" x14ac:dyDescent="0.2">
      <c r="A470" s="93" t="s">
        <v>611</v>
      </c>
      <c r="B470" s="75">
        <v>19</v>
      </c>
      <c r="C470" s="80">
        <v>3</v>
      </c>
      <c r="D470" s="2" t="s">
        <v>432</v>
      </c>
      <c r="E470" s="80"/>
      <c r="F470" s="18">
        <v>10136</v>
      </c>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39640465</v>
      </c>
      <c r="G471" s="53">
        <f>SUM(G469:G470)</f>
        <v>1085157</v>
      </c>
      <c r="H471" s="53">
        <f>SUM(H469:H470)</f>
        <v>1291060</v>
      </c>
      <c r="I471" s="53">
        <f>SUM(I469:I470)</f>
        <v>0</v>
      </c>
      <c r="J471" s="53">
        <f>SUM(J469:J470)</f>
        <v>39940</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L272</f>
        <v>38692745</v>
      </c>
      <c r="G473" s="18">
        <f>L363</f>
        <v>1002584</v>
      </c>
      <c r="H473" s="18">
        <f>L339</f>
        <v>1278223</v>
      </c>
      <c r="I473" s="18">
        <f>L383</f>
        <v>0</v>
      </c>
      <c r="J473" s="18">
        <f>L435</f>
        <v>0</v>
      </c>
      <c r="K473" s="24" t="s">
        <v>288</v>
      </c>
      <c r="L473" s="24" t="s">
        <v>288</v>
      </c>
      <c r="N473" s="265"/>
    </row>
    <row r="474" spans="1:14" s="52" customFormat="1" ht="12.2" customHeight="1" x14ac:dyDescent="0.2">
      <c r="A474" s="93" t="s">
        <v>613</v>
      </c>
      <c r="B474" s="75">
        <v>19</v>
      </c>
      <c r="C474" s="80">
        <v>6</v>
      </c>
      <c r="D474" s="2" t="s">
        <v>432</v>
      </c>
      <c r="E474" s="80"/>
      <c r="F474" s="18"/>
      <c r="G474" s="18">
        <v>24</v>
      </c>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38692745</v>
      </c>
      <c r="G475" s="53">
        <f>SUM(G473:G474)</f>
        <v>1002608</v>
      </c>
      <c r="H475" s="53">
        <f>SUM(H473:H474)</f>
        <v>1278223</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451864</v>
      </c>
      <c r="G477" s="53">
        <f>(G466+G471)- G475</f>
        <v>0</v>
      </c>
      <c r="H477" s="53">
        <f>(H466+H471)- H475</f>
        <v>-6671</v>
      </c>
      <c r="I477" s="53">
        <f>(I466+I471)- I475</f>
        <v>0</v>
      </c>
      <c r="J477" s="53">
        <f>(J466+J471)- J475</f>
        <v>673837</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t="s">
        <v>1643</v>
      </c>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6">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6"/>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6"/>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6"/>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6"/>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6"/>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6"/>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6"/>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2315703+188224</f>
        <v>2503927</v>
      </c>
      <c r="G522" s="18">
        <f>957774</f>
        <v>957774</v>
      </c>
      <c r="H522" s="18">
        <f>456030+110455</f>
        <v>566485</v>
      </c>
      <c r="I522" s="18">
        <f>5161+12489</f>
        <v>17650</v>
      </c>
      <c r="J522" s="18">
        <f>26241</f>
        <v>26241</v>
      </c>
      <c r="K522" s="18"/>
      <c r="L522" s="88">
        <f>SUM(F522:K522)</f>
        <v>4072077</v>
      </c>
      <c r="N522" s="265"/>
    </row>
    <row r="523" spans="1:14" s="52" customFormat="1" ht="12.2" customHeight="1" x14ac:dyDescent="0.2">
      <c r="A523" s="22" t="s">
        <v>634</v>
      </c>
      <c r="B523" s="105">
        <v>21</v>
      </c>
      <c r="C523" s="115">
        <v>2</v>
      </c>
      <c r="D523" s="2" t="s">
        <v>432</v>
      </c>
      <c r="E523" s="115"/>
      <c r="F523" s="18">
        <f>1018235+105095</f>
        <v>1123330</v>
      </c>
      <c r="G523" s="18">
        <f>534776</f>
        <v>534776</v>
      </c>
      <c r="H523" s="18">
        <f>446092+61673</f>
        <v>507765</v>
      </c>
      <c r="I523" s="18">
        <f>3646+6973</f>
        <v>10619</v>
      </c>
      <c r="J523" s="18">
        <f>205+14652</f>
        <v>14857</v>
      </c>
      <c r="K523" s="18"/>
      <c r="L523" s="88">
        <f>SUM(F523:K523)</f>
        <v>2191347</v>
      </c>
      <c r="N523" s="265"/>
    </row>
    <row r="524" spans="1:14" s="52" customFormat="1" ht="12.2" customHeight="1" thickBot="1" x14ac:dyDescent="0.25">
      <c r="A524" s="22" t="s">
        <v>635</v>
      </c>
      <c r="B524" s="105">
        <v>21</v>
      </c>
      <c r="C524" s="115">
        <v>3</v>
      </c>
      <c r="D524" s="2" t="s">
        <v>432</v>
      </c>
      <c r="E524" s="115"/>
      <c r="F524" s="18">
        <f>970285+150221</f>
        <v>1120506</v>
      </c>
      <c r="G524" s="18">
        <f>764399</f>
        <v>764399</v>
      </c>
      <c r="H524" s="18">
        <f>428305+88154</f>
        <v>516459</v>
      </c>
      <c r="I524" s="18">
        <f>3693+9967</f>
        <v>13660</v>
      </c>
      <c r="J524" s="18">
        <f>526+20943</f>
        <v>21469</v>
      </c>
      <c r="K524" s="18"/>
      <c r="L524" s="88">
        <f>SUM(F524:K524)</f>
        <v>2436493</v>
      </c>
      <c r="N524" s="265"/>
    </row>
    <row r="525" spans="1:14" s="52" customFormat="1" ht="12.2" customHeight="1" thickTop="1" x14ac:dyDescent="0.2">
      <c r="A525" s="139" t="s">
        <v>63</v>
      </c>
      <c r="B525" s="107">
        <v>21</v>
      </c>
      <c r="C525" s="195">
        <v>4</v>
      </c>
      <c r="D525" s="196" t="s">
        <v>432</v>
      </c>
      <c r="E525" s="195"/>
      <c r="F525" s="108">
        <f>SUM(F522:F524)</f>
        <v>4747763</v>
      </c>
      <c r="G525" s="108">
        <f t="shared" ref="G525:L525" si="37">SUM(G522:G524)</f>
        <v>2256949</v>
      </c>
      <c r="H525" s="108">
        <f t="shared" si="37"/>
        <v>1590709</v>
      </c>
      <c r="I525" s="108">
        <f t="shared" si="37"/>
        <v>41929</v>
      </c>
      <c r="J525" s="108">
        <f t="shared" si="37"/>
        <v>62567</v>
      </c>
      <c r="K525" s="108">
        <f t="shared" si="37"/>
        <v>0</v>
      </c>
      <c r="L525" s="89">
        <f t="shared" si="37"/>
        <v>8699917</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f>89610+391974</f>
        <v>481584</v>
      </c>
      <c r="G527" s="18">
        <f>192735</f>
        <v>192735</v>
      </c>
      <c r="H527" s="18">
        <f>137137</f>
        <v>137137</v>
      </c>
      <c r="I527" s="18"/>
      <c r="J527" s="18"/>
      <c r="K527" s="18"/>
      <c r="L527" s="88">
        <f>SUM(F527:K527)</f>
        <v>811456</v>
      </c>
      <c r="M527" s="8"/>
      <c r="N527" s="266"/>
    </row>
    <row r="528" spans="1:14" s="3" customFormat="1" ht="12.2" customHeight="1" x14ac:dyDescent="0.15">
      <c r="A528" s="22" t="s">
        <v>634</v>
      </c>
      <c r="B528" s="105">
        <v>21</v>
      </c>
      <c r="C528" s="115">
        <v>6</v>
      </c>
      <c r="D528" s="2" t="s">
        <v>432</v>
      </c>
      <c r="E528" s="115"/>
      <c r="F528" s="18">
        <f>28192+218860</f>
        <v>247052</v>
      </c>
      <c r="G528" s="18">
        <f>107614</f>
        <v>107614</v>
      </c>
      <c r="H528" s="18">
        <f>62810</f>
        <v>62810</v>
      </c>
      <c r="I528" s="18"/>
      <c r="J528" s="18"/>
      <c r="K528" s="18"/>
      <c r="L528" s="88">
        <f>SUM(F528:K528)</f>
        <v>417476</v>
      </c>
      <c r="M528" s="8"/>
      <c r="N528" s="266"/>
    </row>
    <row r="529" spans="1:14" s="3" customFormat="1" ht="12.2" customHeight="1" thickBot="1" x14ac:dyDescent="0.2">
      <c r="A529" s="22" t="s">
        <v>635</v>
      </c>
      <c r="B529" s="118">
        <v>21</v>
      </c>
      <c r="C529" s="118">
        <v>7</v>
      </c>
      <c r="D529" s="2" t="s">
        <v>432</v>
      </c>
      <c r="E529" s="118"/>
      <c r="F529" s="18">
        <f>312834</f>
        <v>312834</v>
      </c>
      <c r="G529" s="18">
        <f>153821</f>
        <v>153821</v>
      </c>
      <c r="H529" s="18">
        <f>42171</f>
        <v>42171</v>
      </c>
      <c r="I529" s="18"/>
      <c r="J529" s="18"/>
      <c r="K529" s="18"/>
      <c r="L529" s="88">
        <f>SUM(F529:K529)</f>
        <v>508826</v>
      </c>
      <c r="M529" s="8"/>
      <c r="N529" s="266"/>
    </row>
    <row r="530" spans="1:14" s="3" customFormat="1" ht="12.2" customHeight="1" thickTop="1" x14ac:dyDescent="0.15">
      <c r="A530" s="139" t="s">
        <v>65</v>
      </c>
      <c r="B530" s="107">
        <v>21</v>
      </c>
      <c r="C530" s="107">
        <v>8</v>
      </c>
      <c r="D530" s="158" t="s">
        <v>432</v>
      </c>
      <c r="E530" s="107"/>
      <c r="F530" s="89">
        <f>SUM(F527:F529)</f>
        <v>1041470</v>
      </c>
      <c r="G530" s="89">
        <f t="shared" ref="G530:L530" si="38">SUM(G527:G529)</f>
        <v>454170</v>
      </c>
      <c r="H530" s="89">
        <f t="shared" si="38"/>
        <v>242118</v>
      </c>
      <c r="I530" s="89">
        <f t="shared" si="38"/>
        <v>0</v>
      </c>
      <c r="J530" s="89">
        <f t="shared" si="38"/>
        <v>0</v>
      </c>
      <c r="K530" s="89">
        <f t="shared" si="38"/>
        <v>0</v>
      </c>
      <c r="L530" s="89">
        <f t="shared" si="38"/>
        <v>1737758</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f>155407</f>
        <v>155407</v>
      </c>
      <c r="G532" s="18">
        <f>98424</f>
        <v>98424</v>
      </c>
      <c r="H532" s="18">
        <f>8545+2081</f>
        <v>10626</v>
      </c>
      <c r="I532" s="18"/>
      <c r="J532" s="18">
        <f>697</f>
        <v>697</v>
      </c>
      <c r="K532" s="18">
        <f>787</f>
        <v>787</v>
      </c>
      <c r="L532" s="88">
        <f>SUM(F532:K532)</f>
        <v>265941</v>
      </c>
      <c r="M532" s="8"/>
      <c r="N532" s="266"/>
    </row>
    <row r="533" spans="1:14" s="3" customFormat="1" ht="12.2" customHeight="1" x14ac:dyDescent="0.15">
      <c r="A533" s="22" t="s">
        <v>634</v>
      </c>
      <c r="B533" s="105">
        <v>21</v>
      </c>
      <c r="C533" s="105">
        <v>10</v>
      </c>
      <c r="D533" s="2" t="s">
        <v>432</v>
      </c>
      <c r="E533" s="105"/>
      <c r="F533" s="18">
        <f>52186+86772</f>
        <v>138958</v>
      </c>
      <c r="G533" s="18">
        <f>54955</f>
        <v>54955</v>
      </c>
      <c r="H533" s="18">
        <f>6957+1162</f>
        <v>8119</v>
      </c>
      <c r="I533" s="18"/>
      <c r="J533" s="18">
        <f>389</f>
        <v>389</v>
      </c>
      <c r="K533" s="18">
        <v>440</v>
      </c>
      <c r="L533" s="88">
        <f>SUM(F533:K533)</f>
        <v>202861</v>
      </c>
      <c r="M533" s="8"/>
      <c r="N533" s="266"/>
    </row>
    <row r="534" spans="1:14" s="3" customFormat="1" ht="12.2" customHeight="1" thickBot="1" x14ac:dyDescent="0.2">
      <c r="A534" s="22" t="s">
        <v>635</v>
      </c>
      <c r="B534" s="105">
        <v>21</v>
      </c>
      <c r="C534" s="105">
        <v>11</v>
      </c>
      <c r="D534" s="2" t="s">
        <v>432</v>
      </c>
      <c r="E534" s="105"/>
      <c r="F534" s="18">
        <f>53415+124030</f>
        <v>177445</v>
      </c>
      <c r="G534" s="18">
        <f>78552</f>
        <v>78552</v>
      </c>
      <c r="H534" s="18">
        <f>7233+1660</f>
        <v>8893</v>
      </c>
      <c r="I534" s="18"/>
      <c r="J534" s="18">
        <f>556</f>
        <v>556</v>
      </c>
      <c r="K534" s="18">
        <v>628</v>
      </c>
      <c r="L534" s="88">
        <f>SUM(F534:K534)</f>
        <v>266074</v>
      </c>
      <c r="M534" s="8"/>
      <c r="N534" s="266"/>
    </row>
    <row r="535" spans="1:14" s="3" customFormat="1" ht="12.2" customHeight="1" thickTop="1" x14ac:dyDescent="0.15">
      <c r="A535" s="139" t="s">
        <v>67</v>
      </c>
      <c r="B535" s="107">
        <v>21</v>
      </c>
      <c r="C535" s="107">
        <v>12</v>
      </c>
      <c r="D535" s="158" t="s">
        <v>432</v>
      </c>
      <c r="E535" s="107"/>
      <c r="F535" s="89">
        <f>SUM(F532:F534)</f>
        <v>471810</v>
      </c>
      <c r="G535" s="89">
        <f t="shared" ref="G535:L535" si="39">SUM(G532:G534)</f>
        <v>231931</v>
      </c>
      <c r="H535" s="89">
        <f t="shared" si="39"/>
        <v>27638</v>
      </c>
      <c r="I535" s="89">
        <f t="shared" si="39"/>
        <v>0</v>
      </c>
      <c r="J535" s="89">
        <f t="shared" si="39"/>
        <v>1642</v>
      </c>
      <c r="K535" s="89">
        <f t="shared" si="39"/>
        <v>1855</v>
      </c>
      <c r="L535" s="89">
        <f t="shared" si="39"/>
        <v>734876</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f>84+13487</f>
        <v>13571</v>
      </c>
      <c r="I537" s="18"/>
      <c r="J537" s="18"/>
      <c r="K537" s="18"/>
      <c r="L537" s="88">
        <f>SUM(F537:K537)</f>
        <v>13571</v>
      </c>
      <c r="M537" s="8"/>
      <c r="N537" s="266"/>
    </row>
    <row r="538" spans="1:14" s="3" customFormat="1" ht="12.2" customHeight="1" x14ac:dyDescent="0.15">
      <c r="A538" s="22" t="s">
        <v>634</v>
      </c>
      <c r="B538" s="105">
        <v>21</v>
      </c>
      <c r="C538" s="105">
        <v>14</v>
      </c>
      <c r="D538" s="2" t="s">
        <v>432</v>
      </c>
      <c r="E538" s="105"/>
      <c r="F538" s="18"/>
      <c r="G538" s="18"/>
      <c r="H538" s="18">
        <f>27+7530</f>
        <v>7557</v>
      </c>
      <c r="I538" s="18"/>
      <c r="J538" s="18"/>
      <c r="K538" s="18"/>
      <c r="L538" s="88">
        <f>SUM(F538:K538)</f>
        <v>7557</v>
      </c>
      <c r="M538" s="8"/>
      <c r="N538" s="266"/>
    </row>
    <row r="539" spans="1:14" s="3" customFormat="1" ht="12.2" customHeight="1" thickBot="1" x14ac:dyDescent="0.2">
      <c r="A539" s="22" t="s">
        <v>635</v>
      </c>
      <c r="B539" s="105">
        <v>21</v>
      </c>
      <c r="C539" s="105">
        <v>15</v>
      </c>
      <c r="D539" s="2" t="s">
        <v>432</v>
      </c>
      <c r="E539" s="105"/>
      <c r="F539" s="18"/>
      <c r="G539" s="18"/>
      <c r="H539" s="18">
        <f>2630+10764</f>
        <v>13394</v>
      </c>
      <c r="I539" s="18"/>
      <c r="J539" s="18"/>
      <c r="K539" s="18"/>
      <c r="L539" s="88">
        <f>SUM(F539:K539)</f>
        <v>13394</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40">SUM(G537:G539)</f>
        <v>0</v>
      </c>
      <c r="H540" s="89">
        <f t="shared" si="40"/>
        <v>34522</v>
      </c>
      <c r="I540" s="89">
        <f t="shared" si="40"/>
        <v>0</v>
      </c>
      <c r="J540" s="89">
        <f t="shared" si="40"/>
        <v>0</v>
      </c>
      <c r="K540" s="89">
        <f t="shared" si="40"/>
        <v>0</v>
      </c>
      <c r="L540" s="89">
        <f t="shared" si="40"/>
        <v>34522</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f>119784</f>
        <v>119784</v>
      </c>
      <c r="G542" s="18">
        <v>23176</v>
      </c>
      <c r="H542" s="18">
        <v>59661</v>
      </c>
      <c r="I542" s="18"/>
      <c r="J542" s="18"/>
      <c r="K542" s="18"/>
      <c r="L542" s="88">
        <f>SUM(F542:K542)</f>
        <v>202621</v>
      </c>
      <c r="M542" s="8"/>
      <c r="N542" s="266"/>
    </row>
    <row r="543" spans="1:14" s="3" customFormat="1" ht="12.2" customHeight="1" x14ac:dyDescent="0.15">
      <c r="A543" s="22" t="s">
        <v>634</v>
      </c>
      <c r="B543" s="105">
        <v>21</v>
      </c>
      <c r="C543" s="105">
        <v>18</v>
      </c>
      <c r="D543" s="2" t="s">
        <v>432</v>
      </c>
      <c r="E543" s="105"/>
      <c r="F543" s="18">
        <f>66882</f>
        <v>66882</v>
      </c>
      <c r="G543" s="18">
        <v>12940</v>
      </c>
      <c r="H543" s="18">
        <v>33312</v>
      </c>
      <c r="I543" s="18"/>
      <c r="J543" s="18"/>
      <c r="K543" s="18"/>
      <c r="L543" s="88">
        <f>SUM(F543:K543)</f>
        <v>113134</v>
      </c>
      <c r="M543" s="8"/>
      <c r="N543" s="266"/>
    </row>
    <row r="544" spans="1:14" s="3" customFormat="1" ht="12.2" customHeight="1" thickBot="1" x14ac:dyDescent="0.2">
      <c r="A544" s="22" t="s">
        <v>635</v>
      </c>
      <c r="B544" s="105">
        <v>21</v>
      </c>
      <c r="C544" s="105">
        <v>19</v>
      </c>
      <c r="D544" s="2" t="s">
        <v>432</v>
      </c>
      <c r="E544" s="105"/>
      <c r="F544" s="18">
        <v>95599</v>
      </c>
      <c r="G544" s="18">
        <v>18497</v>
      </c>
      <c r="H544" s="18">
        <v>47615</v>
      </c>
      <c r="I544" s="18"/>
      <c r="J544" s="18"/>
      <c r="K544" s="18"/>
      <c r="L544" s="88">
        <f>SUM(F544:K544)</f>
        <v>161711</v>
      </c>
      <c r="M544" s="8"/>
      <c r="N544" s="266"/>
    </row>
    <row r="545" spans="1:14" s="3" customFormat="1" ht="12.2" customHeight="1" thickTop="1" thickBot="1" x14ac:dyDescent="0.2">
      <c r="A545" s="130" t="s">
        <v>71</v>
      </c>
      <c r="B545" s="191">
        <v>21</v>
      </c>
      <c r="C545" s="191">
        <v>20</v>
      </c>
      <c r="D545" s="192" t="s">
        <v>432</v>
      </c>
      <c r="E545" s="191"/>
      <c r="F545" s="193">
        <f>SUM(F542:F544)</f>
        <v>282265</v>
      </c>
      <c r="G545" s="193">
        <f t="shared" ref="G545:L545" si="41">SUM(G542:G544)</f>
        <v>54613</v>
      </c>
      <c r="H545" s="193">
        <f t="shared" si="41"/>
        <v>140588</v>
      </c>
      <c r="I545" s="193">
        <f t="shared" si="41"/>
        <v>0</v>
      </c>
      <c r="J545" s="193">
        <f t="shared" si="41"/>
        <v>0</v>
      </c>
      <c r="K545" s="193">
        <f t="shared" si="41"/>
        <v>0</v>
      </c>
      <c r="L545" s="193">
        <f t="shared" si="41"/>
        <v>477466</v>
      </c>
      <c r="M545" s="8"/>
      <c r="N545" s="266"/>
    </row>
    <row r="546" spans="1:14" s="3" customFormat="1" ht="12.2" customHeight="1" thickTop="1" x14ac:dyDescent="0.15">
      <c r="A546" s="98" t="s">
        <v>72</v>
      </c>
      <c r="B546" s="107">
        <v>21</v>
      </c>
      <c r="C546" s="107">
        <v>21</v>
      </c>
      <c r="D546" s="158" t="s">
        <v>432</v>
      </c>
      <c r="E546" s="107"/>
      <c r="F546" s="89">
        <f>F525+F530+F535+F540+F545</f>
        <v>6543308</v>
      </c>
      <c r="G546" s="89">
        <f t="shared" ref="G546:L546" si="42">G525+G530+G535+G540+G545</f>
        <v>2997663</v>
      </c>
      <c r="H546" s="89">
        <f t="shared" si="42"/>
        <v>2035575</v>
      </c>
      <c r="I546" s="89">
        <f t="shared" si="42"/>
        <v>41929</v>
      </c>
      <c r="J546" s="89">
        <f t="shared" si="42"/>
        <v>64209</v>
      </c>
      <c r="K546" s="89">
        <f t="shared" si="42"/>
        <v>1855</v>
      </c>
      <c r="L546" s="89">
        <f t="shared" si="42"/>
        <v>11684539</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4072077</v>
      </c>
      <c r="G550" s="87">
        <f>L527</f>
        <v>811456</v>
      </c>
      <c r="H550" s="87">
        <f>L532</f>
        <v>265941</v>
      </c>
      <c r="I550" s="87">
        <f>L537</f>
        <v>13571</v>
      </c>
      <c r="J550" s="87">
        <f>L542</f>
        <v>202621</v>
      </c>
      <c r="K550" s="87">
        <f>SUM(F550:J550)</f>
        <v>5365666</v>
      </c>
      <c r="L550" s="24" t="s">
        <v>288</v>
      </c>
      <c r="M550" s="8"/>
      <c r="N550" s="266"/>
    </row>
    <row r="551" spans="1:14" s="3" customFormat="1" ht="12.2" customHeight="1" x14ac:dyDescent="0.15">
      <c r="A551" s="22" t="s">
        <v>634</v>
      </c>
      <c r="B551" s="75">
        <v>21</v>
      </c>
      <c r="C551" s="75">
        <v>23</v>
      </c>
      <c r="D551" s="2" t="s">
        <v>432</v>
      </c>
      <c r="E551" s="75"/>
      <c r="F551" s="87">
        <f>L523</f>
        <v>2191347</v>
      </c>
      <c r="G551" s="87">
        <f>L528</f>
        <v>417476</v>
      </c>
      <c r="H551" s="87">
        <f>L533</f>
        <v>202861</v>
      </c>
      <c r="I551" s="87">
        <f>L538</f>
        <v>7557</v>
      </c>
      <c r="J551" s="87">
        <f>L543</f>
        <v>113134</v>
      </c>
      <c r="K551" s="87">
        <f>SUM(F551:J551)</f>
        <v>2932375</v>
      </c>
      <c r="L551" s="24" t="s">
        <v>288</v>
      </c>
      <c r="M551" s="8"/>
      <c r="N551" s="266"/>
    </row>
    <row r="552" spans="1:14" s="3" customFormat="1" ht="12.2" customHeight="1" thickBot="1" x14ac:dyDescent="0.2">
      <c r="A552" s="22" t="s">
        <v>635</v>
      </c>
      <c r="B552" s="75">
        <v>21</v>
      </c>
      <c r="C552" s="75">
        <v>24</v>
      </c>
      <c r="D552" s="2" t="s">
        <v>432</v>
      </c>
      <c r="E552" s="75"/>
      <c r="F552" s="87">
        <f>L524</f>
        <v>2436493</v>
      </c>
      <c r="G552" s="87">
        <f>L529</f>
        <v>508826</v>
      </c>
      <c r="H552" s="87">
        <f>L534</f>
        <v>266074</v>
      </c>
      <c r="I552" s="87">
        <f>L539</f>
        <v>13394</v>
      </c>
      <c r="J552" s="87">
        <f>L544</f>
        <v>161711</v>
      </c>
      <c r="K552" s="87">
        <f>SUM(F552:J552)</f>
        <v>3386498</v>
      </c>
      <c r="L552" s="24" t="s">
        <v>288</v>
      </c>
      <c r="M552" s="8"/>
      <c r="N552" s="266"/>
    </row>
    <row r="553" spans="1:14" s="3" customFormat="1" ht="12.2" customHeight="1" thickTop="1" x14ac:dyDescent="0.15">
      <c r="A553" s="172" t="s">
        <v>340</v>
      </c>
      <c r="B553" s="44">
        <v>21</v>
      </c>
      <c r="C553" s="44">
        <v>25</v>
      </c>
      <c r="D553" s="39" t="s">
        <v>432</v>
      </c>
      <c r="E553" s="44"/>
      <c r="F553" s="89">
        <f t="shared" ref="F553:K553" si="43">SUM(F550:F552)</f>
        <v>8699917</v>
      </c>
      <c r="G553" s="89">
        <f t="shared" si="43"/>
        <v>1737758</v>
      </c>
      <c r="H553" s="89">
        <f t="shared" si="43"/>
        <v>734876</v>
      </c>
      <c r="I553" s="89">
        <f t="shared" si="43"/>
        <v>34522</v>
      </c>
      <c r="J553" s="89">
        <f t="shared" si="43"/>
        <v>477466</v>
      </c>
      <c r="K553" s="89">
        <f t="shared" si="43"/>
        <v>11684539</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9940</v>
      </c>
      <c r="G563" s="18">
        <f>18436-2</f>
        <v>18434</v>
      </c>
      <c r="H563" s="18">
        <v>15</v>
      </c>
      <c r="I563" s="18">
        <v>114</v>
      </c>
      <c r="J563" s="18"/>
      <c r="K563" s="18"/>
      <c r="L563" s="88">
        <f>SUM(F563:K563)</f>
        <v>28503</v>
      </c>
      <c r="M563" s="8"/>
      <c r="N563" s="266"/>
    </row>
    <row r="564" spans="1:14" s="3" customFormat="1" ht="12.2" customHeight="1" x14ac:dyDescent="0.15">
      <c r="A564" s="22" t="s">
        <v>634</v>
      </c>
      <c r="B564" s="105">
        <v>22</v>
      </c>
      <c r="C564" s="115">
        <v>6</v>
      </c>
      <c r="D564" s="2" t="s">
        <v>432</v>
      </c>
      <c r="E564" s="115"/>
      <c r="F564" s="18">
        <v>19879</v>
      </c>
      <c r="G564" s="18">
        <v>10294</v>
      </c>
      <c r="H564" s="18">
        <v>8</v>
      </c>
      <c r="I564" s="18">
        <v>64</v>
      </c>
      <c r="J564" s="18"/>
      <c r="K564" s="18"/>
      <c r="L564" s="88">
        <f>SUM(F564:K564)</f>
        <v>30245</v>
      </c>
      <c r="M564" s="8"/>
      <c r="N564" s="266"/>
    </row>
    <row r="565" spans="1:14" s="3" customFormat="1" ht="12.2" customHeight="1" thickBot="1" x14ac:dyDescent="0.2">
      <c r="A565" s="22" t="s">
        <v>635</v>
      </c>
      <c r="B565" s="105">
        <v>22</v>
      </c>
      <c r="C565" s="118">
        <v>7</v>
      </c>
      <c r="D565" s="2" t="s">
        <v>432</v>
      </c>
      <c r="E565" s="118"/>
      <c r="F565" s="18">
        <v>42443</v>
      </c>
      <c r="G565" s="18">
        <v>14714</v>
      </c>
      <c r="H565" s="18">
        <v>12</v>
      </c>
      <c r="I565" s="18">
        <v>91</v>
      </c>
      <c r="J565" s="18"/>
      <c r="K565" s="18"/>
      <c r="L565" s="88">
        <f>SUM(F565:K565)</f>
        <v>57260</v>
      </c>
      <c r="M565" s="8"/>
      <c r="N565" s="266"/>
    </row>
    <row r="566" spans="1:14" s="3" customFormat="1" ht="12.2" customHeight="1" thickTop="1" x14ac:dyDescent="0.15">
      <c r="A566" s="139" t="s">
        <v>65</v>
      </c>
      <c r="B566" s="107">
        <v>22</v>
      </c>
      <c r="C566" s="107">
        <v>8</v>
      </c>
      <c r="D566" s="196" t="s">
        <v>432</v>
      </c>
      <c r="E566" s="107"/>
      <c r="F566" s="89">
        <f t="shared" ref="F566:L566" si="45">SUM(F563:F565)</f>
        <v>72262</v>
      </c>
      <c r="G566" s="89">
        <f t="shared" si="45"/>
        <v>43442</v>
      </c>
      <c r="H566" s="89">
        <f t="shared" si="45"/>
        <v>35</v>
      </c>
      <c r="I566" s="89">
        <f t="shared" si="45"/>
        <v>269</v>
      </c>
      <c r="J566" s="89">
        <f t="shared" si="45"/>
        <v>0</v>
      </c>
      <c r="K566" s="89">
        <f t="shared" si="45"/>
        <v>0</v>
      </c>
      <c r="L566" s="89">
        <f t="shared" si="45"/>
        <v>116008</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6">SUM(G568:G570)</f>
        <v>0</v>
      </c>
      <c r="H571" s="193">
        <f t="shared" si="46"/>
        <v>0</v>
      </c>
      <c r="I571" s="193">
        <f t="shared" si="46"/>
        <v>0</v>
      </c>
      <c r="J571" s="193">
        <f t="shared" si="46"/>
        <v>0</v>
      </c>
      <c r="K571" s="193">
        <f t="shared" si="46"/>
        <v>0</v>
      </c>
      <c r="L571" s="193">
        <f t="shared" si="46"/>
        <v>0</v>
      </c>
      <c r="M571" s="8"/>
      <c r="N571" s="266"/>
    </row>
    <row r="572" spans="1:14" s="3" customFormat="1" ht="12.2" customHeight="1" thickTop="1" x14ac:dyDescent="0.15">
      <c r="A572" s="98" t="s">
        <v>88</v>
      </c>
      <c r="B572" s="107">
        <v>22</v>
      </c>
      <c r="C572" s="107">
        <v>13</v>
      </c>
      <c r="D572" s="158" t="s">
        <v>432</v>
      </c>
      <c r="E572" s="107"/>
      <c r="F572" s="89">
        <f>F561+F566+F571</f>
        <v>72262</v>
      </c>
      <c r="G572" s="89">
        <f t="shared" ref="G572:L572" si="47">G561+G566+G571</f>
        <v>43442</v>
      </c>
      <c r="H572" s="89">
        <f t="shared" si="47"/>
        <v>35</v>
      </c>
      <c r="I572" s="89">
        <f t="shared" si="47"/>
        <v>269</v>
      </c>
      <c r="J572" s="89">
        <f t="shared" si="47"/>
        <v>0</v>
      </c>
      <c r="K572" s="89">
        <f t="shared" si="47"/>
        <v>0</v>
      </c>
      <c r="L572" s="89">
        <f t="shared" si="47"/>
        <v>116008</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8">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8"/>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8"/>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f>64287+78716</f>
        <v>143003</v>
      </c>
      <c r="G580" s="18">
        <f>124925+43951</f>
        <v>168876</v>
      </c>
      <c r="H580" s="18">
        <f>505+62823</f>
        <v>63328</v>
      </c>
      <c r="I580" s="87">
        <f t="shared" si="48"/>
        <v>375207</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8"/>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8"/>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378924</v>
      </c>
      <c r="G583" s="18">
        <v>321167</v>
      </c>
      <c r="H583" s="18">
        <v>426676</v>
      </c>
      <c r="I583" s="87">
        <f t="shared" si="48"/>
        <v>1126767</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8"/>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291519</v>
      </c>
      <c r="I585" s="87">
        <f t="shared" si="48"/>
        <v>291519</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8"/>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8"/>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8"/>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f>45094+264208</f>
        <v>309302</v>
      </c>
      <c r="I592" s="18">
        <v>147521</v>
      </c>
      <c r="J592" s="18">
        <v>210865</v>
      </c>
      <c r="K592" s="104">
        <f t="shared" ref="K592:K598" si="49">SUM(H592:J592)</f>
        <v>667688</v>
      </c>
      <c r="L592" s="24" t="s">
        <v>288</v>
      </c>
      <c r="M592" s="8"/>
      <c r="N592" s="266"/>
    </row>
    <row r="593" spans="1:14" s="3" customFormat="1" ht="12.2" customHeight="1" x14ac:dyDescent="0.15">
      <c r="A593" s="3" t="s">
        <v>638</v>
      </c>
      <c r="B593" s="75">
        <v>23</v>
      </c>
      <c r="C593" s="75">
        <v>2</v>
      </c>
      <c r="D593" s="2" t="s">
        <v>432</v>
      </c>
      <c r="E593" s="75"/>
      <c r="F593" s="102">
        <v>2722</v>
      </c>
      <c r="G593" s="103" t="s">
        <v>97</v>
      </c>
      <c r="H593" s="18">
        <v>202621</v>
      </c>
      <c r="I593" s="18">
        <v>113134</v>
      </c>
      <c r="J593" s="18">
        <v>161711</v>
      </c>
      <c r="K593" s="104">
        <f t="shared" si="49"/>
        <v>477466</v>
      </c>
      <c r="L593" s="24" t="s">
        <v>288</v>
      </c>
      <c r="M593" s="8"/>
      <c r="N593" s="266"/>
    </row>
    <row r="594" spans="1:14" s="3" customFormat="1" ht="12.2" customHeight="1" x14ac:dyDescent="0.15">
      <c r="A594" s="3" t="s">
        <v>639</v>
      </c>
      <c r="B594" s="75">
        <v>23</v>
      </c>
      <c r="C594" s="75">
        <v>3</v>
      </c>
      <c r="D594" s="2" t="s">
        <v>432</v>
      </c>
      <c r="E594" s="75"/>
      <c r="F594" s="102">
        <v>2723</v>
      </c>
      <c r="G594" s="103" t="s">
        <v>97</v>
      </c>
      <c r="H594" s="18">
        <v>231</v>
      </c>
      <c r="I594" s="18">
        <v>129</v>
      </c>
      <c r="J594" s="18">
        <f>185+6654</f>
        <v>6839</v>
      </c>
      <c r="K594" s="104">
        <f t="shared" si="49"/>
        <v>7199</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9"/>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f>400+258+400+161</f>
        <v>1219</v>
      </c>
      <c r="I596" s="18">
        <f>1890+8402+90</f>
        <v>10382</v>
      </c>
      <c r="J596" s="18">
        <f>843+28839+410+128</f>
        <v>30220</v>
      </c>
      <c r="K596" s="104">
        <f t="shared" si="49"/>
        <v>41821</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9"/>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f>278+146322+161848-1-3</f>
        <v>308444</v>
      </c>
      <c r="I598" s="18">
        <f>155+81699+90368+1</f>
        <v>172223</v>
      </c>
      <c r="J598" s="18">
        <f>221+116779+129171-1</f>
        <v>246170</v>
      </c>
      <c r="K598" s="104">
        <f t="shared" si="49"/>
        <v>726837</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821817</v>
      </c>
      <c r="I599" s="108">
        <f>SUM(I592:I598)</f>
        <v>443389</v>
      </c>
      <c r="J599" s="108">
        <f>SUM(J592:J598)</f>
        <v>655805</v>
      </c>
      <c r="K599" s="108">
        <f>SUM(K592:K598)</f>
        <v>1921011</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v>3385</v>
      </c>
      <c r="I603" s="18">
        <v>1890</v>
      </c>
      <c r="J603" s="18">
        <v>2702</v>
      </c>
      <c r="K603" s="104">
        <f>SUM(H603:J603)</f>
        <v>7977</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29348+209683+1</f>
        <v>239032</v>
      </c>
      <c r="I605" s="18">
        <f>45905+117077</f>
        <v>162982</v>
      </c>
      <c r="J605" s="18">
        <f>22141+167347</f>
        <v>189488</v>
      </c>
      <c r="K605" s="104">
        <f>SUM(H605:J605)</f>
        <v>591502</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242417</v>
      </c>
      <c r="I606" s="108">
        <f>SUM(I603:I605)</f>
        <v>164872</v>
      </c>
      <c r="J606" s="108">
        <f>SUM(J603:J605)</f>
        <v>192190</v>
      </c>
      <c r="K606" s="108">
        <f>SUM(K603:K605)</f>
        <v>599479</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50">SUM(F612:F614)</f>
        <v>0</v>
      </c>
      <c r="G615" s="108">
        <f t="shared" si="50"/>
        <v>0</v>
      </c>
      <c r="H615" s="108">
        <f t="shared" si="50"/>
        <v>0</v>
      </c>
      <c r="I615" s="108">
        <f t="shared" si="50"/>
        <v>0</v>
      </c>
      <c r="J615" s="108">
        <f t="shared" si="50"/>
        <v>0</v>
      </c>
      <c r="K615" s="108">
        <f t="shared" si="50"/>
        <v>0</v>
      </c>
      <c r="L615" s="89">
        <f t="shared" si="50"/>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2441429</v>
      </c>
      <c r="H618" s="109">
        <f>SUM(F52)</f>
        <v>2441429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53647</v>
      </c>
      <c r="H619" s="109">
        <f>SUM(G52)</f>
        <v>53647</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422901</v>
      </c>
      <c r="H620" s="109">
        <f>SUM(H52)</f>
        <v>422901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673837</v>
      </c>
      <c r="H622" s="109">
        <f>SUM(J52)</f>
        <v>673837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451864</v>
      </c>
      <c r="H623" s="109">
        <f>F477</f>
        <v>451864</v>
      </c>
      <c r="I623" s="121" t="s">
        <v>101</v>
      </c>
      <c r="J623" s="109">
        <f t="shared" ref="J623:J656" si="51">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1"/>
        <v>0</v>
      </c>
      <c r="K624" s="109"/>
      <c r="L624" s="109"/>
      <c r="M624" s="8"/>
    </row>
    <row r="625" spans="1:13" s="3" customFormat="1" ht="12.2" customHeight="1" x14ac:dyDescent="0.15">
      <c r="A625" s="97"/>
      <c r="B625" s="105"/>
      <c r="C625" s="105"/>
      <c r="D625" s="105"/>
      <c r="E625" s="105"/>
      <c r="F625" s="120" t="s">
        <v>867</v>
      </c>
      <c r="G625" s="109">
        <f>H51</f>
        <v>-6671</v>
      </c>
      <c r="H625" s="109">
        <f>H477</f>
        <v>-6671</v>
      </c>
      <c r="I625" s="121" t="s">
        <v>103</v>
      </c>
      <c r="J625" s="109">
        <f t="shared" si="51"/>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1"/>
        <v>0</v>
      </c>
      <c r="K626" s="109"/>
      <c r="L626" s="109"/>
      <c r="M626" s="8"/>
    </row>
    <row r="627" spans="1:13" s="3" customFormat="1" ht="12.2" customHeight="1" x14ac:dyDescent="0.15">
      <c r="A627" s="22"/>
      <c r="B627" s="105"/>
      <c r="C627" s="105"/>
      <c r="D627" s="105"/>
      <c r="E627" s="105"/>
      <c r="F627" s="120" t="s">
        <v>869</v>
      </c>
      <c r="G627" s="109">
        <f>J51</f>
        <v>673837</v>
      </c>
      <c r="H627" s="109">
        <f>J477</f>
        <v>673837</v>
      </c>
      <c r="I627" s="140" t="s">
        <v>105</v>
      </c>
      <c r="J627" s="109">
        <f t="shared" si="51"/>
        <v>0</v>
      </c>
      <c r="K627" s="85"/>
      <c r="L627" s="88"/>
      <c r="M627" s="8"/>
    </row>
    <row r="628" spans="1:13" s="3" customFormat="1" ht="12.2" customHeight="1" x14ac:dyDescent="0.15">
      <c r="A628" s="22"/>
      <c r="B628" s="105"/>
      <c r="C628" s="105"/>
      <c r="D628" s="105"/>
      <c r="E628" s="105"/>
      <c r="F628" s="120" t="s">
        <v>658</v>
      </c>
      <c r="G628" s="109">
        <f>F194</f>
        <v>39630329</v>
      </c>
      <c r="H628" s="104">
        <f>SUM(F469)</f>
        <v>39630329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1085157</v>
      </c>
      <c r="H629" s="104">
        <f>SUM(G469)</f>
        <v>1085157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1291060</v>
      </c>
      <c r="H630" s="104">
        <f>SUM(H469)</f>
        <v>1291060</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39940</v>
      </c>
      <c r="H632" s="104">
        <f>SUM(J469)</f>
        <v>39940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38692745</v>
      </c>
      <c r="H633" s="104">
        <f>SUM(F473)</f>
        <v>38692745</v>
      </c>
      <c r="I633" s="140" t="s">
        <v>111</v>
      </c>
      <c r="J633" s="109">
        <f t="shared" si="51"/>
        <v>0</v>
      </c>
      <c r="K633" s="85"/>
      <c r="L633" s="88"/>
      <c r="M633" s="8"/>
    </row>
    <row r="634" spans="1:13" s="3" customFormat="1" ht="12.2" customHeight="1" x14ac:dyDescent="0.15">
      <c r="A634" s="22"/>
      <c r="B634" s="105"/>
      <c r="C634" s="105"/>
      <c r="D634" s="105"/>
      <c r="E634" s="105"/>
      <c r="F634" s="120" t="s">
        <v>395</v>
      </c>
      <c r="G634" s="109">
        <f>SUM(L353)</f>
        <v>1278223</v>
      </c>
      <c r="H634" s="104">
        <f>SUM(H473)</f>
        <v>1278223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374423</v>
      </c>
      <c r="H635" s="104">
        <f>I370</f>
        <v>374423</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1002584</v>
      </c>
      <c r="H636" s="104">
        <f>SUM(G473)</f>
        <v>1002584</v>
      </c>
      <c r="I636" s="140" t="s">
        <v>114</v>
      </c>
      <c r="J636" s="109">
        <f t="shared" si="51"/>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1"/>
        <v>0</v>
      </c>
      <c r="K637" s="85"/>
      <c r="L637" s="88"/>
      <c r="M637" s="8"/>
    </row>
    <row r="638" spans="1:13" s="3" customFormat="1" ht="12.2" customHeight="1" x14ac:dyDescent="0.15">
      <c r="A638" s="161"/>
      <c r="B638" s="162"/>
      <c r="C638" s="162"/>
      <c r="D638" s="162"/>
      <c r="E638" s="162"/>
      <c r="F638" s="163" t="s">
        <v>477</v>
      </c>
      <c r="G638" s="151">
        <f>SUM(L409)</f>
        <v>39940</v>
      </c>
      <c r="H638" s="164">
        <f>SUM(J469)</f>
        <v>39940</v>
      </c>
      <c r="I638" s="165" t="s">
        <v>110</v>
      </c>
      <c r="J638" s="151">
        <f t="shared" si="51"/>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1"/>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1"/>
        <v>0</v>
      </c>
      <c r="K640" s="85"/>
      <c r="L640" s="88"/>
      <c r="M640" s="8"/>
    </row>
    <row r="641" spans="1:13" s="3" customFormat="1" ht="12.2" customHeight="1" x14ac:dyDescent="0.15">
      <c r="A641" s="22"/>
      <c r="B641" s="105"/>
      <c r="C641" s="105"/>
      <c r="D641" s="105"/>
      <c r="E641" s="105"/>
      <c r="F641" s="120" t="s">
        <v>119</v>
      </c>
      <c r="G641" s="109">
        <f>SUM(G447)</f>
        <v>673837</v>
      </c>
      <c r="H641" s="104">
        <f>SUM(G462)</f>
        <v>673837</v>
      </c>
      <c r="I641" s="140" t="s">
        <v>842</v>
      </c>
      <c r="J641" s="109">
        <f t="shared" si="51"/>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1"/>
        <v>0</v>
      </c>
      <c r="K642" s="85"/>
      <c r="L642" s="88"/>
      <c r="M642" s="8"/>
    </row>
    <row r="643" spans="1:13" s="3" customFormat="1" ht="12.2" customHeight="1" x14ac:dyDescent="0.15">
      <c r="A643" s="22"/>
      <c r="B643" s="105"/>
      <c r="C643" s="105"/>
      <c r="D643" s="105"/>
      <c r="E643" s="105"/>
      <c r="F643" s="120" t="s">
        <v>121</v>
      </c>
      <c r="G643" s="109">
        <f>SUM(I447)</f>
        <v>673837</v>
      </c>
      <c r="H643" s="104">
        <f>SUM(I462)</f>
        <v>673837</v>
      </c>
      <c r="I643" s="140" t="s">
        <v>844</v>
      </c>
      <c r="J643" s="109">
        <f t="shared" si="51"/>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1"/>
        <v>0</v>
      </c>
      <c r="K644" s="85"/>
      <c r="L644" s="88"/>
      <c r="M644" s="8"/>
    </row>
    <row r="645" spans="1:13" s="3" customFormat="1" ht="12.2" customHeight="1" x14ac:dyDescent="0.15">
      <c r="A645" s="22"/>
      <c r="B645" s="105"/>
      <c r="C645" s="105"/>
      <c r="D645" s="105"/>
      <c r="E645" s="105"/>
      <c r="F645" s="120" t="s">
        <v>663</v>
      </c>
      <c r="G645" s="109">
        <f>J96</f>
        <v>39940</v>
      </c>
      <c r="H645" s="104">
        <f>H409</f>
        <v>39940</v>
      </c>
      <c r="I645" s="140" t="s">
        <v>480</v>
      </c>
      <c r="J645" s="109">
        <f t="shared" si="51"/>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1"/>
        <v>0</v>
      </c>
      <c r="K646" s="85"/>
      <c r="L646" s="88"/>
      <c r="M646" s="8"/>
    </row>
    <row r="647" spans="1:13" s="3" customFormat="1" ht="12.2" customHeight="1" x14ac:dyDescent="0.15">
      <c r="A647" s="22"/>
      <c r="B647" s="105"/>
      <c r="C647" s="105"/>
      <c r="D647" s="105"/>
      <c r="E647" s="105"/>
      <c r="F647" s="120" t="s">
        <v>662</v>
      </c>
      <c r="G647" s="109">
        <f>J194</f>
        <v>39940</v>
      </c>
      <c r="H647" s="104">
        <f>L409</f>
        <v>39940</v>
      </c>
      <c r="I647" s="140" t="s">
        <v>477</v>
      </c>
      <c r="J647" s="109">
        <f t="shared" si="51"/>
        <v>0</v>
      </c>
      <c r="K647" s="85"/>
      <c r="L647" s="88"/>
      <c r="M647" s="8"/>
    </row>
    <row r="648" spans="1:13" s="3" customFormat="1" ht="12.2" customHeight="1" x14ac:dyDescent="0.15">
      <c r="A648" s="22"/>
      <c r="B648" s="105"/>
      <c r="C648" s="105"/>
      <c r="D648" s="105"/>
      <c r="E648" s="105"/>
      <c r="F648" s="120" t="s">
        <v>51</v>
      </c>
      <c r="G648" s="109">
        <f>K599</f>
        <v>1921011</v>
      </c>
      <c r="H648" s="104">
        <f>L209+L227+L245</f>
        <v>1921011</v>
      </c>
      <c r="I648" s="140" t="s">
        <v>396</v>
      </c>
      <c r="J648" s="109">
        <f t="shared" si="51"/>
        <v>0</v>
      </c>
      <c r="K648" s="85"/>
      <c r="L648" s="88"/>
      <c r="M648" s="8"/>
    </row>
    <row r="649" spans="1:13" s="3" customFormat="1" ht="12.2" customHeight="1" x14ac:dyDescent="0.15">
      <c r="A649" s="22"/>
      <c r="B649" s="105"/>
      <c r="C649" s="105"/>
      <c r="D649" s="105"/>
      <c r="E649" s="105"/>
      <c r="F649" s="120" t="s">
        <v>52</v>
      </c>
      <c r="G649" s="109">
        <f>K606</f>
        <v>599479</v>
      </c>
      <c r="H649" s="104">
        <f>(J258+J339)-(J256+J337)</f>
        <v>599479</v>
      </c>
      <c r="I649" s="140" t="s">
        <v>699</v>
      </c>
      <c r="J649" s="109">
        <f t="shared" si="51"/>
        <v>0</v>
      </c>
      <c r="K649" s="85"/>
      <c r="L649" s="88"/>
      <c r="M649" s="8"/>
    </row>
    <row r="650" spans="1:13" s="3" customFormat="1" ht="12.2" customHeight="1" x14ac:dyDescent="0.15">
      <c r="A650" s="22"/>
      <c r="B650" s="105"/>
      <c r="C650" s="105"/>
      <c r="D650" s="105"/>
      <c r="E650" s="105"/>
      <c r="F650" s="120" t="s">
        <v>387</v>
      </c>
      <c r="G650" s="109">
        <f>L209</f>
        <v>821817</v>
      </c>
      <c r="H650" s="104">
        <f>H599</f>
        <v>821817</v>
      </c>
      <c r="I650" s="140" t="s">
        <v>388</v>
      </c>
      <c r="J650" s="109">
        <f t="shared" si="51"/>
        <v>0</v>
      </c>
      <c r="K650" s="85"/>
      <c r="L650" s="88"/>
      <c r="M650" s="8"/>
    </row>
    <row r="651" spans="1:13" s="3" customFormat="1" ht="12.2" customHeight="1" x14ac:dyDescent="0.15">
      <c r="A651" s="22"/>
      <c r="B651" s="105"/>
      <c r="C651" s="105"/>
      <c r="D651" s="105"/>
      <c r="E651" s="105"/>
      <c r="F651" s="120" t="s">
        <v>392</v>
      </c>
      <c r="G651" s="109">
        <f>L227</f>
        <v>443389</v>
      </c>
      <c r="H651" s="104">
        <f>I599</f>
        <v>443389</v>
      </c>
      <c r="I651" s="140" t="s">
        <v>389</v>
      </c>
      <c r="J651" s="109">
        <f t="shared" si="51"/>
        <v>0</v>
      </c>
      <c r="K651" s="85"/>
      <c r="L651" s="88"/>
      <c r="M651" s="8"/>
    </row>
    <row r="652" spans="1:13" s="3" customFormat="1" ht="12.2" customHeight="1" x14ac:dyDescent="0.15">
      <c r="A652" s="22"/>
      <c r="B652" s="105"/>
      <c r="C652" s="105"/>
      <c r="D652" s="105"/>
      <c r="E652" s="105"/>
      <c r="F652" s="120" t="s">
        <v>393</v>
      </c>
      <c r="G652" s="109">
        <f>L245</f>
        <v>655805</v>
      </c>
      <c r="H652" s="104">
        <f>J599</f>
        <v>655805</v>
      </c>
      <c r="I652" s="140" t="s">
        <v>390</v>
      </c>
      <c r="J652" s="109">
        <f t="shared" si="51"/>
        <v>0</v>
      </c>
      <c r="K652" s="85"/>
      <c r="L652" s="88"/>
      <c r="M652" s="8"/>
    </row>
    <row r="653" spans="1:13" s="3" customFormat="1" ht="12.2" customHeight="1" x14ac:dyDescent="0.15">
      <c r="A653" s="22"/>
      <c r="B653" s="105"/>
      <c r="C653" s="105"/>
      <c r="D653" s="105"/>
      <c r="E653" s="105"/>
      <c r="F653" s="120" t="s">
        <v>665</v>
      </c>
      <c r="G653" s="109">
        <f>G180</f>
        <v>286898</v>
      </c>
      <c r="H653" s="104">
        <f>K264+K346</f>
        <v>286898</v>
      </c>
      <c r="I653" s="140" t="s">
        <v>397</v>
      </c>
      <c r="J653" s="109">
        <f t="shared" si="51"/>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1"/>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1"/>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1"/>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17818356</v>
      </c>
      <c r="G661" s="19">
        <f>(L230+L310+L360)</f>
        <v>9554887</v>
      </c>
      <c r="H661" s="19">
        <f>(L248+L329+L361)</f>
        <v>12875923</v>
      </c>
      <c r="I661" s="19">
        <f>SUM(F661:H661)</f>
        <v>40249166</v>
      </c>
      <c r="J661" s="13"/>
      <c r="K661" s="13"/>
      <c r="L661" s="13"/>
      <c r="M661" s="9"/>
    </row>
    <row r="662" spans="1:13" s="3" customFormat="1" ht="12.2" customHeight="1" x14ac:dyDescent="0.2">
      <c r="A662" s="1" t="s">
        <v>127</v>
      </c>
      <c r="F662" s="19">
        <f>(L359/IF(SUM(L359:L361)=0,1,SUM(L359:L361))*(SUM(G97:G110)))</f>
        <v>175597.69842726394</v>
      </c>
      <c r="G662" s="19">
        <f>(L360/IF(SUM(L359:L361)=0,1,SUM(L359:L361))*(SUM(G97:G110)))</f>
        <v>88386.114791379077</v>
      </c>
      <c r="H662" s="19">
        <f>(L361/IF(SUM(L359:L361)=0,1,SUM(L359:L361))*(SUM(G97:G110)))</f>
        <v>197264.18678135698</v>
      </c>
      <c r="I662" s="19">
        <f>SUM(F662:H662)</f>
        <v>461248</v>
      </c>
      <c r="J662"/>
      <c r="K662" s="13"/>
      <c r="L662" s="13"/>
      <c r="M662" s="8"/>
    </row>
    <row r="663" spans="1:13" s="3" customFormat="1" ht="12.2" customHeight="1" x14ac:dyDescent="0.2">
      <c r="A663" s="1" t="s">
        <v>128</v>
      </c>
      <c r="F663" s="19">
        <f>(L209+L288)-(J209+J288)</f>
        <v>768749</v>
      </c>
      <c r="G663" s="19">
        <f>(L227+L307)-(J227+J307)</f>
        <v>413759</v>
      </c>
      <c r="H663" s="19">
        <f>(L245+L326)-(J245+J326)</f>
        <v>613451</v>
      </c>
      <c r="I663" s="19">
        <f>SUM(F663:H663)</f>
        <v>1795959</v>
      </c>
      <c r="J663"/>
      <c r="K663" s="13"/>
      <c r="L663" s="13"/>
      <c r="M663" s="9"/>
    </row>
    <row r="664" spans="1:13" s="3" customFormat="1" ht="12.2" customHeight="1" x14ac:dyDescent="0.15">
      <c r="A664" s="198" t="s">
        <v>129</v>
      </c>
      <c r="B664" s="169"/>
      <c r="C664" s="169"/>
      <c r="D664" s="169"/>
      <c r="E664" s="169"/>
      <c r="F664" s="199">
        <f>SUM(F576:F588)+SUM(H603:H605)+SUM(L612)</f>
        <v>764344</v>
      </c>
      <c r="G664" s="199">
        <f>SUM(G576:G588)+SUM(I603:I605)+L613</f>
        <v>654915</v>
      </c>
      <c r="H664" s="199">
        <f>SUM(H576:H588)+SUM(J603:J605)+L614</f>
        <v>973713</v>
      </c>
      <c r="I664" s="19">
        <f>SUM(F664:H664)</f>
        <v>2392972</v>
      </c>
      <c r="J664" s="13"/>
      <c r="K664" s="13"/>
      <c r="L664" s="13"/>
      <c r="M664" s="9"/>
    </row>
    <row r="665" spans="1:13" s="3" customFormat="1" ht="12.2" customHeight="1" x14ac:dyDescent="0.15">
      <c r="A665" s="1" t="s">
        <v>130</v>
      </c>
      <c r="F665" s="19">
        <f>F661-SUM(F662:F664)</f>
        <v>16109665.301572736</v>
      </c>
      <c r="G665" s="19">
        <f>G661-SUM(G662:G664)</f>
        <v>8397826.8852086216</v>
      </c>
      <c r="H665" s="19">
        <f>H661-SUM(H662:H664)</f>
        <v>11091494.813218642</v>
      </c>
      <c r="I665" s="19">
        <f>I661-SUM(I662:I664)</f>
        <v>35598987</v>
      </c>
      <c r="J665" s="13"/>
      <c r="K665" s="13"/>
      <c r="L665" s="13"/>
      <c r="M665" s="8"/>
    </row>
    <row r="666" spans="1:13" s="3" customFormat="1" ht="12.2" customHeight="1" x14ac:dyDescent="0.2">
      <c r="A666" s="1" t="s">
        <v>131</v>
      </c>
      <c r="F666" s="246">
        <f>12.41+180.89+791.37</f>
        <v>984.67</v>
      </c>
      <c r="G666" s="247">
        <v>549.72</v>
      </c>
      <c r="H666" s="247">
        <v>785.85</v>
      </c>
      <c r="I666" s="19">
        <f>SUM(F666:H666)</f>
        <v>2320.2399999999998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16360.47</v>
      </c>
      <c r="G668" s="19">
        <f>ROUND(G665/G666,2)</f>
        <v>15276.55</v>
      </c>
      <c r="H668" s="19">
        <f>ROUND(H665/H666,2)</f>
        <v>14114.01</v>
      </c>
      <c r="I668" s="19">
        <f>ROUND(I665/I666,2)</f>
        <v>15342.8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-47.95</v>
      </c>
      <c r="I671" s="19">
        <f>SUM(F671:H671)</f>
        <v>-47.95</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16360.47</v>
      </c>
      <c r="G673" s="19">
        <f>ROUND((G665+G670)/(G666+G671),2)</f>
        <v>15276.55</v>
      </c>
      <c r="H673" s="19">
        <f>ROUND((H665+H670)/(H666+H671),2)</f>
        <v>15031.16</v>
      </c>
      <c r="I673" s="19">
        <f>ROUND((I665+I670)/(I666+I671),2)</f>
        <v>15666.57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MERRIMACK VALLEY SCHOOL DISTRICT</v>
      </c>
      <c r="C5" s="344"/>
      <c r="D5" s="344"/>
      <c r="E5" s="344"/>
      <c r="F5" s="344"/>
    </row>
    <row r="8" spans="1:9" ht="18" x14ac:dyDescent="0.25">
      <c r="A8" s="323" t="s">
        <v>1591</v>
      </c>
      <c r="F8" s="330" t="s">
        <v>1609</v>
      </c>
    </row>
    <row r="9" spans="1:9" ht="15" x14ac:dyDescent="0.2">
      <c r="A9" s="321" t="s">
        <v>1592</v>
      </c>
      <c r="B9" s="324">
        <f>'DOE25'!G97</f>
        <v>453807</v>
      </c>
      <c r="F9" s="321" t="s">
        <v>1605</v>
      </c>
    </row>
    <row r="10" spans="1:9" ht="15" x14ac:dyDescent="0.2">
      <c r="A10" s="321" t="s">
        <v>1593</v>
      </c>
      <c r="B10" s="324">
        <f>'DOE25'!G112-'DOE25'!G97</f>
        <v>7965</v>
      </c>
      <c r="F10" s="321" t="s">
        <v>1606</v>
      </c>
    </row>
    <row r="11" spans="1:9" ht="15" x14ac:dyDescent="0.2">
      <c r="A11" s="321" t="s">
        <v>1594</v>
      </c>
      <c r="B11" s="324">
        <f>'DOE25'!G140</f>
        <v>15113</v>
      </c>
      <c r="F11" s="321" t="s">
        <v>1607</v>
      </c>
    </row>
    <row r="12" spans="1:9" ht="15" x14ac:dyDescent="0.2">
      <c r="A12" s="321" t="s">
        <v>1595</v>
      </c>
      <c r="B12" s="324">
        <f>'DOE25'!G170</f>
        <v>321374</v>
      </c>
      <c r="F12" s="321" t="s">
        <v>1608</v>
      </c>
    </row>
    <row r="13" spans="1:9" ht="15" x14ac:dyDescent="0.2">
      <c r="A13" s="321" t="s">
        <v>1596</v>
      </c>
      <c r="B13" s="324">
        <f>'DOE25'!G193-'DOE25'!G180</f>
        <v>0</v>
      </c>
      <c r="F13" s="321" t="s">
        <v>1618</v>
      </c>
    </row>
    <row r="14" spans="1:9" ht="18" x14ac:dyDescent="0.25">
      <c r="A14" s="323" t="s">
        <v>732</v>
      </c>
      <c r="B14" s="325">
        <f>SUM(B9:B13)</f>
        <v>798259</v>
      </c>
    </row>
    <row r="16" spans="1:9" ht="18" x14ac:dyDescent="0.25">
      <c r="A16" s="323" t="s">
        <v>786</v>
      </c>
      <c r="F16" s="330" t="s">
        <v>1610</v>
      </c>
    </row>
    <row r="17" spans="1:6" ht="15" x14ac:dyDescent="0.2">
      <c r="A17" s="321" t="s">
        <v>1597</v>
      </c>
      <c r="B17" s="324">
        <f>'DOE25'!L363-'DOE25'!L362</f>
        <v>1002584</v>
      </c>
      <c r="F17" s="321" t="s">
        <v>1611</v>
      </c>
    </row>
    <row r="18" spans="1:6" ht="15" x14ac:dyDescent="0.2">
      <c r="A18" s="321" t="s">
        <v>1598</v>
      </c>
      <c r="B18" s="338"/>
      <c r="F18" s="330" t="s">
        <v>1637</v>
      </c>
    </row>
    <row r="19" spans="1:6" ht="18" x14ac:dyDescent="0.25">
      <c r="A19" s="323" t="s">
        <v>725</v>
      </c>
      <c r="B19" s="325">
        <f>SUM(B17:B18)</f>
        <v>1002584</v>
      </c>
    </row>
    <row r="21" spans="1:6" ht="18.75" thickBot="1" x14ac:dyDescent="0.3">
      <c r="A21" s="323" t="s">
        <v>1599</v>
      </c>
    </row>
    <row r="22" spans="1:6" ht="18.75" thickTop="1" x14ac:dyDescent="0.25">
      <c r="A22" s="323" t="s">
        <v>1600</v>
      </c>
      <c r="B22" s="329">
        <f>B14-B19</f>
        <v>-204325</v>
      </c>
      <c r="F22" s="321" t="s">
        <v>1612</v>
      </c>
    </row>
    <row r="26" spans="1:6" ht="18" x14ac:dyDescent="0.25">
      <c r="A26" s="323" t="s">
        <v>186</v>
      </c>
    </row>
    <row r="27" spans="1:6" ht="15" x14ac:dyDescent="0.2">
      <c r="A27" s="321" t="s">
        <v>1601</v>
      </c>
      <c r="B27" s="324">
        <f>'DOE25'!G180</f>
        <v>286898</v>
      </c>
      <c r="F27" s="321" t="s">
        <v>1613</v>
      </c>
    </row>
    <row r="28" spans="1:6" ht="15" x14ac:dyDescent="0.2">
      <c r="A28" s="321" t="s">
        <v>1603</v>
      </c>
      <c r="B28" s="324">
        <f>'DOE25'!L362</f>
        <v>0</v>
      </c>
      <c r="F28" s="321" t="s">
        <v>1614</v>
      </c>
    </row>
    <row r="31" spans="1:6" ht="15" x14ac:dyDescent="0.2">
      <c r="A31" s="321" t="s">
        <v>1640</v>
      </c>
      <c r="B31" s="324">
        <f>'DOE25'!G466</f>
        <v>-82549</v>
      </c>
      <c r="F31" s="321" t="s">
        <v>1615</v>
      </c>
    </row>
    <row r="33" spans="1:6" ht="15" x14ac:dyDescent="0.2">
      <c r="A33" s="321" t="s">
        <v>1641</v>
      </c>
      <c r="B33" s="324">
        <f>'DOE25'!G477</f>
        <v>0</v>
      </c>
      <c r="F33" s="321" t="s">
        <v>1616</v>
      </c>
    </row>
    <row r="36" spans="1:6" ht="15" x14ac:dyDescent="0.2">
      <c r="A36" s="321" t="s">
        <v>1602</v>
      </c>
      <c r="B36" s="339">
        <v>28748.55</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MERRIMACK VALLEY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9639160</v>
      </c>
      <c r="C9" s="229">
        <f>'DOE25'!G198+'DOE25'!G216+'DOE25'!G234+'DOE25'!G277+'DOE25'!G296+'DOE25'!G315</f>
        <v>4401477</v>
      </c>
    </row>
    <row r="10" spans="1:3" x14ac:dyDescent="0.2">
      <c r="A10" t="s">
        <v>775</v>
      </c>
      <c r="B10" s="240">
        <f>9063563+229210</f>
        <v>9292773</v>
      </c>
      <c r="C10" s="240">
        <v>4374979</v>
      </c>
    </row>
    <row r="11" spans="1:3" x14ac:dyDescent="0.2">
      <c r="A11" t="s">
        <v>776</v>
      </c>
      <c r="B11" s="240">
        <f>575597-229210</f>
        <v>346387</v>
      </c>
      <c r="C11" s="240">
        <v>26498</v>
      </c>
    </row>
    <row r="12" spans="1:3" x14ac:dyDescent="0.2">
      <c r="A12" t="s">
        <v>777</v>
      </c>
      <c r="B12" s="240"/>
      <c r="C12" s="240"/>
    </row>
    <row r="13" spans="1:3" x14ac:dyDescent="0.2">
      <c r="A13" t="str">
        <f>IF(B9=B13,IF(C9=C13,"Check Total OK","Check Total Error"),"Check Total Error")</f>
        <v>Check Total OK</v>
      </c>
      <c r="B13" s="231">
        <f>SUM(B10:B12)</f>
        <v>9639160</v>
      </c>
      <c r="C13" s="231">
        <f>SUM(C10:C12)</f>
        <v>4401477</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4747765</v>
      </c>
      <c r="C18" s="229">
        <f>'DOE25'!G199+'DOE25'!G217+'DOE25'!G235+'DOE25'!G278+'DOE25'!G297+'DOE25'!G316</f>
        <v>2256949</v>
      </c>
    </row>
    <row r="19" spans="1:3" x14ac:dyDescent="0.2">
      <c r="A19" t="s">
        <v>775</v>
      </c>
      <c r="B19" s="240">
        <v>2203126</v>
      </c>
      <c r="C19" s="240">
        <v>2062284</v>
      </c>
    </row>
    <row r="20" spans="1:3" x14ac:dyDescent="0.2">
      <c r="A20" t="s">
        <v>776</v>
      </c>
      <c r="B20" s="240">
        <v>2544639</v>
      </c>
      <c r="C20" s="240">
        <v>194665</v>
      </c>
    </row>
    <row r="21" spans="1:3" x14ac:dyDescent="0.2">
      <c r="A21" t="s">
        <v>777</v>
      </c>
      <c r="B21" s="240"/>
      <c r="C21" s="240"/>
    </row>
    <row r="22" spans="1:3" x14ac:dyDescent="0.2">
      <c r="A22" t="str">
        <f>IF(B18=B22,IF(C18=C22,"Check Total OK","Check Total Error"),"Check Total Error")</f>
        <v>Check Total OK</v>
      </c>
      <c r="B22" s="231">
        <f>SUM(B19:B21)</f>
        <v>4747765</v>
      </c>
      <c r="C22" s="231">
        <f>SUM(C19:C21)</f>
        <v>2256949</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375924</v>
      </c>
      <c r="C36" s="235">
        <f>'DOE25'!G201+'DOE25'!G219+'DOE25'!G237+'DOE25'!G280+'DOE25'!G299+'DOE25'!G318</f>
        <v>103712</v>
      </c>
    </row>
    <row r="37" spans="1:3" x14ac:dyDescent="0.2">
      <c r="A37" t="s">
        <v>775</v>
      </c>
      <c r="B37" s="240">
        <v>116333</v>
      </c>
      <c r="C37" s="240">
        <v>83854</v>
      </c>
    </row>
    <row r="38" spans="1:3" x14ac:dyDescent="0.2">
      <c r="A38" t="s">
        <v>776</v>
      </c>
      <c r="B38" s="240">
        <v>259591</v>
      </c>
      <c r="C38" s="240">
        <v>19858</v>
      </c>
    </row>
    <row r="39" spans="1:3" x14ac:dyDescent="0.2">
      <c r="A39" t="s">
        <v>777</v>
      </c>
      <c r="B39" s="240"/>
      <c r="C39" s="240"/>
    </row>
    <row r="40" spans="1:3" x14ac:dyDescent="0.2">
      <c r="A40" t="str">
        <f>IF(B36=B40,IF(C36=C40,"Check Total OK","Check Total Error"),"Check Total Error")</f>
        <v>Check Total OK</v>
      </c>
      <c r="B40" s="231">
        <f>SUM(B37:B39)</f>
        <v>375924</v>
      </c>
      <c r="C40" s="231">
        <f>SUM(C37:C39)</f>
        <v>103712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2" sqref="D1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MERRIMACK VALLEY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23103914</v>
      </c>
      <c r="D5" s="20">
        <f>SUM('DOE25'!L198:L201)+SUM('DOE25'!L216:L219)+SUM('DOE25'!L234:L237)-F5-G5-H5</f>
        <v>22733311</v>
      </c>
      <c r="E5" s="243"/>
      <c r="F5" s="244">
        <f>188602+81246</f>
        <v>269848</v>
      </c>
      <c r="G5" s="53">
        <f>SUM('DOE25'!J198:J201)+SUM('DOE25'!J216:J219)+SUM('DOE25'!J234:J237)</f>
        <v>95977</v>
      </c>
      <c r="H5" s="53">
        <f>SUM('DOE25'!K198:K201)+SUM('DOE25'!K216:K219)+SUM('DOE25'!K234:K237)</f>
        <v>4778</v>
      </c>
      <c r="I5" s="256"/>
    </row>
    <row r="6" spans="1:9" x14ac:dyDescent="0.2">
      <c r="A6" s="32">
        <v>2100</v>
      </c>
      <c r="B6" t="s">
        <v>796</v>
      </c>
      <c r="C6" s="276">
        <f t="shared" si="0"/>
        <v>4723636</v>
      </c>
      <c r="D6" s="20">
        <f>'DOE25'!L203+'DOE25'!L221+'DOE25'!L239-F6-G6-H6</f>
        <v>4688664</v>
      </c>
      <c r="E6" s="243"/>
      <c r="F6" s="244">
        <v>31475</v>
      </c>
      <c r="G6" s="53">
        <f>'DOE25'!J203+'DOE25'!J221+'DOE25'!J239</f>
        <v>1642</v>
      </c>
      <c r="H6" s="53">
        <f>'DOE25'!K203+'DOE25'!K221+'DOE25'!K239</f>
        <v>1855</v>
      </c>
      <c r="I6" s="256"/>
    </row>
    <row r="7" spans="1:9" x14ac:dyDescent="0.2">
      <c r="A7" s="32">
        <v>2200</v>
      </c>
      <c r="B7" t="s">
        <v>821</v>
      </c>
      <c r="C7" s="276">
        <f t="shared" si="0"/>
        <v>1325173</v>
      </c>
      <c r="D7" s="20">
        <f>'DOE25'!L204+'DOE25'!L222+'DOE25'!L240-F7-G7-H7</f>
        <v>1182165</v>
      </c>
      <c r="E7" s="243"/>
      <c r="F7" s="244"/>
      <c r="G7" s="53">
        <f>'DOE25'!J204+'DOE25'!J222+'DOE25'!J240</f>
        <v>143008</v>
      </c>
      <c r="H7" s="53">
        <f>'DOE25'!K204+'DOE25'!K222+'DOE25'!K240</f>
        <v>0</v>
      </c>
      <c r="I7" s="256"/>
    </row>
    <row r="8" spans="1:9" x14ac:dyDescent="0.2">
      <c r="A8" s="32">
        <v>2300</v>
      </c>
      <c r="B8" t="s">
        <v>797</v>
      </c>
      <c r="C8" s="276">
        <f t="shared" si="0"/>
        <v>177606</v>
      </c>
      <c r="D8" s="243"/>
      <c r="E8" s="20">
        <f>'DOE25'!L205+'DOE25'!L223+'DOE25'!L241-F8-G8-H8-D9-D11</f>
        <v>171524</v>
      </c>
      <c r="F8" s="244"/>
      <c r="G8" s="53">
        <f>'DOE25'!J205+'DOE25'!J223+'DOE25'!J241</f>
        <v>0</v>
      </c>
      <c r="H8" s="53">
        <f>'DOE25'!K205+'DOE25'!K223+'DOE25'!K241</f>
        <v>6082</v>
      </c>
      <c r="I8" s="256"/>
    </row>
    <row r="9" spans="1:9" ht="14.25" x14ac:dyDescent="0.2">
      <c r="A9" s="32">
        <v>2310</v>
      </c>
      <c r="B9" s="185" t="s">
        <v>890</v>
      </c>
      <c r="C9" s="276">
        <f t="shared" si="0"/>
        <v>24861</v>
      </c>
      <c r="D9" s="244">
        <v>24861</v>
      </c>
      <c r="E9" s="243"/>
      <c r="F9" s="253"/>
      <c r="G9" s="253"/>
      <c r="H9" s="253"/>
      <c r="I9" s="256"/>
    </row>
    <row r="10" spans="1:9" ht="14.25" x14ac:dyDescent="0.2">
      <c r="A10" s="32">
        <v>2317</v>
      </c>
      <c r="B10" s="185" t="s">
        <v>891</v>
      </c>
      <c r="C10" s="276">
        <f t="shared" si="0"/>
        <v>32000</v>
      </c>
      <c r="D10" s="243"/>
      <c r="E10" s="244">
        <v>32000</v>
      </c>
      <c r="F10" s="253"/>
      <c r="G10" s="253"/>
      <c r="H10" s="253"/>
      <c r="I10" s="256"/>
    </row>
    <row r="11" spans="1:9" ht="14.25" x14ac:dyDescent="0.2">
      <c r="A11" s="32">
        <v>2321</v>
      </c>
      <c r="B11" s="185" t="s">
        <v>892</v>
      </c>
      <c r="C11" s="276">
        <f t="shared" si="0"/>
        <v>780358</v>
      </c>
      <c r="D11" s="244">
        <v>780358</v>
      </c>
      <c r="E11" s="243"/>
      <c r="F11" s="253"/>
      <c r="G11" s="253"/>
      <c r="H11" s="253"/>
      <c r="I11" s="256"/>
    </row>
    <row r="12" spans="1:9" x14ac:dyDescent="0.2">
      <c r="A12" s="32">
        <v>2400</v>
      </c>
      <c r="B12" t="s">
        <v>711</v>
      </c>
      <c r="C12" s="276">
        <f t="shared" si="0"/>
        <v>2164123</v>
      </c>
      <c r="D12" s="20">
        <f>'DOE25'!L206+'DOE25'!L224+'DOE25'!L242-F12-G12-H12</f>
        <v>2074706</v>
      </c>
      <c r="E12" s="243"/>
      <c r="F12" s="244"/>
      <c r="G12" s="53">
        <f>'DOE25'!J206+'DOE25'!J224+'DOE25'!J242</f>
        <v>60773</v>
      </c>
      <c r="H12" s="53">
        <f>'DOE25'!K206+'DOE25'!K224+'DOE25'!K242</f>
        <v>28644</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3750697</v>
      </c>
      <c r="D14" s="20">
        <f>'DOE25'!L208+'DOE25'!L226+'DOE25'!L244-F14-G14-H14</f>
        <v>3645693</v>
      </c>
      <c r="E14" s="243"/>
      <c r="F14" s="244"/>
      <c r="G14" s="53">
        <f>'DOE25'!J208+'DOE25'!J226+'DOE25'!J244</f>
        <v>105004</v>
      </c>
      <c r="H14" s="53">
        <f>'DOE25'!K208+'DOE25'!K226+'DOE25'!K244</f>
        <v>0</v>
      </c>
      <c r="I14" s="256"/>
    </row>
    <row r="15" spans="1:9" x14ac:dyDescent="0.2">
      <c r="A15" s="32">
        <v>2700</v>
      </c>
      <c r="B15" t="s">
        <v>799</v>
      </c>
      <c r="C15" s="276">
        <f t="shared" si="0"/>
        <v>1921011</v>
      </c>
      <c r="D15" s="20">
        <f>'DOE25'!L209+'DOE25'!L227+'DOE25'!L245-F15-G15-H15</f>
        <v>1789662</v>
      </c>
      <c r="E15" s="243"/>
      <c r="F15" s="244"/>
      <c r="G15" s="53">
        <f>'DOE25'!J209+'DOE25'!J227+'DOE25'!J245</f>
        <v>130698</v>
      </c>
      <c r="H15" s="53">
        <f>'DOE25'!K209+'DOE25'!K227+'DOE25'!K245</f>
        <v>651</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434468</v>
      </c>
      <c r="D22" s="243"/>
      <c r="E22" s="243"/>
      <c r="F22" s="243"/>
      <c r="G22" s="53">
        <f>'DOE25'!L256+'DOE25'!L337</f>
        <v>434468</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665099</v>
      </c>
      <c r="D29" s="284">
        <f>'DOE25'!L359+'DOE25'!L360+'DOE25'!L361-'DOE25'!I368-F29-G29-H29</f>
        <v>665099</v>
      </c>
      <c r="E29" s="243"/>
      <c r="F29" s="244"/>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1278223</v>
      </c>
      <c r="D31" s="20">
        <f>'DOE25'!L291+'DOE25'!L310+'DOE25'!L329+'DOE25'!L334+'DOE25'!L335+'DOE25'!L336-F31-G31-H31</f>
        <v>1210331</v>
      </c>
      <c r="E31" s="243"/>
      <c r="F31" s="244"/>
      <c r="G31" s="53">
        <f>'DOE25'!J291+'DOE25'!J310+'DOE25'!J329+'DOE25'!J334+'DOE25'!J335+'DOE25'!J336</f>
        <v>62377</v>
      </c>
      <c r="H31" s="53">
        <f>'DOE25'!K291+'DOE25'!K310+'DOE25'!K329+'DOE25'!K334+'DOE25'!K335+'DOE25'!K336</f>
        <v>5515</v>
      </c>
      <c r="I31" s="256"/>
    </row>
    <row r="32" spans="1:9" ht="12" thickBot="1" x14ac:dyDescent="0.25">
      <c r="C32" s="277"/>
      <c r="G32" s="251"/>
      <c r="H32" s="251"/>
      <c r="I32" s="258"/>
    </row>
    <row r="33" spans="1:9" ht="12" thickTop="1" x14ac:dyDescent="0.2">
      <c r="B33" t="s">
        <v>809</v>
      </c>
      <c r="D33" s="245">
        <f t="shared" ref="D33:I33" si="1">SUM(D5:D31)</f>
        <v>38794850</v>
      </c>
      <c r="E33" s="245">
        <f t="shared" si="1"/>
        <v>203524</v>
      </c>
      <c r="F33" s="245">
        <f t="shared" si="1"/>
        <v>301323</v>
      </c>
      <c r="G33" s="245">
        <f t="shared" si="1"/>
        <v>1033947</v>
      </c>
      <c r="H33" s="245">
        <f t="shared" si="1"/>
        <v>47525</v>
      </c>
      <c r="I33" s="245">
        <f t="shared" si="1"/>
        <v>0</v>
      </c>
    </row>
    <row r="35" spans="1:9" ht="12" thickBot="1" x14ac:dyDescent="0.25">
      <c r="B35" s="251" t="s">
        <v>831</v>
      </c>
      <c r="D35" s="252">
        <f>E33</f>
        <v>203524</v>
      </c>
      <c r="E35" s="248"/>
    </row>
    <row r="36" spans="1:9" ht="12" thickTop="1" x14ac:dyDescent="0.2">
      <c r="B36" t="s">
        <v>810</v>
      </c>
      <c r="D36" s="20">
        <f>D33</f>
        <v>38794850</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41" sqref="D41"/>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MERRIMACK VALLEY SCHOOL DISTRICT</v>
      </c>
      <c r="B2" s="126">
        <f>'DOE25'!B2</f>
        <v>352</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17436671</v>
      </c>
      <c r="G4" s="303">
        <f>'DOE25'!L212+'DOE25'!L291</f>
        <v>17436671</v>
      </c>
      <c r="H4" s="337">
        <f>F4-G4</f>
        <v>0</v>
      </c>
      <c r="I4" s="309" t="str">
        <f>IF(H4=0,"","Does not match DOE25 page 7 and 11 Totals!!")</f>
        <v/>
      </c>
      <c r="N4"/>
    </row>
    <row r="5" spans="1:18" x14ac:dyDescent="0.2">
      <c r="A5" s="21" t="s">
        <v>1258</v>
      </c>
      <c r="B5" s="304">
        <f>IFERROR(VLOOKUP(A5,'School Tables'!$C$3:$D$365,2,FALSE),"")</f>
        <v>22155</v>
      </c>
      <c r="C5" s="297" t="str">
        <f>IFERROR(INDEX('School Tables'!$B$3:$B$365,MATCH('School Level Expenditures'!B5,'School Tables'!$D$3:$D$365,0)),"")</f>
        <v>Merrimack Valley</v>
      </c>
      <c r="D5" s="294">
        <f>1866126+1995847-43647+519607-30086-2058-15-31-7-44</f>
        <v>4305692</v>
      </c>
      <c r="E5" s="294"/>
      <c r="F5" s="312">
        <f>D5+E5</f>
        <v>4305692</v>
      </c>
      <c r="G5" s="297"/>
      <c r="H5" s="297"/>
      <c r="I5" s="126"/>
      <c r="N5"/>
    </row>
    <row r="6" spans="1:18" x14ac:dyDescent="0.2">
      <c r="A6" s="21" t="s">
        <v>1259</v>
      </c>
      <c r="B6" s="304">
        <f>IFERROR(VLOOKUP(A6,'School Tables'!$C$3:$D$365,2,FALSE),"")</f>
        <v>22180</v>
      </c>
      <c r="C6" s="297" t="str">
        <f>IFERROR(INDEX('School Tables'!$B$3:$B$365,MATCH('School Level Expenditures'!B6,'School Tables'!$D$3:$D$365,0)),"")</f>
        <v>Merrimack Valley</v>
      </c>
      <c r="D6" s="294">
        <f>2209365+1856772-51675+615179-35619-18-37-8-52</f>
        <v>4593907</v>
      </c>
      <c r="E6" s="294"/>
      <c r="F6" s="307">
        <f t="shared" ref="F6:F20" si="0">D6+E6</f>
        <v>4593907</v>
      </c>
      <c r="G6" s="297"/>
      <c r="H6" s="297"/>
      <c r="I6" s="126"/>
      <c r="N6"/>
    </row>
    <row r="7" spans="1:18" x14ac:dyDescent="0.2">
      <c r="A7" s="21" t="s">
        <v>1260</v>
      </c>
      <c r="B7" s="304">
        <f>IFERROR(VLOOKUP(A7,'School Tables'!$C$3:$D$365,2,FALSE),"")</f>
        <v>22185</v>
      </c>
      <c r="C7" s="297" t="str">
        <f>IFERROR(INDEX('School Tables'!$B$3:$B$365,MATCH('School Level Expenditures'!B7,'School Tables'!$D$3:$D$365,0)),"")</f>
        <v>Merrimack Valley</v>
      </c>
      <c r="D7" s="294">
        <f>2368289+2644418-61850+736316-42633-21-44-10-62</f>
        <v>5644403</v>
      </c>
      <c r="E7" s="294"/>
      <c r="F7" s="307">
        <f t="shared" si="0"/>
        <v>5644403</v>
      </c>
      <c r="G7" s="297"/>
      <c r="H7" s="297"/>
      <c r="I7" s="126"/>
      <c r="N7"/>
    </row>
    <row r="8" spans="1:18" x14ac:dyDescent="0.2">
      <c r="A8" s="21" t="s">
        <v>1262</v>
      </c>
      <c r="B8" s="304">
        <f>IFERROR(VLOOKUP(A8,'School Tables'!$C$3:$D$365,2,FALSE),"")</f>
        <v>22200</v>
      </c>
      <c r="C8" s="297" t="str">
        <f>IFERROR(INDEX('School Tables'!$B$3:$B$365,MATCH('School Level Expenditures'!B8,'School Tables'!$D$3:$D$365,0)),"")</f>
        <v>Merrimack Valley</v>
      </c>
      <c r="D8" s="294">
        <f>460188+855972-10763+128135-7419-4-8-2-11</f>
        <v>1426088</v>
      </c>
      <c r="E8" s="294"/>
      <c r="F8" s="307">
        <f t="shared" si="0"/>
        <v>1426088</v>
      </c>
      <c r="G8" s="297"/>
      <c r="H8" s="297"/>
      <c r="I8" s="126"/>
      <c r="N8"/>
    </row>
    <row r="9" spans="1:18" x14ac:dyDescent="0.2">
      <c r="A9" s="21" t="s">
        <v>1263</v>
      </c>
      <c r="B9" s="304">
        <f>IFERROR(VLOOKUP(A9,'School Tables'!$C$3:$D$365,2,FALSE),"")</f>
        <v>22205</v>
      </c>
      <c r="C9" s="297" t="str">
        <f>IFERROR(INDEX('School Tables'!$B$3:$B$365,MATCH('School Level Expenditures'!B9,'School Tables'!$D$3:$D$365,0)),"")</f>
        <v>Merrimack Valley</v>
      </c>
      <c r="D9" s="294">
        <f>702809+595888-16438+195691-11331-6-11-3-18</f>
        <v>1466581</v>
      </c>
      <c r="E9" s="294"/>
      <c r="F9" s="307">
        <f t="shared" si="0"/>
        <v>1466581</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9362768</v>
      </c>
      <c r="G24" s="303">
        <f>'DOE25'!L230+'DOE25'!L310</f>
        <v>9362768</v>
      </c>
      <c r="H24" s="337">
        <f>F24-G24</f>
        <v>0</v>
      </c>
      <c r="I24" s="309" t="str">
        <f>IF(H24=0,"","Does not match DOE25 page 8 and 12 Totals!!")</f>
        <v/>
      </c>
      <c r="N24"/>
    </row>
    <row r="25" spans="1:14" x14ac:dyDescent="0.2">
      <c r="A25" s="21" t="s">
        <v>1257</v>
      </c>
      <c r="B25" s="304">
        <f>IFERROR(VLOOKUP(A25,'School Tables'!$I$3:$J$80,2,FALSE),"")</f>
        <v>26585</v>
      </c>
      <c r="C25" s="297" t="str">
        <f t="array" ref="C25">IFERROR(INDEX('School Tables'!$H$3:$H$80,MATCH('School Level Expenditures'!B25,'School Tables'!$J$3:$J$80,0)),"")</f>
        <v>Merrimack Valley</v>
      </c>
      <c r="D25" s="294">
        <f>4401440+5135461-70960-102945-228</f>
        <v>9362768</v>
      </c>
      <c r="E25" s="294"/>
      <c r="F25" s="307">
        <f>D25+E25</f>
        <v>9362768</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12447143</v>
      </c>
      <c r="G36" s="303">
        <f>'DOE25'!L248+'DOE25'!L329</f>
        <v>12447143</v>
      </c>
      <c r="H36" s="337">
        <f>F36-G36</f>
        <v>0</v>
      </c>
      <c r="I36" s="309" t="str">
        <f>IF(H36=0,"","Does not match DOE25 page 9 and 13 Totals!!")</f>
        <v/>
      </c>
      <c r="N36"/>
    </row>
    <row r="37" spans="1:14" x14ac:dyDescent="0.2">
      <c r="A37" s="21" t="s">
        <v>1261</v>
      </c>
      <c r="B37" s="304">
        <f>IFERROR(VLOOKUP(A37,'School Tables'!$O$3:$P$118,2,FALSE),"")</f>
        <v>22195</v>
      </c>
      <c r="C37" s="297" t="str">
        <f t="array" ref="C37">IFERROR(INDEX('School Tables'!$N$3:$N$118,MATCH('School Level Expenditures'!B37,'School Tables'!$P$3:$P$118,0)),"")</f>
        <v>Merrimack Valley</v>
      </c>
      <c r="D37" s="294">
        <f>6291340+6404705-101429-147148-325</f>
        <v>12447143</v>
      </c>
      <c r="E37" s="294"/>
      <c r="F37" s="307">
        <f>D37+E37</f>
        <v>12447143</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05" activePane="bottomLeft" state="frozen"/>
      <selection activeCell="F46" sqref="F46"/>
      <selection pane="bottomLeft" activeCell="I127" sqref="I127"/>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MERRIMACK VALLEY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2252412</v>
      </c>
      <c r="D8" s="95">
        <f>'DOE25'!G9</f>
        <v>25133</v>
      </c>
      <c r="E8" s="95">
        <f>'DOE25'!H9</f>
        <v>0</v>
      </c>
      <c r="F8" s="95">
        <f>'DOE25'!I9</f>
        <v>0</v>
      </c>
      <c r="G8" s="95">
        <f>'DOE25'!J9</f>
        <v>0</v>
      </c>
      <c r="H8" s="124"/>
      <c r="I8" s="124"/>
    </row>
    <row r="9" spans="1:9" x14ac:dyDescent="0.2">
      <c r="A9" s="1" t="s">
        <v>140</v>
      </c>
      <c r="B9" s="6">
        <v>110</v>
      </c>
      <c r="C9" s="95">
        <f>'DOE25'!F10</f>
        <v>36662</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125146</v>
      </c>
      <c r="D11" s="95">
        <f>'DOE25'!G12</f>
        <v>0</v>
      </c>
      <c r="E11" s="95">
        <f>'DOE25'!H12</f>
        <v>55639</v>
      </c>
      <c r="F11" s="95">
        <f>'DOE25'!I12</f>
        <v>0</v>
      </c>
      <c r="G11" s="95">
        <f>'DOE25'!J12</f>
        <v>0</v>
      </c>
      <c r="H11" s="124"/>
      <c r="I11" s="124"/>
    </row>
    <row r="12" spans="1:9" x14ac:dyDescent="0.2">
      <c r="A12" s="1" t="s">
        <v>143</v>
      </c>
      <c r="B12" s="6">
        <v>140</v>
      </c>
      <c r="C12" s="95">
        <f>'DOE25'!F13</f>
        <v>19006</v>
      </c>
      <c r="D12" s="95">
        <f>'DOE25'!G13</f>
        <v>17210</v>
      </c>
      <c r="E12" s="95">
        <f>'DOE25'!H13</f>
        <v>350928</v>
      </c>
      <c r="F12" s="95">
        <f>'DOE25'!I13</f>
        <v>0</v>
      </c>
      <c r="G12" s="95">
        <f>'DOE25'!J13</f>
        <v>673837</v>
      </c>
      <c r="H12" s="124"/>
      <c r="I12" s="124"/>
    </row>
    <row r="13" spans="1:9" x14ac:dyDescent="0.2">
      <c r="A13" s="1" t="s">
        <v>144</v>
      </c>
      <c r="B13" s="6">
        <v>150</v>
      </c>
      <c r="C13" s="95">
        <f>'DOE25'!F14</f>
        <v>8203</v>
      </c>
      <c r="D13" s="95">
        <f>'DOE25'!G14</f>
        <v>1010</v>
      </c>
      <c r="E13" s="95">
        <f>'DOE25'!H14</f>
        <v>16334</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10294</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2441429</v>
      </c>
      <c r="D18" s="41">
        <f>SUM(D8:D17)</f>
        <v>53647</v>
      </c>
      <c r="E18" s="41">
        <f>SUM(E8:E17)</f>
        <v>422901</v>
      </c>
      <c r="F18" s="41">
        <f>SUM(F8:F17)</f>
        <v>0</v>
      </c>
      <c r="G18" s="41">
        <f>SUM(G8:G17)</f>
        <v>673837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14179</v>
      </c>
      <c r="E21" s="95">
        <f>'DOE25'!H22</f>
        <v>166484</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117673</v>
      </c>
      <c r="D23" s="95">
        <f>'DOE25'!G24</f>
        <v>39468</v>
      </c>
      <c r="E23" s="95">
        <f>'DOE25'!H24</f>
        <v>100595</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1862620</v>
      </c>
      <c r="D27" s="95">
        <f>'DOE25'!G28</f>
        <v>0</v>
      </c>
      <c r="E27" s="95">
        <f>'DOE25'!H28</f>
        <v>93571</v>
      </c>
      <c r="F27" s="95">
        <f>'DOE25'!I28</f>
        <v>0</v>
      </c>
      <c r="G27" s="24" t="s">
        <v>288</v>
      </c>
      <c r="H27" s="124"/>
      <c r="I27" s="124"/>
    </row>
    <row r="28" spans="1:9" x14ac:dyDescent="0.2">
      <c r="A28" s="1" t="s">
        <v>157</v>
      </c>
      <c r="B28" s="6">
        <v>470</v>
      </c>
      <c r="C28" s="95">
        <f>'DOE25'!F29</f>
        <v>9272</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68922</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1989565</v>
      </c>
      <c r="D31" s="41">
        <f>SUM(D21:D30)</f>
        <v>53647</v>
      </c>
      <c r="E31" s="41">
        <f>SUM(E21:E30)</f>
        <v>429572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10294</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-10294</v>
      </c>
      <c r="E47" s="95">
        <f>'DOE25'!H48</f>
        <v>-6671</v>
      </c>
      <c r="F47" s="95">
        <f>'DOE25'!I48</f>
        <v>0</v>
      </c>
      <c r="G47" s="95">
        <f>'DOE25'!J48</f>
        <v>673837</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451864</v>
      </c>
      <c r="D49" s="24" t="s">
        <v>288</v>
      </c>
      <c r="E49" s="24" t="s">
        <v>288</v>
      </c>
      <c r="F49" s="24" t="s">
        <v>288</v>
      </c>
      <c r="G49" s="24" t="s">
        <v>288</v>
      </c>
      <c r="H49" s="124"/>
      <c r="I49" s="124"/>
    </row>
    <row r="50" spans="1:9" ht="12.75" thickTop="1" thickBot="1" x14ac:dyDescent="0.25">
      <c r="A50" s="38" t="s">
        <v>884</v>
      </c>
      <c r="B50" s="48"/>
      <c r="C50" s="41">
        <f>SUM(C34:C49)</f>
        <v>451864</v>
      </c>
      <c r="D50" s="41">
        <f>SUM(D34:D49)</f>
        <v>0</v>
      </c>
      <c r="E50" s="41">
        <f>SUM(E34:E49)</f>
        <v>-6671</v>
      </c>
      <c r="F50" s="41">
        <f>SUM(F34:F49)</f>
        <v>0</v>
      </c>
      <c r="G50" s="41">
        <f>SUM(G34:G49)</f>
        <v>673837</v>
      </c>
      <c r="H50" s="124"/>
      <c r="I50" s="124"/>
    </row>
    <row r="51" spans="1:9" ht="12" thickTop="1" x14ac:dyDescent="0.2">
      <c r="A51" s="38" t="s">
        <v>885</v>
      </c>
      <c r="B51" s="2"/>
      <c r="C51" s="41">
        <f>C50+C31</f>
        <v>2441429</v>
      </c>
      <c r="D51" s="41">
        <f>D50+D31</f>
        <v>53647</v>
      </c>
      <c r="E51" s="41">
        <f>E50+E31</f>
        <v>422901</v>
      </c>
      <c r="F51" s="41">
        <f>F50+F31</f>
        <v>0</v>
      </c>
      <c r="G51" s="41">
        <f>G50+G31</f>
        <v>673837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24529295</v>
      </c>
      <c r="D56" s="95">
        <f>'DOE25'!G60</f>
        <v>0</v>
      </c>
      <c r="E56" s="95">
        <f>'DOE25'!H60</f>
        <v>0</v>
      </c>
      <c r="F56" s="95">
        <f>'DOE25'!I60</f>
        <v>0</v>
      </c>
      <c r="G56" s="95">
        <f>'DOE25'!J60</f>
        <v>0</v>
      </c>
      <c r="H56"/>
      <c r="I56"/>
    </row>
    <row r="57" spans="1:9" x14ac:dyDescent="0.2">
      <c r="A57" s="1" t="s">
        <v>164</v>
      </c>
      <c r="B57" s="6" t="s">
        <v>165</v>
      </c>
      <c r="C57" s="95">
        <f>'DOE25'!F79</f>
        <v>904197</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558</v>
      </c>
      <c r="D59" s="95">
        <f>'DOE25'!G96</f>
        <v>524</v>
      </c>
      <c r="E59" s="95">
        <f>'DOE25'!H96</f>
        <v>0</v>
      </c>
      <c r="F59" s="95">
        <f>'DOE25'!I96</f>
        <v>0</v>
      </c>
      <c r="G59" s="95">
        <f>'DOE25'!J96</f>
        <v>39940</v>
      </c>
      <c r="H59"/>
      <c r="I59"/>
    </row>
    <row r="60" spans="1:9" x14ac:dyDescent="0.2">
      <c r="A60" s="1" t="s">
        <v>170</v>
      </c>
      <c r="B60" s="118" t="s">
        <v>171</v>
      </c>
      <c r="C60" s="24" t="s">
        <v>288</v>
      </c>
      <c r="D60" s="95">
        <f>'DOE25'!G97</f>
        <v>453807</v>
      </c>
      <c r="E60" s="24" t="s">
        <v>288</v>
      </c>
      <c r="F60" s="24" t="s">
        <v>288</v>
      </c>
      <c r="G60" s="24" t="s">
        <v>288</v>
      </c>
      <c r="H60"/>
      <c r="I60"/>
    </row>
    <row r="61" spans="1:9" ht="12" thickBot="1" x14ac:dyDescent="0.25">
      <c r="A61" s="1" t="s">
        <v>172</v>
      </c>
      <c r="B61" s="118" t="s">
        <v>173</v>
      </c>
      <c r="C61" s="95">
        <f>SUM('DOE25'!F98:F110)</f>
        <v>172026</v>
      </c>
      <c r="D61" s="95">
        <f>SUM('DOE25'!G98:G110)</f>
        <v>7441</v>
      </c>
      <c r="E61" s="95">
        <f>SUM('DOE25'!H98:H110)</f>
        <v>0</v>
      </c>
      <c r="F61" s="95">
        <f>SUM('DOE25'!I98:I110)</f>
        <v>0</v>
      </c>
      <c r="G61" s="95">
        <f>SUM('DOE25'!J98:J110)</f>
        <v>0</v>
      </c>
      <c r="H61"/>
      <c r="I61"/>
    </row>
    <row r="62" spans="1:9" ht="12.75" thickTop="1" thickBot="1" x14ac:dyDescent="0.25">
      <c r="A62" s="29" t="s">
        <v>174</v>
      </c>
      <c r="B62" s="6"/>
      <c r="C62" s="130">
        <f>SUM(C57:C61)</f>
        <v>1076781</v>
      </c>
      <c r="D62" s="130">
        <f>SUM(D57:D61)</f>
        <v>461772</v>
      </c>
      <c r="E62" s="130">
        <f>SUM(E57:E61)</f>
        <v>0</v>
      </c>
      <c r="F62" s="130">
        <f>SUM(F57:F61)</f>
        <v>0</v>
      </c>
      <c r="G62" s="130">
        <f>SUM(G57:G61)</f>
        <v>39940</v>
      </c>
      <c r="H62"/>
      <c r="I62"/>
    </row>
    <row r="63" spans="1:9" ht="12" thickTop="1" x14ac:dyDescent="0.2">
      <c r="A63" s="29" t="s">
        <v>175</v>
      </c>
      <c r="B63" s="6"/>
      <c r="C63" s="22">
        <f>C56+C62</f>
        <v>25606076</v>
      </c>
      <c r="D63" s="22">
        <f>D56+D62</f>
        <v>461772</v>
      </c>
      <c r="E63" s="22">
        <f>E56+E62</f>
        <v>0</v>
      </c>
      <c r="F63" s="22">
        <f>F56+F62</f>
        <v>0</v>
      </c>
      <c r="G63" s="22">
        <f>G56+G62</f>
        <v>39940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10367034</v>
      </c>
      <c r="D66" s="24" t="s">
        <v>288</v>
      </c>
      <c r="E66" s="24" t="s">
        <v>288</v>
      </c>
      <c r="F66" s="24" t="s">
        <v>288</v>
      </c>
      <c r="G66" s="24" t="s">
        <v>288</v>
      </c>
      <c r="H66"/>
      <c r="I66"/>
    </row>
    <row r="67" spans="1:9" x14ac:dyDescent="0.2">
      <c r="A67" s="1" t="s">
        <v>770</v>
      </c>
      <c r="B67" s="6">
        <v>3112</v>
      </c>
      <c r="C67" s="95">
        <f>'DOE25'!F118</f>
        <v>3218583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24575</v>
      </c>
      <c r="D69" s="95">
        <f>'DOE25'!G120</f>
        <v>0</v>
      </c>
      <c r="E69" s="95">
        <f>'DOE25'!H120</f>
        <v>0</v>
      </c>
      <c r="F69" s="95">
        <f>'DOE25'!I120</f>
        <v>0</v>
      </c>
      <c r="G69" s="95">
        <f>'DOE25'!J120</f>
        <v>0</v>
      </c>
      <c r="H69"/>
      <c r="I69"/>
    </row>
    <row r="70" spans="1:9" ht="12" thickTop="1" x14ac:dyDescent="0.2">
      <c r="A70" s="29" t="s">
        <v>252</v>
      </c>
      <c r="B70" s="2"/>
      <c r="C70" s="139">
        <f>SUM(C66:C69)</f>
        <v>13610192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328245</v>
      </c>
      <c r="D75" s="24" t="s">
        <v>288</v>
      </c>
      <c r="E75" s="24" t="s">
        <v>288</v>
      </c>
      <c r="F75" s="24" t="s">
        <v>288</v>
      </c>
      <c r="G75" s="24" t="s">
        <v>288</v>
      </c>
      <c r="H75"/>
      <c r="I75"/>
    </row>
    <row r="76" spans="1:9" x14ac:dyDescent="0.2">
      <c r="A76" s="1" t="s">
        <v>257</v>
      </c>
      <c r="B76" s="6" t="s">
        <v>179</v>
      </c>
      <c r="C76" s="95">
        <f>SUM('DOE25'!F127:F130)</f>
        <v>26420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15113</v>
      </c>
      <c r="E77" s="95">
        <f>SUM('DOE25'!H131:H135)</f>
        <v>0</v>
      </c>
      <c r="F77" s="95">
        <f>SUM('DOE25'!I131:I135)</f>
        <v>0</v>
      </c>
      <c r="G77" s="95">
        <f>SUM('DOE25'!J131:J135)</f>
        <v>0</v>
      </c>
      <c r="H77"/>
      <c r="I77"/>
    </row>
    <row r="78" spans="1:9" ht="12.75" thickTop="1" thickBot="1" x14ac:dyDescent="0.25">
      <c r="A78" s="29" t="s">
        <v>259</v>
      </c>
      <c r="B78" s="6"/>
      <c r="C78" s="130">
        <f>SUM(C72:C77)</f>
        <v>354665</v>
      </c>
      <c r="D78" s="130">
        <f>SUM(D72:D77)</f>
        <v>15113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13964857</v>
      </c>
      <c r="D81" s="130">
        <f>SUM(D79:D80)+D78+D70</f>
        <v>15113</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14869</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59396</v>
      </c>
      <c r="D88" s="341">
        <f>SUM('DOE25'!G153:G162)</f>
        <v>321374</v>
      </c>
      <c r="E88" s="341">
        <f>SUM('DOE25'!H153:H162)</f>
        <v>1276191</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59396</v>
      </c>
      <c r="D91" s="131">
        <f>SUM(D85:D90)</f>
        <v>321374</v>
      </c>
      <c r="E91" s="131">
        <f>SUM(E85:E90)</f>
        <v>1291060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286898</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286898</v>
      </c>
      <c r="E103" s="86">
        <f>SUM(E93:E102)</f>
        <v>0</v>
      </c>
      <c r="F103" s="86">
        <f>SUM(F93:F102)</f>
        <v>0</v>
      </c>
      <c r="G103" s="86">
        <f>SUM(G93:G102)</f>
        <v>0</v>
      </c>
    </row>
    <row r="104" spans="1:7" ht="12.75" thickTop="1" thickBot="1" x14ac:dyDescent="0.25">
      <c r="A104" s="33" t="s">
        <v>761</v>
      </c>
      <c r="C104" s="86">
        <f>C63+C81+C91+C103</f>
        <v>39630329</v>
      </c>
      <c r="D104" s="86">
        <f>D63+D81+D91+D103</f>
        <v>1085157</v>
      </c>
      <c r="E104" s="86">
        <f>E63+E81+E91+E103</f>
        <v>1291060</v>
      </c>
      <c r="F104" s="86">
        <f>F63+F81+F91+F103</f>
        <v>0</v>
      </c>
      <c r="G104" s="86">
        <f>G63+G81+G103</f>
        <v>39940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14088012</v>
      </c>
      <c r="D109" s="24" t="s">
        <v>288</v>
      </c>
      <c r="E109" s="95">
        <f>('DOE25'!L277)+('DOE25'!L296)+('DOE25'!L315)</f>
        <v>444634</v>
      </c>
      <c r="F109" s="24" t="s">
        <v>288</v>
      </c>
      <c r="G109" s="24" t="s">
        <v>288</v>
      </c>
    </row>
    <row r="110" spans="1:7" x14ac:dyDescent="0.2">
      <c r="A110" t="s">
        <v>198</v>
      </c>
      <c r="B110" s="32" t="s">
        <v>199</v>
      </c>
      <c r="C110" s="95">
        <f>('DOE25'!L199)+('DOE25'!L217)+('DOE25'!L235)</f>
        <v>8116631</v>
      </c>
      <c r="D110" s="24" t="s">
        <v>288</v>
      </c>
      <c r="E110" s="95">
        <f>('DOE25'!L278)+('DOE25'!L297)+('DOE25'!L316)</f>
        <v>583288</v>
      </c>
      <c r="F110" s="24" t="s">
        <v>288</v>
      </c>
      <c r="G110" s="24" t="s">
        <v>288</v>
      </c>
    </row>
    <row r="111" spans="1:7" x14ac:dyDescent="0.2">
      <c r="A111" t="s">
        <v>200</v>
      </c>
      <c r="B111" s="32" t="s">
        <v>165</v>
      </c>
      <c r="C111" s="95">
        <f>('DOE25'!L200)+('DOE25'!L218)+('DOE25'!L236)</f>
        <v>291519</v>
      </c>
      <c r="D111" s="24" t="s">
        <v>288</v>
      </c>
      <c r="E111" s="95">
        <f>('DOE25'!L279)+('DOE25'!L298)+('DOE25'!L317)</f>
        <v>0</v>
      </c>
      <c r="F111" s="24" t="s">
        <v>288</v>
      </c>
      <c r="G111" s="24" t="s">
        <v>288</v>
      </c>
    </row>
    <row r="112" spans="1:7" x14ac:dyDescent="0.2">
      <c r="A112" t="s">
        <v>201</v>
      </c>
      <c r="B112" s="32" t="s">
        <v>167</v>
      </c>
      <c r="C112" s="95">
        <f>('DOE25'!L201)+('DOE25'!L219)+('DOE25'!L237)</f>
        <v>607752</v>
      </c>
      <c r="D112" s="24" t="s">
        <v>288</v>
      </c>
      <c r="E112" s="95">
        <f>+('DOE25'!L280)+('DOE25'!L299)+('DOE25'!L318)</f>
        <v>25016</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3020</v>
      </c>
      <c r="F114" s="24" t="s">
        <v>288</v>
      </c>
      <c r="G114" s="24" t="s">
        <v>288</v>
      </c>
    </row>
    <row r="115" spans="1:7" ht="12.75" thickTop="1" thickBot="1" x14ac:dyDescent="0.25">
      <c r="A115" s="33" t="s">
        <v>205</v>
      </c>
      <c r="C115" s="86">
        <f>SUM(C109:C114)</f>
        <v>23103914</v>
      </c>
      <c r="D115" s="86">
        <f>SUM(D109:D114)</f>
        <v>0</v>
      </c>
      <c r="E115" s="86">
        <f>SUM(E109:E114)</f>
        <v>1055958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4723636</v>
      </c>
      <c r="D118" s="24" t="s">
        <v>288</v>
      </c>
      <c r="E118" s="95">
        <f>+('DOE25'!L282)+('DOE25'!L301)+('DOE25'!L320)</f>
        <v>49257</v>
      </c>
      <c r="F118" s="24" t="s">
        <v>288</v>
      </c>
      <c r="G118" s="24" t="s">
        <v>288</v>
      </c>
    </row>
    <row r="119" spans="1:7" x14ac:dyDescent="0.2">
      <c r="A119" t="s">
        <v>208</v>
      </c>
      <c r="B119" s="32" t="s">
        <v>209</v>
      </c>
      <c r="C119" s="95">
        <f>('DOE25'!L204)+('DOE25'!L222)+('DOE25'!L240)</f>
        <v>1325173</v>
      </c>
      <c r="D119" s="24" t="s">
        <v>288</v>
      </c>
      <c r="E119" s="95">
        <f>+('DOE25'!L283)+('DOE25'!L302)+('DOE25'!L321)</f>
        <v>161847</v>
      </c>
      <c r="F119" s="24" t="s">
        <v>288</v>
      </c>
      <c r="G119" s="24" t="s">
        <v>288</v>
      </c>
    </row>
    <row r="120" spans="1:7" x14ac:dyDescent="0.2">
      <c r="A120" t="s">
        <v>210</v>
      </c>
      <c r="B120" s="32" t="s">
        <v>211</v>
      </c>
      <c r="C120" s="95">
        <f>('DOE25'!L205)+('DOE25'!L223)+('DOE25'!L241)</f>
        <v>982825</v>
      </c>
      <c r="D120" s="24" t="s">
        <v>288</v>
      </c>
      <c r="E120" s="95">
        <f>+('DOE25'!L284)+('DOE25'!L303)+('DOE25'!L322)</f>
        <v>0</v>
      </c>
      <c r="F120" s="24" t="s">
        <v>288</v>
      </c>
      <c r="G120" s="24" t="s">
        <v>288</v>
      </c>
    </row>
    <row r="121" spans="1:7" x14ac:dyDescent="0.2">
      <c r="A121" t="s">
        <v>212</v>
      </c>
      <c r="B121" s="32" t="s">
        <v>213</v>
      </c>
      <c r="C121" s="95">
        <f>('DOE25'!L206)+('DOE25'!L224)+('DOE25'!L242)</f>
        <v>2164123</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5515</v>
      </c>
      <c r="F122" s="24" t="s">
        <v>288</v>
      </c>
      <c r="G122" s="24" t="s">
        <v>288</v>
      </c>
    </row>
    <row r="123" spans="1:7" x14ac:dyDescent="0.2">
      <c r="A123" t="s">
        <v>216</v>
      </c>
      <c r="B123" s="32" t="s">
        <v>217</v>
      </c>
      <c r="C123" s="95">
        <f>('DOE25'!L208)+('DOE25'!L226)+('DOE25'!L244)</f>
        <v>3750697</v>
      </c>
      <c r="D123" s="24" t="s">
        <v>288</v>
      </c>
      <c r="E123" s="95">
        <f>+('DOE25'!L287)+('DOE25'!L306)+('DOE25'!L325)</f>
        <v>0</v>
      </c>
      <c r="F123" s="24" t="s">
        <v>288</v>
      </c>
      <c r="G123" s="24" t="s">
        <v>288</v>
      </c>
    </row>
    <row r="124" spans="1:7" x14ac:dyDescent="0.2">
      <c r="A124" t="s">
        <v>218</v>
      </c>
      <c r="B124" s="32" t="s">
        <v>219</v>
      </c>
      <c r="C124" s="95">
        <f>('DOE25'!L209)+('DOE25'!L227)+('DOE25'!L245+'DOE25'!L255)</f>
        <v>1921011</v>
      </c>
      <c r="D124" s="24" t="s">
        <v>288</v>
      </c>
      <c r="E124" s="95">
        <f>+('DOE25'!L288)+('DOE25'!L307)+('DOE25'!L326)</f>
        <v>5646</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1002584</v>
      </c>
      <c r="E127" s="24" t="s">
        <v>288</v>
      </c>
      <c r="F127" s="24" t="s">
        <v>288</v>
      </c>
      <c r="G127" s="24" t="s">
        <v>288</v>
      </c>
    </row>
    <row r="128" spans="1:7" ht="12.75" thickTop="1" thickBot="1" x14ac:dyDescent="0.25">
      <c r="A128" s="33" t="s">
        <v>226</v>
      </c>
      <c r="C128" s="86">
        <f>SUM(C118:C127)</f>
        <v>14867465</v>
      </c>
      <c r="D128" s="86">
        <f>SUM(D118:D127)</f>
        <v>1002584</v>
      </c>
      <c r="E128" s="86">
        <f>SUM(E118:E127)</f>
        <v>222265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434468</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286898</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39940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-39940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721366</v>
      </c>
      <c r="D144" s="141">
        <f>SUM(D130:D143)</f>
        <v>0</v>
      </c>
      <c r="E144" s="141">
        <f>SUM(E130:E143)</f>
        <v>0</v>
      </c>
      <c r="F144" s="141">
        <f>SUM(F130:F143)</f>
        <v>0</v>
      </c>
      <c r="G144" s="141">
        <f>SUM(G130:G143)</f>
        <v>0</v>
      </c>
    </row>
    <row r="145" spans="1:9" ht="12.75" thickTop="1" thickBot="1" x14ac:dyDescent="0.25">
      <c r="A145" s="33" t="s">
        <v>244</v>
      </c>
      <c r="C145" s="86">
        <f>(C115+C128+C144)</f>
        <v>38692745</v>
      </c>
      <c r="D145" s="86">
        <f>(D115+D128+D144)</f>
        <v>1002584</v>
      </c>
      <c r="E145" s="86">
        <f>(E115+E128+E144)</f>
        <v>1278223</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MERRIMACK VALLEY SCHOOL DISTRICT</v>
      </c>
    </row>
    <row r="3" spans="1:4" x14ac:dyDescent="0.2">
      <c r="B3" s="188" t="s">
        <v>1587</v>
      </c>
    </row>
    <row r="4" spans="1:4" x14ac:dyDescent="0.2">
      <c r="B4" t="s">
        <v>61</v>
      </c>
      <c r="C4" s="179">
        <f>IF('DOE25'!F666+'DOE25'!F671=0,0,ROUND('DOE25'!F673,0))</f>
        <v>16360</v>
      </c>
    </row>
    <row r="5" spans="1:4" x14ac:dyDescent="0.2">
      <c r="B5" t="s">
        <v>700</v>
      </c>
      <c r="C5" s="179">
        <f>IF('DOE25'!G666+'DOE25'!G671=0,0,ROUND('DOE25'!G673,0))</f>
        <v>15277</v>
      </c>
    </row>
    <row r="6" spans="1:4" x14ac:dyDescent="0.2">
      <c r="B6" t="s">
        <v>62</v>
      </c>
      <c r="C6" s="179">
        <f>IF('DOE25'!H666+'DOE25'!H671=0,0,ROUND('DOE25'!H673,0))</f>
        <v>15031</v>
      </c>
    </row>
    <row r="7" spans="1:4" x14ac:dyDescent="0.2">
      <c r="B7" t="s">
        <v>701</v>
      </c>
      <c r="C7" s="179">
        <f>IF('DOE25'!I666+'DOE25'!I671=0,0,ROUND('DOE25'!I673,0))</f>
        <v>15667</v>
      </c>
    </row>
    <row r="9" spans="1:4" x14ac:dyDescent="0.2">
      <c r="A9" s="187" t="s">
        <v>94</v>
      </c>
      <c r="B9" s="188" t="s">
        <v>1588</v>
      </c>
      <c r="C9" s="181" t="s">
        <v>720</v>
      </c>
      <c r="D9" s="181" t="s">
        <v>721</v>
      </c>
    </row>
    <row r="10" spans="1:4" x14ac:dyDescent="0.2">
      <c r="A10">
        <v>1100</v>
      </c>
      <c r="B10" t="s">
        <v>702</v>
      </c>
      <c r="C10" s="179">
        <f>ROUND('DOE25'!L198+'DOE25'!L216+'DOE25'!L234+'DOE25'!L277+'DOE25'!L296+'DOE25'!L315,0)</f>
        <v>14532646</v>
      </c>
      <c r="D10" s="182">
        <f>ROUND((C10/$C$28)*100,1)</f>
        <v>36.5</v>
      </c>
    </row>
    <row r="11" spans="1:4" x14ac:dyDescent="0.2">
      <c r="A11">
        <v>1200</v>
      </c>
      <c r="B11" t="s">
        <v>703</v>
      </c>
      <c r="C11" s="179">
        <f>ROUND('DOE25'!L199+'DOE25'!L217+'DOE25'!L235+'DOE25'!L278+'DOE25'!L297+'DOE25'!L316,0)</f>
        <v>8699919</v>
      </c>
      <c r="D11" s="182">
        <f>ROUND((C11/$C$28)*100,1)</f>
        <v>21.9</v>
      </c>
    </row>
    <row r="12" spans="1:4" x14ac:dyDescent="0.2">
      <c r="A12">
        <v>1300</v>
      </c>
      <c r="B12" t="s">
        <v>704</v>
      </c>
      <c r="C12" s="179">
        <f>ROUND('DOE25'!L200+'DOE25'!L218+'DOE25'!L236+'DOE25'!L279+'DOE25'!L298+'DOE25'!L317,0)</f>
        <v>291519</v>
      </c>
      <c r="D12" s="182">
        <f>ROUND((C12/$C$28)*100,1)</f>
        <v>0.7</v>
      </c>
    </row>
    <row r="13" spans="1:4" x14ac:dyDescent="0.2">
      <c r="A13">
        <v>1400</v>
      </c>
      <c r="B13" t="s">
        <v>705</v>
      </c>
      <c r="C13" s="179">
        <f>ROUND('DOE25'!L201+'DOE25'!L219+'DOE25'!L237+'DOE25'!L280+'DOE25'!L299+'DOE25'!L318,0)</f>
        <v>632768</v>
      </c>
      <c r="D13" s="182">
        <f>ROUND((C13/$C$28)*100,1)</f>
        <v>1.6</v>
      </c>
    </row>
    <row r="14" spans="1:4" x14ac:dyDescent="0.2">
      <c r="D14" s="182"/>
    </row>
    <row r="15" spans="1:4" x14ac:dyDescent="0.2">
      <c r="A15">
        <v>2100</v>
      </c>
      <c r="B15" t="s">
        <v>706</v>
      </c>
      <c r="C15" s="179">
        <f>ROUND('DOE25'!L203+'DOE25'!L221+'DOE25'!L239+'DOE25'!L282+'DOE25'!L301+'DOE25'!L320,0)</f>
        <v>4772893</v>
      </c>
      <c r="D15" s="182">
        <f t="shared" ref="D15:D27" si="0">ROUND((C15/$C$28)*100,1)</f>
        <v>12</v>
      </c>
    </row>
    <row r="16" spans="1:4" x14ac:dyDescent="0.2">
      <c r="A16">
        <v>2200</v>
      </c>
      <c r="B16" t="s">
        <v>707</v>
      </c>
      <c r="C16" s="179">
        <f>ROUND('DOE25'!L204+'DOE25'!L222+'DOE25'!L240+'DOE25'!L283+'DOE25'!L302+'DOE25'!L321,0)</f>
        <v>1487020</v>
      </c>
      <c r="D16" s="182">
        <f t="shared" si="0"/>
        <v>3.7</v>
      </c>
    </row>
    <row r="17" spans="1:4" x14ac:dyDescent="0.2">
      <c r="A17" s="183" t="s">
        <v>723</v>
      </c>
      <c r="B17" t="s">
        <v>738</v>
      </c>
      <c r="C17" s="179">
        <f>ROUND('DOE25'!L205+'DOE25'!L210+'DOE25'!L223+'DOE25'!L228+'DOE25'!L241+'DOE25'!L246+'DOE25'!L284+'DOE25'!L289+'DOE25'!L303+'DOE25'!L308+'DOE25'!L322+'DOE25'!L327,0)</f>
        <v>982825</v>
      </c>
      <c r="D17" s="182">
        <f t="shared" si="0"/>
        <v>2.5</v>
      </c>
    </row>
    <row r="18" spans="1:4" x14ac:dyDescent="0.2">
      <c r="A18">
        <v>2400</v>
      </c>
      <c r="B18" t="s">
        <v>711</v>
      </c>
      <c r="C18" s="179">
        <f>ROUND('DOE25'!L206+'DOE25'!L224+'DOE25'!L242+'DOE25'!L285+'DOE25'!L304+'DOE25'!L323,0)</f>
        <v>2164123</v>
      </c>
      <c r="D18" s="182">
        <f t="shared" si="0"/>
        <v>5.4</v>
      </c>
    </row>
    <row r="19" spans="1:4" x14ac:dyDescent="0.2">
      <c r="A19">
        <v>2500</v>
      </c>
      <c r="B19" t="s">
        <v>708</v>
      </c>
      <c r="C19" s="179">
        <f>ROUND('DOE25'!L207+'DOE25'!L225+'DOE25'!L243+'DOE25'!L286+'DOE25'!L305+'DOE25'!L324,0)</f>
        <v>5515</v>
      </c>
      <c r="D19" s="182">
        <f t="shared" si="0"/>
        <v>0</v>
      </c>
    </row>
    <row r="20" spans="1:4" x14ac:dyDescent="0.2">
      <c r="A20">
        <v>2600</v>
      </c>
      <c r="B20" t="s">
        <v>709</v>
      </c>
      <c r="C20" s="179">
        <f>ROUND('DOE25'!L208+'DOE25'!L226+'DOE25'!L244+'DOE25'!L287+'DOE25'!L306+'DOE25'!L325,0)</f>
        <v>3750697</v>
      </c>
      <c r="D20" s="182">
        <f t="shared" si="0"/>
        <v>9.4</v>
      </c>
    </row>
    <row r="21" spans="1:4" x14ac:dyDescent="0.2">
      <c r="A21">
        <v>2700</v>
      </c>
      <c r="B21" t="s">
        <v>710</v>
      </c>
      <c r="C21" s="179">
        <f>ROUND('DOE25'!L209+'DOE25'!L227+'DOE25'!L245+'DOE25'!L288+'DOE25'!L307+'DOE25'!L326,0)</f>
        <v>1926657</v>
      </c>
      <c r="D21" s="182">
        <f t="shared" si="0"/>
        <v>4.8</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3020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541336</v>
      </c>
      <c r="D27" s="182">
        <f t="shared" si="0"/>
        <v>1.4</v>
      </c>
    </row>
    <row r="28" spans="1:4" x14ac:dyDescent="0.2">
      <c r="B28" s="187" t="s">
        <v>719</v>
      </c>
      <c r="C28" s="180">
        <f>SUM(C10:C27)</f>
        <v>39790938</v>
      </c>
      <c r="D28" s="184">
        <f>ROUND(SUM(D10:D27),0)</f>
        <v>100</v>
      </c>
    </row>
    <row r="29" spans="1:4" x14ac:dyDescent="0.2">
      <c r="A29">
        <v>4000</v>
      </c>
      <c r="B29" t="s">
        <v>724</v>
      </c>
      <c r="C29" s="179">
        <f>ROUND('DOE25'!L256+'DOE25'!L337+'DOE25'!L375+'DOE25'!L376+'DOE25'!L377+'DOE25'!L378+'DOE25'!L379+'DOE25'!L380+'DOE25'!L381,0)</f>
        <v>434468</v>
      </c>
    </row>
    <row r="30" spans="1:4" x14ac:dyDescent="0.2">
      <c r="B30" s="187" t="s">
        <v>725</v>
      </c>
      <c r="C30" s="180">
        <f>SUM(C28:C29)</f>
        <v>40225406</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24529295</v>
      </c>
      <c r="D35" s="182">
        <f t="shared" ref="D35:D40" si="1">ROUND((C35/$C$41)*100,1)</f>
        <v>59.4</v>
      </c>
    </row>
    <row r="36" spans="1:4" x14ac:dyDescent="0.2">
      <c r="B36" s="185" t="s">
        <v>739</v>
      </c>
      <c r="C36" s="179">
        <f>SUM('DOE25'!F112:J112)-SUM('DOE25'!G97:G110)+('DOE25'!F175+'DOE25'!F176+'DOE25'!I175+'DOE25'!I176)-C35</f>
        <v>1117245</v>
      </c>
      <c r="D36" s="182">
        <f t="shared" si="1"/>
        <v>2.7</v>
      </c>
    </row>
    <row r="37" spans="1:4" x14ac:dyDescent="0.2">
      <c r="A37" s="183" t="s">
        <v>835</v>
      </c>
      <c r="B37" s="185" t="s">
        <v>728</v>
      </c>
      <c r="C37" s="179">
        <f>ROUND('DOE25'!F117+'DOE25'!F118,0)</f>
        <v>13585617</v>
      </c>
      <c r="D37" s="182">
        <f t="shared" si="1"/>
        <v>32.9</v>
      </c>
    </row>
    <row r="38" spans="1:4" x14ac:dyDescent="0.2">
      <c r="A38" s="183" t="s">
        <v>734</v>
      </c>
      <c r="B38" s="185" t="s">
        <v>729</v>
      </c>
      <c r="C38" s="179">
        <f>ROUND(SUM('DOE25'!F140:J140)-SUM('DOE25'!F117:F119),0)</f>
        <v>394353</v>
      </c>
      <c r="D38" s="182">
        <f t="shared" si="1"/>
        <v>1</v>
      </c>
    </row>
    <row r="39" spans="1:4" x14ac:dyDescent="0.2">
      <c r="A39">
        <v>4000</v>
      </c>
      <c r="B39" s="185" t="s">
        <v>730</v>
      </c>
      <c r="C39" s="179">
        <f>ROUND('DOE25'!F170+'DOE25'!G170+'DOE25'!H170+'DOE25'!I170,0)</f>
        <v>1671830</v>
      </c>
      <c r="D39" s="182">
        <f t="shared" si="1"/>
        <v>4</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41298340</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MERRIMACK VALLEY SCHOOL DISTRICT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0571A22EEC1C7428E87E013D40CF161" ma:contentTypeVersion="10" ma:contentTypeDescription="Create a new document." ma:contentTypeScope="" ma:versionID="714debafe42182f4748ddf86c4b8f268">
  <xsd:schema xmlns:xsd="http://www.w3.org/2001/XMLSchema" xmlns:xs="http://www.w3.org/2001/XMLSchema" xmlns:p="http://schemas.microsoft.com/office/2006/metadata/properties" xmlns:ns2="e10c9d99-3472-4092-b024-1e9134c86f41" targetNamespace="http://schemas.microsoft.com/office/2006/metadata/properties" ma:root="true" ma:fieldsID="e5aa93204adc1e5bae86210868fdf9b7" ns2:_="">
    <xsd:import namespace="e10c9d99-3472-4092-b024-1e9134c86f4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Location" minOccurs="0"/>
                <xsd:element ref="ns2:MediaServiceGenerationTime" minOccurs="0"/>
                <xsd:element ref="ns2:MediaServiceEventHashCode"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0c9d99-3472-4092-b024-1e9134c86f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D64E809-652D-4B91-B01E-A0A7A3A8B9E3}">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e10c9d99-3472-4092-b024-1e9134c86f41"/>
    <ds:schemaRef ds:uri="http://www.w3.org/XML/1998/namespace"/>
    <ds:schemaRef ds:uri="http://purl.org/dc/dcmitype/"/>
  </ds:schemaRefs>
</ds:datastoreItem>
</file>

<file path=customXml/itemProps2.xml><?xml version="1.0" encoding="utf-8"?>
<ds:datastoreItem xmlns:ds="http://schemas.openxmlformats.org/officeDocument/2006/customXml" ds:itemID="{22EF1C0F-772C-44A1-B291-590CCF358B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0c9d99-3472-4092-b024-1e9134c86f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A06AAAE-F3AF-4FDA-8409-76288AD4A4F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2020-10-27T12:07:21Z</cp:lastPrinted>
  <dcterms:created xsi:type="dcterms:W3CDTF">1997-12-04T19:04:30Z</dcterms:created>
  <dcterms:modified xsi:type="dcterms:W3CDTF">2020-12-11T18:44:22Z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0x01010010571A22EEC1C7428E87E013D40CF161</vt:lpwstr>
  </property>
</Properties>
</file>