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46" i="1"/>
  <c r="F117" i="1" l="1"/>
  <c r="F499" i="1" l="1"/>
  <c r="H393" i="1" l="1"/>
  <c r="F24"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8" i="14"/>
  <c r="C9" i="14"/>
  <c r="C12" i="14"/>
  <c r="C13" i="14"/>
  <c r="C16" i="14"/>
  <c r="C17" i="14"/>
  <c r="C20" i="14"/>
  <c r="B6" i="14"/>
  <c r="C6" i="14" s="1"/>
  <c r="B7" i="14"/>
  <c r="C7" i="14" s="1"/>
  <c r="B8" i="14"/>
  <c r="B9" i="14"/>
  <c r="B10" i="14"/>
  <c r="C10" i="14" s="1"/>
  <c r="B11" i="14"/>
  <c r="C11" i="14" s="1"/>
  <c r="B12" i="14"/>
  <c r="B13" i="14"/>
  <c r="B14" i="14"/>
  <c r="C14" i="14" s="1"/>
  <c r="B15" i="14"/>
  <c r="C15" i="14" s="1"/>
  <c r="B16" i="14"/>
  <c r="B17" i="14"/>
  <c r="B18" i="14"/>
  <c r="C18" i="14" s="1"/>
  <c r="B19" i="14"/>
  <c r="C19" i="14" s="1"/>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E121" i="2" s="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32" i="10" s="1"/>
  <c r="L262" i="1"/>
  <c r="C132" i="2" s="1"/>
  <c r="L342" i="1"/>
  <c r="L343" i="1"/>
  <c r="L256" i="1"/>
  <c r="C130" i="2" s="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40" i="1" s="1"/>
  <c r="H136" i="1"/>
  <c r="I121" i="1"/>
  <c r="I136" i="1"/>
  <c r="J121" i="1"/>
  <c r="J140" i="1" s="1"/>
  <c r="J136" i="1"/>
  <c r="F147" i="1"/>
  <c r="F170" i="1"/>
  <c r="G147" i="1"/>
  <c r="D85" i="2" s="1"/>
  <c r="H147" i="1"/>
  <c r="H170" i="1" s="1"/>
  <c r="I147" i="1"/>
  <c r="C11"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C119" i="2"/>
  <c r="E119" i="2"/>
  <c r="E120" i="2"/>
  <c r="E123" i="2"/>
  <c r="E124"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I170" i="1"/>
  <c r="G339" i="1"/>
  <c r="G353" i="1" s="1"/>
  <c r="H112" i="1" l="1"/>
  <c r="E112" i="2"/>
  <c r="H462" i="1"/>
  <c r="H642" i="1" s="1"/>
  <c r="J642" i="1" s="1"/>
  <c r="K339" i="1"/>
  <c r="K353" i="1" s="1"/>
  <c r="H193" i="1"/>
  <c r="G662" i="1"/>
  <c r="J652" i="1"/>
  <c r="J656" i="1"/>
  <c r="G477" i="1"/>
  <c r="H624" i="1" s="1"/>
  <c r="J624" i="1" s="1"/>
  <c r="L402" i="1"/>
  <c r="C139" i="2" s="1"/>
  <c r="H409" i="1"/>
  <c r="H645" i="1" s="1"/>
  <c r="J645" i="1" s="1"/>
  <c r="G409" i="1"/>
  <c r="H646" i="1" s="1"/>
  <c r="J646" i="1" s="1"/>
  <c r="C13" i="10"/>
  <c r="F258" i="1"/>
  <c r="L257" i="1"/>
  <c r="C110" i="2"/>
  <c r="J258" i="1"/>
  <c r="J272" i="1" s="1"/>
  <c r="C91" i="2"/>
  <c r="F339" i="1"/>
  <c r="F353" i="1" s="1"/>
  <c r="L561" i="1"/>
  <c r="J625"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F112" i="1"/>
  <c r="L394" i="1"/>
  <c r="C138" i="2" s="1"/>
  <c r="L363" i="1"/>
  <c r="B17" i="16" s="1"/>
  <c r="B19" i="16" s="1"/>
  <c r="B28" i="16"/>
  <c r="L329" i="1"/>
  <c r="G36" i="14" s="1"/>
  <c r="H36" i="14" s="1"/>
  <c r="I36" i="14" s="1"/>
  <c r="E122" i="2"/>
  <c r="L291" i="1"/>
  <c r="L615" i="1"/>
  <c r="K599" i="1"/>
  <c r="G648" i="1" s="1"/>
  <c r="K572" i="1"/>
  <c r="L571" i="1"/>
  <c r="H572" i="1"/>
  <c r="L566" i="1"/>
  <c r="L572" i="1" s="1"/>
  <c r="I572" i="1"/>
  <c r="K546" i="1"/>
  <c r="H52" i="1"/>
  <c r="H620" i="1" s="1"/>
  <c r="J620" i="1" s="1"/>
  <c r="C114" i="2"/>
  <c r="G112" i="1"/>
  <c r="B10" i="16" s="1"/>
  <c r="E118" i="2"/>
  <c r="E128" i="2" s="1"/>
  <c r="L248" i="1"/>
  <c r="L212" i="1"/>
  <c r="F661" i="1" s="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G50" i="2" s="1"/>
  <c r="J51" i="1"/>
  <c r="G16" i="2"/>
  <c r="G18" i="2" s="1"/>
  <c r="J19" i="1"/>
  <c r="G622" i="1" s="1"/>
  <c r="F546" i="1"/>
  <c r="H435" i="1"/>
  <c r="J621" i="1"/>
  <c r="D103" i="2"/>
  <c r="I140" i="1"/>
  <c r="A22" i="12"/>
  <c r="J653" i="1"/>
  <c r="G572" i="1"/>
  <c r="I435" i="1"/>
  <c r="G435" i="1"/>
  <c r="I664" i="1"/>
  <c r="H661" i="1" l="1"/>
  <c r="E115" i="2"/>
  <c r="C81" i="2"/>
  <c r="F51" i="2"/>
  <c r="B33" i="16"/>
  <c r="H665" i="1"/>
  <c r="H668" i="1" s="1"/>
  <c r="G24" i="14"/>
  <c r="H24" i="14" s="1"/>
  <c r="I24" i="14" s="1"/>
  <c r="E145" i="2"/>
  <c r="E51" i="2"/>
  <c r="H649" i="1"/>
  <c r="J649" i="1" s="1"/>
  <c r="F194" i="1"/>
  <c r="G628" i="1" s="1"/>
  <c r="J628" i="1"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F673" i="1"/>
  <c r="C4" i="10" s="1"/>
  <c r="C51" i="2"/>
  <c r="G632" i="1"/>
  <c r="J632" i="1" s="1"/>
  <c r="G194" i="1"/>
  <c r="G629" i="1" s="1"/>
  <c r="J629" i="1" s="1"/>
  <c r="G627" i="1"/>
  <c r="J627" i="1" s="1"/>
  <c r="J52" i="1"/>
  <c r="H622" i="1" s="1"/>
  <c r="J622" i="1" s="1"/>
  <c r="C38" i="10"/>
  <c r="H673" i="1" l="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<sst xmlns="http://schemas.openxmlformats.org/spreadsheetml/2006/main" count="5562" uniqueCount="1659">
  <si>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</si>
  <si>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</si>
  <si>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</si>
  <si>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</si>
  <si>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</si>
  <si>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</si>
  <si>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</si>
  <si>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</si>
  <si>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</si>
  <si>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</si>
  <si>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</si>
  <si>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</si>
  <si>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</si>
  <si>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</si>
  <si>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</si>
  <si>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</si>
  <si>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</si>
  <si>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</si>
  <si>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</si>
  <si>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</si>
  <si>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</si>
  <si>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</si>
  <si>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</si>
  <si>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</si>
  <si>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</si>
  <si>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</si>
  <si>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</si>
  <si>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</si>
  <si>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</si>
  <si>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</si>
  <si>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</si>
  <si>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</si>
  <si>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</si>
  <si>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</si>
  <si>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</si>
  <si>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</si>
  <si>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</si>
  <si>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</si>
  <si>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</si>
  <si>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</si>
  <si>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</si>
  <si>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</si>
  <si>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</si>
  <si>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</si>
  <si>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</si>
  <si>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</si>
  <si>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</si>
  <si>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</si>
  <si>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</si>
  <si>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</si>
  <si>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</si>
  <si>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</si>
  <si>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</si>
  <si>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</si>
  <si>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</si>
  <si>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</si>
  <si>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</si>
  <si>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</si>
  <si>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</si>
  <si>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</si>
  <si>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</si>
  <si>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</si>
  <si>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</si>
  <si>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</si>
  <si>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</si>
  <si>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</si>
  <si>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</si>
  <si>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</si>
  <si>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</si>
  <si>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</si>
  <si>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</si>
  <si>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</si>
  <si>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</si>
  <si>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</si>
  <si>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</si>
  <si>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</si>
  <si>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</si>
  <si>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</si>
  <si>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</si>
  <si>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</si>
  <si>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</si>
  <si>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</si>
  <si>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</si>
  <si>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</si>
  <si>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</si>
  <si>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</si>
  <si>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</si>
  <si>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</si>
  <si>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</si>
  <si>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</si>
  <si>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</si>
  <si>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</si>
  <si>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</si>
  <si>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</si>
  <si>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</si>
  <si>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</si>
  <si>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</si>
  <si>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</si>
  <si>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</si>
  <si>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</si>
  <si>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</si>
  <si>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</si>
  <si>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</si>
  <si>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</si>
  <si>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</si>
  <si>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</si>
  <si>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</si>
  <si>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</si>
  <si>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</si>
  <si>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</si>
  <si>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</si>
  <si>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</si>
  <si>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</si>
  <si>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</si>
  <si>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</si>
  <si>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</si>
  <si>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</si>
  <si>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</si>
  <si>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</si>
  <si>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</si>
  <si>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</si>
  <si>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</si>
  <si>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</si>
  <si>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</si>
  <si>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</si>
  <si>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</si>
  <si>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</si>
  <si>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</si>
  <si>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</si>
  <si>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</si>
  <si>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</si>
  <si>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</si>
  <si>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</si>
  <si>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</si>
  <si>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</si>
  <si>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</si>
  <si>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</si>
  <si>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</si>
  <si>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</si>
  <si>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</si>
  <si>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</si>
  <si>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</si>
  <si>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</si>
  <si>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</si>
  <si>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</si>
  <si>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</si>
  <si>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</si>
  <si>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</si>
  <si>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</si>
  <si>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</si>
  <si>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</si>
  <si>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</si>
  <si>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</si>
  <si>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</si>
  <si>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</si>
  <si>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</si>
  <si>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</si>
  <si>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</si>
  <si>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</si>
  <si>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</si>
  <si>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</si>
  <si>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</si>
  <si>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</si>
  <si>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</si>
  <si>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</si>
  <si>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</si>
  <si>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</si>
  <si>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</si>
  <si>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</si>
  <si>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</si>
  <si>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</si>
  <si>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</si>
  <si>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</si>
  <si>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</si>
  <si>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</si>
  <si>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</si>
  <si>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</si>
  <si>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</si>
  <si>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</si>
  <si>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</si>
  <si>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</si>
  <si>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</si>
  <si>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</si>
  <si>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</si>
  <si>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</si>
  <si>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</si>
  <si>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</si>
  <si>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</si>
  <si>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</si>
  <si>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</si>
  <si>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</si>
  <si>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</si>
  <si>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</si>
  <si>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</si>
  <si>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</si>
  <si>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</si>
  <si>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</si>
  <si>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</si>
  <si>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</si>
  <si>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</si>
  <si>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</si>
  <si>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</si>
  <si>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</si>
  <si>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</si>
  <si>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</si>
  <si>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</si>
  <si>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</si>
  <si>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</si>
  <si>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</si>
  <si>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</si>
  <si>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</si>
  <si>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</si>
  <si>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</si>
  <si>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</si>
  <si>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</si>
  <si>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</si>
  <si>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</si>
  <si>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</si>
  <si>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</si>
  <si>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</si>
  <si>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</si>
  <si>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</si>
  <si>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</si>
  <si>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</si>
  <si>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</si>
  <si>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</si>
  <si>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</si>
  <si>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</si>
  <si>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</si>
  <si>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</si>
  <si>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</si>
  <si>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</si>
  <si>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</si>
  <si>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</si>
  <si>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</si>
  <si>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</si>
  <si>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</si>
  <si>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</si>
  <si>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</si>
  <si>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</si>
  <si>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</si>
  <si>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</si>
  <si>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</si>
  <si>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</si>
  <si>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</si>
  <si>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</si>
  <si>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</si>
  <si>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</si>
  <si>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</si>
  <si>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</si>
  <si>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</si>
  <si>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</si>
  <si>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</si>
  <si>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</si>
  <si>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</si>
  <si>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</si>
  <si>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</si>
  <si>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</si>
  <si>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</si>
  <si>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</si>
  <si>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</si>
  <si>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</si>
  <si>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</si>
  <si>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</si>
  <si>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</si>
  <si>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</si>
  <si>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</si>
  <si>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</si>
  <si>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</si>
  <si>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</si>
  <si>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</si>
  <si>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</si>
  <si>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</si>
  <si>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</si>
  <si>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</si>
  <si>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</si>
  <si>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</si>
  <si>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</si>
  <si>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</si>
  <si>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</si>
  <si>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</si>
  <si>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</si>
  <si>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</si>
  <si>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</si>
  <si>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</si>
  <si>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</si>
  <si>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</si>
  <si>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</si>
  <si>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</si>
  <si>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</si>
  <si>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</si>
  <si>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</si>
  <si>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</si>
  <si>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</si>
  <si>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</si>
  <si>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</si>
  <si>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</si>
  <si>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</si>
  <si>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</si>
  <si>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</si>
  <si>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</si>
  <si>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</si>
  <si>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</si>
  <si>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</si>
  <si>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</si>
  <si>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</si>
  <si>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</si>
  <si>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</si>
  <si>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</si>
  <si>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</si>
  <si>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</si>
  <si>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</si>
  <si>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</si>
  <si>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</si>
  <si>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</si>
  <si>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</si>
  <si>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</si>
  <si>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</si>
  <si>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</si>
  <si>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</si>
  <si>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</si>
  <si>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</si>
  <si>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</si>
  <si>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</si>
  <si>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</si>
  <si>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</si>
  <si>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</si>
  <si>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</si>
  <si>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</si>
  <si>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</si>
  <si>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</si>
  <si>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</si>
  <si>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</si>
  <si>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</si>
  <si>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</si>
  <si>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</si>
  <si>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</si>
  <si>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</si>
  <si>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</si>
  <si>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</si>
  <si>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</si>
  <si>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</si>
  <si>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</si>
  <si>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</si>
  <si>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</si>
  <si>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</si>
  <si>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</si>
  <si>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</si>
  <si>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</si>
  <si>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</si>
  <si>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</si>
  <si>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</si>
  <si>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</si>
  <si>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</si>
  <si>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</si>
  <si>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</si>
  <si>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</si>
  <si>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</si>
  <si>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</si>
  <si>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</si>
  <si>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</si>
  <si>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</si>
  <si>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</si>
  <si>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</si>
  <si>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</si>
  <si>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</si>
  <si>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</si>
  <si>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</si>
  <si>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</si>
  <si>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</si>
  <si>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</si>
  <si>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</si>
  <si>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</si>
  <si>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</si>
  <si>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</si>
  <si>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</si>
  <si>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</si>
  <si>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</si>
  <si>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</si>
  <si>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</si>
  <si>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</si>
  <si>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</si>
  <si>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</si>
  <si>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</si>
  <si>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</si>
  <si>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</si>
  <si>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</si>
  <si>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</si>
  <si>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</si>
  <si>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</si>
  <si>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</si>
  <si>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</si>
  <si>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</si>
  <si>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</si>
  <si>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</si>
  <si>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</si>
  <si>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</si>
  <si>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</si>
  <si>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</si>
  <si>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</si>
  <si>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</si>
  <si>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</si>
  <si>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</si>
  <si>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</si>
  <si>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</si>
  <si>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</si>
  <si>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</si>
  <si>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</si>
  <si>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</si>
  <si>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</si>
  <si>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</si>
  <si>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</si>
  <si>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</si>
  <si>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</si>
  <si>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</si>
  <si>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</si>
  <si>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</si>
  <si>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</si>
  <si>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</si>
  <si>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</si>
  <si>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</si>
  <si>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</si>
  <si>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</si>
  <si>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</si>
  <si>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</si>
  <si>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</si>
  <si>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</si>
  <si>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</si>
  <si>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</si>
  <si>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</si>
  <si>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</si>
  <si>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</si>
  <si>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</si>
  <si>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</si>
  <si>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</si>
  <si>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</si>
  <si>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</si>
  <si>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</si>
  <si>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</si>
  <si>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</si>
  <si>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</si>
  <si>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</si>
  <si>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</si>
  <si>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</si>
  <si>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</si>
  <si>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</si>
  <si>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</si>
  <si>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</si>
  <si>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</si>
  <si>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</si>
  <si>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</si>
  <si>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</si>
  <si>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</si>
  <si>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</si>
  <si>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</si>
  <si>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</si>
  <si>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</si>
  <si>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</si>
  <si>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</si>
  <si>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</si>
  <si>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</si>
  <si>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</si>
  <si>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</si>
  <si>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</si>
  <si>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</si>
  <si>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</si>
  <si>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</si>
  <si>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</si>
  <si>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</si>
  <si>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</si>
  <si>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</si>
  <si>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</si>
  <si>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</si>
  <si>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</si>
  <si>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</si>
  <si>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</si>
  <si>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</si>
  <si>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</si>
  <si>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</si>
  <si>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</si>
  <si>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</si>
  <si>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</si>
  <si>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</si>
  <si>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</si>
  <si>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</si>
  <si>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</si>
  <si>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</si>
  <si>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</si>
  <si>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</si>
  <si>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</si>
  <si>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</si>
  <si>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</si>
  <si>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</si>
  <si>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</si>
  <si>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</si>
  <si>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</si>
  <si>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</si>
  <si>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</si>
  <si>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</si>
  <si>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</si>
  <si>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</si>
  <si>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</si>
  <si>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</si>
  <si>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</si>
  <si>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</si>
  <si>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</si>
  <si>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</si>
  <si>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</si>
  <si>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</si>
  <si>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</si>
  <si>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</si>
  <si>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</si>
  <si>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</si>
  <si>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</si>
  <si>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</si>
  <si>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</si>
  <si>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</si>
  <si>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</si>
  <si>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</si>
  <si>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</si>
  <si>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</si>
  <si>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</si>
  <si>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</si>
  <si>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</si>
  <si>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</si>
  <si>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</si>
  <si>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</si>
  <si>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</si>
  <si>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</si>
  <si>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</si>
  <si>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</si>
  <si>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</si>
  <si>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</si>
  <si>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</si>
  <si>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</si>
  <si>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</si>
  <si>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</si>
  <si>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</si>
  <si>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</si>
  <si>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</si>
  <si>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</si>
  <si>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</si>
  <si>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</si>
  <si>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</si>
  <si>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</si>
  <si>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</si>
  <si>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</si>
  <si>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</si>
  <si>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</si>
  <si>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</si>
  <si>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</si>
  <si>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</si>
  <si>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</si>
  <si>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</si>
  <si>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</si>
  <si>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</si>
  <si>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</si>
  <si>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</si>
  <si>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</si>
  <si>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</si>
  <si>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</si>
  <si>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</si>
  <si>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</si>
  <si>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</si>
  <si>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</si>
  <si>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</si>
  <si>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</si>
  <si>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</si>
  <si>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</si>
  <si>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</si>
  <si>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</si>
  <si>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</si>
  <si>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</si>
  <si>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</si>
  <si>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</si>
  <si>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</si>
  <si>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</si>
  <si>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</si>
  <si>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</si>
  <si>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</si>
  <si>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</si>
  <si>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</si>
  <si>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</si>
  <si>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</si>
  <si>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</si>
  <si>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</si>
  <si>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</si>
  <si>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</si>
  <si>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</si>
  <si>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</si>
  <si>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</si>
  <si>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</si>
  <si>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</si>
  <si>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</si>
  <si>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</si>
  <si>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</si>
  <si>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</si>
  <si>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</si>
  <si>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</si>
  <si>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</si>
  <si>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</si>
  <si>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</si>
  <si>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</si>
  <si>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</si>
  <si>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</si>
  <si>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</si>
  <si>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</si>
  <si>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</si>
  <si>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</si>
  <si>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</si>
  <si>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</si>
  <si>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</si>
  <si>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</si>
  <si>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</si>
  <si>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</si>
  <si>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</si>
  <si>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</si>
  <si>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</si>
  <si>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</si>
  <si>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</si>
  <si>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</si>
  <si>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</si>
  <si>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</si>
  <si>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</si>
  <si>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</si>
  <si>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</si>
  <si>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</si>
  <si>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</si>
  <si>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</si>
  <si>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</si>
  <si>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</si>
  <si>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</si>
  <si>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</si>
  <si>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</si>
  <si>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</si>
  <si>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</si>
  <si>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</si>
  <si>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</si>
  <si>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</si>
  <si>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</si>
  <si>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</si>
  <si>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</si>
  <si>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</si>
  <si>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</si>
  <si>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</si>
  <si>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</si>
  <si>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</si>
  <si>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</si>
  <si>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</si>
  <si>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</si>
  <si>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</si>
  <si>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</si>
  <si>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</si>
  <si>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</si>
  <si>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</si>
  <si>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</si>
  <si>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</si>
  <si>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</si>
  <si>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</si>
  <si>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</si>
  <si>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</si>
  <si>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</si>
  <si>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</si>
  <si>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</si>
  <si>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</si>
  <si>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</si>
  <si>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</si>
  <si>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</si>
  <si>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</si>
  <si>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</si>
  <si>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</si>
  <si>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</si>
  <si>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</si>
  <si>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</si>
  <si>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</si>
  <si>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</si>
  <si>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</si>
  <si>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</si>
  <si>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</si>
  <si>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</si>
  <si>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</si>
  <si>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</si>
  <si>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</si>
  <si>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</si>
  <si>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</si>
  <si>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</si>
  <si>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</si>
  <si>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</si>
  <si>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</si>
  <si>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</si>
  <si>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</si>
  <si>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</si>
  <si>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</si>
  <si>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</si>
  <si>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</si>
  <si>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</si>
  <si>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</si>
  <si>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</si>
  <si>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</si>
  <si>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</si>
  <si>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</si>
  <si>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</si>
  <si>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</si>
  <si>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</si>
  <si>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</si>
  <si>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</si>
  <si>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</si>
  <si>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</si>
  <si>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</si>
  <si>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</si>
  <si>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</si>
  <si>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</si>
  <si>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</si>
  <si>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</si>
  <si>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</si>
  <si>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</si>
  <si>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</si>
  <si>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</si>
  <si>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</si>
  <si>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</si>
  <si>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</si>
  <si>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</si>
  <si>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</si>
  <si>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</si>
  <si>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</si>
  <si>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</si>
  <si>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</si>
  <si>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</si>
  <si>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</si>
  <si>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</si>
  <si>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</si>
  <si>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</si>
  <si>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</si>
  <si>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</si>
  <si>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</si>
  <si>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</si>
  <si>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</si>
  <si>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</si>
  <si>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</si>
  <si>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</si>
  <si>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</si>
  <si>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</si>
  <si>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</si>
  <si>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</si>
  <si>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</si>
  <si>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</si>
  <si>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</si>
  <si>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</si>
  <si>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</si>
  <si>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</si>
  <si>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</si>
  <si>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</si>
  <si>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</si>
  <si>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</si>
  <si>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</si>
  <si>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</si>
  <si>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</si>
  <si>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</si>
  <si>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</si>
  <si>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</si>
  <si>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</si>
  <si>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</si>
  <si>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</si>
  <si>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</si>
  <si>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</si>
  <si>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</si>
  <si>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</si>
  <si>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</si>
  <si>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</si>
  <si>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</si>
  <si>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</si>
  <si>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</si>
  <si>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</si>
  <si>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</si>
  <si>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</si>
  <si>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</si>
  <si>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</si>
  <si>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</si>
  <si>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</si>
  <si>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</si>
  <si>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</si>
  <si>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</si>
  <si>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</si>
  <si>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</si>
  <si>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</si>
  <si>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</si>
  <si>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</si>
  <si>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</si>
  <si>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</si>
  <si>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</si>
  <si>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</si>
  <si>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</si>
  <si>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</si>
  <si>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</si>
  <si>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</si>
  <si>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</si>
  <si>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</si>
  <si>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</si>
  <si>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</si>
  <si>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</si>
  <si>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</si>
  <si>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</si>
  <si>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</si>
  <si>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</si>
  <si>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</si>
  <si>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</si>
  <si>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</si>
  <si>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</si>
  <si>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</si>
  <si>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</si>
  <si>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</si>
  <si>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</si>
  <si>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</si>
  <si>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</si>
  <si>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</si>
  <si>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</si>
  <si>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</si>
  <si>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</si>
  <si>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</si>
  <si>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</si>
  <si>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</si>
  <si>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</si>
  <si>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</si>
  <si>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</si>
  <si>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</si>
  <si>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</si>
  <si>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</si>
  <si>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</si>
  <si>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</si>
  <si>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</si>
  <si>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</si>
  <si>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</si>
  <si>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</si>
  <si>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</si>
  <si>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</si>
  <si>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</si>
  <si>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</si>
  <si>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</si>
  <si>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</si>
  <si>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</si>
  <si>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</si>
  <si>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</si>
  <si>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</si>
  <si>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</si>
  <si>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</si>
  <si>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</si>
  <si>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</si>
  <si>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</si>
  <si>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</si>
  <si>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</si>
  <si>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</si>
  <si>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</si>
  <si>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</si>
  <si>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</si>
  <si>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</si>
  <si>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</si>
  <si>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</si>
  <si>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</si>
  <si>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</si>
  <si>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</si>
  <si>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</si>
  <si>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</si>
  <si>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</si>
  <si>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</si>
  <si>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</si>
  <si>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</si>
  <si>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</si>
  <si>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</si>
  <si>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</si>
  <si>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</si>
  <si>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</si>
  <si>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</si>
  <si>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</si>
  <si>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</si>
  <si>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</si>
  <si>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</si>
  <si>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</si>
  <si>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</si>
  <si>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</si>
  <si>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</si>
  <si>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</si>
  <si>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</si>
  <si>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</si>
  <si>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</si>
  <si>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</si>
  <si>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</si>
  <si>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</si>
  <si>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</si>
  <si>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</si>
  <si>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</si>
  <si>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</si>
  <si>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</si>
  <si>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</si>
  <si>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</si>
  <si>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</si>
  <si>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</si>
  <si>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</si>
  <si>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</si>
  <si>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</si>
  <si>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</si>
  <si>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</si>
  <si>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</si>
  <si>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</si>
  <si>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</si>
  <si>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</si>
  <si>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</si>
  <si>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</si>
  <si>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</si>
  <si>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</si>
  <si>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</si>
  <si>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</si>
  <si>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</si>
  <si>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</si>
  <si>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</si>
  <si>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</si>
  <si>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</si>
  <si>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</si>
  <si>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</si>
  <si>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</si>
  <si>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</si>
  <si>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</si>
  <si>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</si>
  <si>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</si>
  <si>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</si>
  <si>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</si>
  <si>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</si>
  <si>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</si>
  <si>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</si>
  <si>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</si>
  <si>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</si>
  <si>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</si>
  <si>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</si>
  <si>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</si>
  <si>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</si>
  <si>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</si>
  <si>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</si>
  <si>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</si>
  <si>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</si>
  <si>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</si>
  <si>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</si>
  <si>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</si>
  <si>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</si>
  <si>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</si>
  <si>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</si>
  <si>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</si>
  <si>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</si>
  <si>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</si>
  <si>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</si>
  <si>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</si>
  <si>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</si>
  <si>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</si>
  <si>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</si>
  <si>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</si>
  <si>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</si>
  <si>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</si>
  <si>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</si>
  <si>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</si>
  <si>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</si>
  <si>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</si>
  <si>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</si>
  <si>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</si>
  <si>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</si>
  <si>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</si>
  <si>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</si>
  <si>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</si>
  <si>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</si>
  <si>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</si>
  <si>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</si>
  <si>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</si>
  <si>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</si>
  <si>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</si>
  <si>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</si>
  <si>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</si>
  <si>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</si>
  <si>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</si>
  <si>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</si>
  <si>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</si>
  <si>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</si>
  <si>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</si>
  <si>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</si>
  <si>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</si>
  <si>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</si>
  <si>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</si>
  <si>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</si>
  <si>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</si>
  <si>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</si>
  <si>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</si>
  <si>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</si>
  <si>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</si>
  <si>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</si>
  <si>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</si>
  <si>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</si>
  <si>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</si>
  <si>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</si>
  <si>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</si>
  <si>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</si>
  <si>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</si>
  <si>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</si>
  <si>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</si>
  <si>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</si>
  <si>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</si>
  <si>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</si>
  <si>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</si>
  <si>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</si>
  <si>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</si>
  <si>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</si>
  <si>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</si>
  <si>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</si>
  <si>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</si>
  <si>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</si>
  <si>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</si>
  <si>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</si>
  <si>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</si>
  <si>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</si>
  <si>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</si>
  <si>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</si>
  <si>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</si>
  <si>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</si>
  <si>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</si>
  <si>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</si>
  <si>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</si>
  <si>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</si>
  <si>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</si>
  <si>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</si>
  <si>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</si>
  <si>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</si>
  <si>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</si>
  <si>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</si>
  <si>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</si>
  <si>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</si>
  <si>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</si>
  <si>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</si>
  <si>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</si>
  <si>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</si>
  <si>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</si>
  <si>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</si>
  <si>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</si>
  <si>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</si>
  <si>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</si>
  <si>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</si>
  <si>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</si>
  <si>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</si>
  <si>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</si>
  <si>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</si>
  <si>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</si>
  <si>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</si>
  <si>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</si>
  <si>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</si>
  <si>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</si>
  <si>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</si>
  <si>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</si>
  <si>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</si>
  <si>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</si>
  <si>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</si>
  <si>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</si>
  <si>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</si>
  <si>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</si>
  <si>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</si>
  <si>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</si>
  <si>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</si>
  <si>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</si>
  <si>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</si>
  <si>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</si>
  <si>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</si>
  <si>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</si>
  <si>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</si>
  <si>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</si>
  <si>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</si>
  <si>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</si>
  <si>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</si>
  <si>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</si>
  <si>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</si>
  <si>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</si>
  <si>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</si>
  <si>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</si>
  <si>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</si>
  <si>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</si>
  <si>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</si>
  <si>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</si>
  <si>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</si>
  <si>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</si>
  <si>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</si>
  <si>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</si>
  <si>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</si>
  <si>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</si>
  <si>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</si>
  <si>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</si>
  <si>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</si>
  <si>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</si>
  <si>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</si>
  <si>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</si>
  <si>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</si>
  <si>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</si>
  <si>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</si>
  <si>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</si>
  <si>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</si>
  <si>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</si>
  <si>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</si>
  <si>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</si>
  <si>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</si>
  <si>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</si>
  <si>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</si>
  <si>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</si>
  <si>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</si>
  <si>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</si>
  <si>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</si>
  <si>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</si>
  <si>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</si>
  <si>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</si>
  <si>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</si>
  <si>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</si>
  <si>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</si>
  <si>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</si>
  <si>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</si>
  <si>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</si>
  <si>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</si>
  <si>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</si>
  <si>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</si>
  <si>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</si>
  <si>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</si>
  <si>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</si>
  <si>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</si>
  <si>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</si>
  <si>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</si>
  <si>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</si>
  <si>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</si>
  <si>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</si>
  <si>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</si>
  <si>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</si>
  <si>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</si>
  <si>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</si>
  <si>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</si>
  <si>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</si>
  <si>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</si>
  <si>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</si>
  <si>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</si>
  <si>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</si>
  <si>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</si>
  <si>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</si>
  <si>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</si>
  <si>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</si>
  <si>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</si>
  <si>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</si>
  <si>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</si>
  <si>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</si>
  <si>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</si>
  <si>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</si>
  <si>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</si>
  <si>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</si>
  <si>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</si>
  <si>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</si>
  <si>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</si>
  <si>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</si>
  <si>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</si>
  <si>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</si>
  <si>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</si>
  <si>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</si>
  <si>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</si>
  <si>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</si>
  <si>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</si>
  <si>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</si>
  <si>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</si>
  <si>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</si>
  <si>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</si>
  <si>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</si>
  <si>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</si>
  <si>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</si>
  <si>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</si>
  <si>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</si>
  <si>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</si>
  <si>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</si>
  <si>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</si>
  <si>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</si>
  <si>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</si>
  <si>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</si>
  <si>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</si>
  <si>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</si>
  <si>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</si>
  <si>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</si>
  <si>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</si>
  <si>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</si>
  <si>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</si>
  <si>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</si>
  <si>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</si>
  <si>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</si>
  <si>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</si>
  <si>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</si>
  <si>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</si>
  <si>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</si>
  <si>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</si>
  <si>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</si>
  <si>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</si>
  <si>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</si>
  <si>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</si>
  <si>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</si>
  <si>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</si>
  <si>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</si>
  <si>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</si>
  <si>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</si>
  <si>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</si>
  <si>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</si>
  <si>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</si>
  <si>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</si>
  <si>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</si>
  <si>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</si>
  <si>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</si>
  <si>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</si>
  <si>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</si>
  <si>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</si>
  <si>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</si>
  <si>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</si>
  <si>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</si>
  <si>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</si>
  <si>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</si>
  <si>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</si>
  <si>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</si>
  <si>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</si>
  <si>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</si>
  <si>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</si>
  <si>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</si>
  <si>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</si>
  <si>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</si>
  <si>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</si>
  <si>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</si>
  <si>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</si>
  <si>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</si>
  <si>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</si>
  <si>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</si>
  <si>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</si>
  <si>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</si>
  <si>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</si>
  <si>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</si>
  <si>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</si>
  <si>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</si>
  <si>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</si>
  <si>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</si>
  <si>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</si>
  <si>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</si>
  <si>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</si>
  <si>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</si>
  <si>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</si>
  <si>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</si>
  <si>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</si>
  <si>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</si>
  <si>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</si>
  <si>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</si>
  <si>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</si>
  <si>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</si>
  <si>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</si>
  <si>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</si>
  <si>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</si>
  <si>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</si>
  <si>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</si>
  <si>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</si>
  <si>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</si>
  <si>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</si>
  <si>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</si>
  <si>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</si>
  <si>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</si>
  <si>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</si>
  <si>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</si>
  <si>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</si>
  <si>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</si>
  <si>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</si>
  <si>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</si>
  <si>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</si>
  <si>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</si>
  <si>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</si>
  <si>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</si>
  <si>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</si>
  <si>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</si>
  <si>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</si>
  <si>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</si>
  <si>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</si>
  <si>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</si>
  <si>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</si>
  <si>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</si>
  <si>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</si>
  <si>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</si>
  <si>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</si>
  <si>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</si>
  <si>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</si>
  <si>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</si>
  <si>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</si>
  <si>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</si>
  <si>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</si>
  <si>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</si>
  <si>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</si>
  <si>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</si>
  <si>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</si>
  <si>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</si>
  <si>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</si>
  <si>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</si>
  <si>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</si>
  <si>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</si>
  <si>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</si>
  <si>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</si>
  <si>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</si>
  <si>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</si>
  <si>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</si>
  <si>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</si>
  <si>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</si>
  <si>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</si>
  <si>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</si>
  <si>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</si>
  <si>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</si>
  <si>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</si>
  <si>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</si>
  <si>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</si>
  <si>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</si>
  <si>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</si>
  <si>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</si>
  <si>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</si>
  <si>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</si>
  <si>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</si>
  <si>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</si>
  <si>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</si>
  <si>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</si>
  <si>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</si>
  <si>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</si>
  <si>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</si>
  <si>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</si>
  <si>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</si>
  <si>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</si>
  <si>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</si>
  <si>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</si>
  <si>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</si>
  <si>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</si>
  <si>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</si>
  <si>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</si>
  <si>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</si>
  <si>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</si>
  <si>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</si>
  <si>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</si>
  <si>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</si>
  <si>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</si>
  <si>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</si>
  <si>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</si>
  <si>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</si>
  <si>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</si>
  <si>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</si>
  <si>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</si>
  <si>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</si>
  <si>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</si>
  <si>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</si>
  <si>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</si>
  <si>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</si>
  <si>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</si>
  <si>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</si>
  <si>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</si>
  <si>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</si>
  <si>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</si>
  <si>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</si>
  <si>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</si>
  <si>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</si>
  <si>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</si>
  <si>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</si>
  <si>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</si>
  <si>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</si>
  <si>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</si>
  <si>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</si>
  <si>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</si>
  <si>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</si>
  <si>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</si>
  <si>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</si>
  <si>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</si>
  <si>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</si>
  <si>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</si>
  <si>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</si>
  <si>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</si>
  <si>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</si>
  <si>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</si>
  <si>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</si>
  <si>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</si>
  <si>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</si>
  <si>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</si>
  <si>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</si>
  <si>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</si>
  <si>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</si>
  <si>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</si>
  <si>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</si>
  <si>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</si>
  <si>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</si>
  <si>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</si>
  <si>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</si>
  <si>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</si>
  <si>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</si>
  <si>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</si>
  <si>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</si>
  <si>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</si>
  <si>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</si>
  <si>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</si>
  <si>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</si>
  <si>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</si>
  <si>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</si>
  <si>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</si>
  <si>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</si>
  <si>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</si>
  <si>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</si>
  <si>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</si>
  <si>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</si>
  <si>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</si>
  <si>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</si>
  <si>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</si>
  <si>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</si>
  <si>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</si>
  <si>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</si>
  <si>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</si>
  <si>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</si>
  <si>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</si>
  <si>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</si>
  <si>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</si>
  <si>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</si>
  <si>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</si>
  <si>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</si>
  <si>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</si>
  <si>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</si>
  <si>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</si>
  <si>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</si>
  <si>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</si>
  <si>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</si>
  <si>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</si>
  <si>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</si>
  <si>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</si>
  <si>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</si>
  <si>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</si>
  <si>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</si>
  <si>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</si>
  <si>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</si>
  <si>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</si>
  <si>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</si>
  <si>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</si>
  <si>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</si>
  <si>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</si>
  <si>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</si>
  <si>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</si>
  <si>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</si>
  <si>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</si>
  <si>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</si>
  <si>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</si>
  <si>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</si>
  <si>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</si>
  <si>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</si>
  <si>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</si>
  <si>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</si>
  <si>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</si>
  <si>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</si>
  <si>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</si>
  <si>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</si>
  <si>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</si>
  <si>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</si>
  <si>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</si>
  <si>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</si>
  <si>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</si>
  <si>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</si>
  <si>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</si>
  <si>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</si>
  <si>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</si>
  <si>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</si>
  <si>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</si>
  <si>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</si>
  <si>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</si>
  <si>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</si>
  <si>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</si>
  <si>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</si>
  <si>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</si>
  <si>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</si>
  <si>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</si>
  <si>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</si>
  <si>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</si>
  <si>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</si>
  <si>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</si>
  <si>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</si>
  <si>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</si>
  <si>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</si>
  <si>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</si>
  <si>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</si>
  <si>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</si>
  <si>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</si>
  <si>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</si>
  <si>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</si>
  <si>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</si>
  <si>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</si>
  <si>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</si>
  <si>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</si>
  <si>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</si>
  <si>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</si>
  <si>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</si>
  <si>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</si>
  <si>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</si>
  <si>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</si>
  <si>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</si>
  <si>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</si>
  <si>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</si>
  <si>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</si>
  <si>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</si>
  <si>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</si>
  <si>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</si>
  <si>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</si>
  <si>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</si>
  <si>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</si>
  <si>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</si>
  <si>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</si>
  <si>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</si>
  <si>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</si>
  <si>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</si>
  <si>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</si>
  <si>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</si>
  <si>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</si>
  <si>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</si>
  <si>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</si>
  <si>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</si>
  <si>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</si>
  <si>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</si>
  <si>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</si>
  <si>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</si>
  <si>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</si>
  <si>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</si>
  <si>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</si>
  <si>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</si>
  <si>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</si>
  <si>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</si>
  <si>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</si>
  <si>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</si>
  <si>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</si>
  <si>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</si>
  <si>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</si>
  <si>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</si>
  <si>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</si>
  <si>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</si>
  <si>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</si>
  <si>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</si>
  <si>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</si>
  <si>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</si>
  <si>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</si>
  <si>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</si>
  <si>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</si>
  <si>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</si>
  <si>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</si>
  <si>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</si>
  <si>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</si>
  <si>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</si>
  <si>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</si>
  <si>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</si>
  <si>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</si>
  <si>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</si>
  <si>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</si>
  <si>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</si>
  <si>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</si>
  <si>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</si>
  <si>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</si>
  <si>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</si>
  <si>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</si>
  <si>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</si>
  <si>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</si>
  <si>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</si>
  <si>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</si>
  <si>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</si>
  <si>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</si>
  <si>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</si>
  <si>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</si>
  <si>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</si>
  <si>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</si>
  <si>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</si>
  <si>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</si>
  <si>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</si>
  <si>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</si>
  <si>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</si>
  <si>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</si>
  <si>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</si>
  <si>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</si>
  <si>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</si>
  <si>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</si>
  <si>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</si>
  <si>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</si>
  <si>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</si>
  <si>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</si>
  <si>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</si>
  <si>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</si>
  <si>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</si>
  <si>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</si>
  <si>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</si>
  <si>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</si>
  <si>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</si>
  <si>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</si>
  <si>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</si>
  <si>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</si>
  <si>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</si>
  <si>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</si>
  <si>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</si>
  <si>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</si>
  <si>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</si>
  <si>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</si>
  <si>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</si>
  <si>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</si>
  <si>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</si>
  <si>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</si>
  <si>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</si>
  <si>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</si>
  <si>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</si>
  <si>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</si>
  <si>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</si>
  <si>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</si>
  <si>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</si>
  <si>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</si>
  <si>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</si>
  <si>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</si>
  <si>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</si>
  <si>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</si>
  <si>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</si>
  <si>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</si>
  <si>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</si>
  <si>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</si>
  <si>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</si>
  <si>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</si>
  <si>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</si>
  <si>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</si>
  <si>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</si>
  <si>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</si>
  <si>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</si>
  <si>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</si>
  <si>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</si>
  <si>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</si>
  <si>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</si>
  <si>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</si>
  <si>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</si>
  <si>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</si>
  <si>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</si>
  <si>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</si>
  <si>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</si>
  <si>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</si>
  <si>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</si>
  <si>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</si>
  <si>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</si>
  <si>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</si>
  <si>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</si>
  <si>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</si>
  <si>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</si>
  <si>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</si>
  <si>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</si>
  <si>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</si>
  <si>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</si>
  <si>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06/18</t>
  </si>
  <si>
    <t>09/22</t>
  </si>
  <si>
    <t>5 (1)</t>
  </si>
  <si>
    <t>Reduced Intergovermental Receivables from Trustees which is reflected in the following:</t>
  </si>
  <si>
    <t>35 (1)</t>
  </si>
  <si>
    <t>Unassigned Fund Balance reduced by $2,517.33</t>
  </si>
  <si>
    <t>300/400/500 &gt; purchased Service increased</t>
  </si>
  <si>
    <t xml:space="preserve">800/900 Transfers due to reduction in Trust Fund </t>
  </si>
  <si>
    <t>10 &amp; 19</t>
  </si>
  <si>
    <t>Same as above</t>
  </si>
  <si>
    <t>Column 1 and 5 due to moving expenditure to General Fund and out of Trust Funds</t>
  </si>
  <si>
    <t>Increase charge for contracted lunch &gt; allocated costs to Milan for production out of GRS Coop mid March to end of June</t>
  </si>
  <si>
    <t>300/400/500 Purchased Services to allocate cost</t>
  </si>
  <si>
    <t>5 (2)</t>
  </si>
  <si>
    <t>Increased cost for Contracted lunch program</t>
  </si>
  <si>
    <t>Indirect Cost Rate &gt; changed Row 29, Column F to reflect increase in Contracted Lunch</t>
  </si>
  <si>
    <t>School Level Expenditures &gt; Row 5, Column D increased cost due to notes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</si>
</sst>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20" activePane="bottomRight" state="frozen"/>
      <selection pane="topRight" activeCell="F1" sqref="F1"/>
      <selection pane="bottomLeft" activeCell="A4" sqref="A4"/>
      <selection pane="bottomRight"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1266</v>
      </c>
      <c r="B2" s="21">
        <v>355</v>
      </c>
      <c r="C2" s="21">
        <v>355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73520.22</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36936.32</v>
      </c>
      <c r="G10" s="18"/>
      <c r="H10" s="18"/>
      <c r="I10" s="18"/>
      <c r="J10" s="67">
        <f>SUM(I441)</f>
        <v>423349.65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50108.32</v>
      </c>
      <c r="G12" s="18"/>
      <c r="H12" s="18"/>
      <c r="I12" s="18"/>
      <c r="J12" s="67">
        <f>SUM(I442)</f>
        <v>5693.75</v>
      </c>
      <c r="K12" s="24" t="s">
        <v>288</v>
      </c>
      <c r="L12" s="24" t="s">
        <v>288</v>
      </c>
      <c r="M12" s="8"/>
      <c r="N12" s="266"/>
    </row>
    <row r="13" spans="1:14" s="3" customFormat="1" ht="12.2" customHeight="1" x14ac:dyDescent="0.15">
      <c r="A13" s="1" t="s">
        <v>604</v>
      </c>
      <c r="B13" s="2" t="s">
        <v>289</v>
      </c>
      <c r="C13" s="6">
        <v>5</v>
      </c>
      <c r="D13" s="2" t="s">
        <v>428</v>
      </c>
      <c r="E13" s="6">
        <v>140</v>
      </c>
      <c r="F13" s="18">
        <v>245226.75</v>
      </c>
      <c r="G13" s="18">
        <v>39397.29</v>
      </c>
      <c r="H13" s="18">
        <v>55957.73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36.35</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405791.61</v>
      </c>
      <c r="G19" s="41">
        <f>SUM(G9:G18)</f>
        <v>39433.64</v>
      </c>
      <c r="H19" s="41">
        <f>SUM(H9:H18)</f>
        <v>55957.73</v>
      </c>
      <c r="I19" s="41">
        <f>SUM(I9:I18)</f>
        <v>0</v>
      </c>
      <c r="J19" s="41">
        <f>SUM(J9:J18)</f>
        <v>429043.4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6233.87</v>
      </c>
      <c r="H22" s="18">
        <v>49568.2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255094.25</v>
      </c>
      <c r="G23" s="18">
        <v>24500</v>
      </c>
      <c r="H23" s="18">
        <v>2670.74</v>
      </c>
      <c r="I23" s="18"/>
      <c r="J23" s="67">
        <f>SUM(I450)</f>
        <v>21444</v>
      </c>
      <c r="K23" s="24" t="s">
        <v>288</v>
      </c>
      <c r="L23" s="24" t="s">
        <v>288</v>
      </c>
      <c r="M23" s="8"/>
      <c r="N23" s="266"/>
    </row>
    <row r="24" spans="1:14" s="3" customFormat="1" ht="12.2" customHeight="1" x14ac:dyDescent="0.15">
      <c r="A24" s="1" t="s">
        <v>570</v>
      </c>
      <c r="B24" s="2" t="s">
        <v>289</v>
      </c>
      <c r="C24" s="6">
        <v>14</v>
      </c>
      <c r="D24" s="2" t="s">
        <v>429</v>
      </c>
      <c r="E24" s="6">
        <v>420</v>
      </c>
      <c r="F24" s="18">
        <f>16605.83+309.59</f>
        <v>16915.420000000002</v>
      </c>
      <c r="G24" s="18">
        <v>1566.22</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v>322.95</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7059.39</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3395.84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279069.06</v>
      </c>
      <c r="G32" s="41">
        <f>SUM(G22:G31)</f>
        <v>32300.09</v>
      </c>
      <c r="H32" s="41">
        <f>SUM(H22:H31)</f>
        <v>55957.729999999996</v>
      </c>
      <c r="I32" s="41">
        <f>SUM(I22:I31)</f>
        <v>0</v>
      </c>
      <c r="J32" s="41">
        <f>SUM(J22:J31)</f>
        <v>21444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7133.55</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f>48046-12</f>
        <v>48034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407599.4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78676.55+12</f>
        <v>78688.55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126722.55</v>
      </c>
      <c r="G51" s="41">
        <f>SUM(G35:G50)</f>
        <v>7133.55</v>
      </c>
      <c r="H51" s="41">
        <f>SUM(H35:H50)</f>
        <v>0</v>
      </c>
      <c r="I51" s="41">
        <f>SUM(I35:I50)</f>
        <v>0</v>
      </c>
      <c r="J51" s="41">
        <f>SUM(J35:J50)</f>
        <v>407599.4</v>
      </c>
      <c r="K51" s="45" t="s">
        <v>288</v>
      </c>
      <c r="L51" s="45" t="s">
        <v>288</v>
      </c>
      <c r="N51" s="264"/>
    </row>
    <row r="52" spans="1:14" s="3" customFormat="1" ht="12.2" customHeight="1" thickTop="1" x14ac:dyDescent="0.15">
      <c r="A52" s="38" t="s">
        <v>455</v>
      </c>
      <c r="B52" s="39" t="s">
        <v>289</v>
      </c>
      <c r="C52" s="6">
        <v>37</v>
      </c>
      <c r="D52" s="39" t="s">
        <v>653</v>
      </c>
      <c r="E52" s="39"/>
      <c r="F52" s="41">
        <f>F51+F32</f>
        <v>405791.61</v>
      </c>
      <c r="G52" s="41">
        <f>G51+G32</f>
        <v>39433.64</v>
      </c>
      <c r="H52" s="41">
        <f>H51+H32</f>
        <v>55957.729999999996</v>
      </c>
      <c r="I52" s="41">
        <f>I51+I32</f>
        <v>0</v>
      </c>
      <c r="J52" s="41">
        <f>J51+J32</f>
        <v>429043.4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1707202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1707202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206704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206704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11490.18</v>
      </c>
      <c r="G96" s="18"/>
      <c r="H96" s="18"/>
      <c r="I96" s="18"/>
      <c r="J96" s="18">
        <v>6190.99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16661.099999999999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7500</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4690.68</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10806.48</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v>147</v>
      </c>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6500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30</v>
      </c>
      <c r="G110" s="18"/>
      <c r="H110" s="18"/>
      <c r="I110" s="18"/>
      <c r="J110" s="18">
        <v>725</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36326.660000000003</v>
      </c>
      <c r="G111" s="41">
        <f>SUM(G96:G110)</f>
        <v>16808.099999999999</v>
      </c>
      <c r="H111" s="41">
        <f>SUM(H96:H110)</f>
        <v>4690.68</v>
      </c>
      <c r="I111" s="41">
        <f>SUM(I96:I110)</f>
        <v>0</v>
      </c>
      <c r="J111" s="41">
        <f>SUM(J96:J110)</f>
        <v>6915.99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1950232.66</v>
      </c>
      <c r="G112" s="41">
        <f>G60+G111</f>
        <v>16808.099999999999</v>
      </c>
      <c r="H112" s="41">
        <f>H60+H79+H94+H111</f>
        <v>4690.68</v>
      </c>
      <c r="I112" s="41">
        <f>I60+I111</f>
        <v>0</v>
      </c>
      <c r="J112" s="41">
        <f>J60+J111</f>
        <v>6915.99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1312283.66+3035</f>
        <v>1315318.6599999999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214154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1529472.66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7930.99</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1129.45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1129.45</v>
      </c>
      <c r="H136" s="41">
        <f>SUM(H123:H135)</f>
        <v>7930.99</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1529472.66</v>
      </c>
      <c r="G140" s="41">
        <f>G121+SUM(G136:G137)</f>
        <v>1129.45</v>
      </c>
      <c r="H140" s="41">
        <f>H121+SUM(H136:H139)</f>
        <v>7930.99</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53955.040000000001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11145.6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58544.160000000003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31362.25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5925.31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6030.31</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5925.31</v>
      </c>
      <c r="G163" s="41">
        <f>SUM(G150:G162)</f>
        <v>64574.47</v>
      </c>
      <c r="H163" s="41">
        <f>SUM(H150:H162)</f>
        <v>96462.89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3993.69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9919</v>
      </c>
      <c r="G170" s="41">
        <f>G147+G163+SUM(G164:G169)</f>
        <v>64574.47</v>
      </c>
      <c r="H170" s="41">
        <f>H147+H163+SUM(H164:H169)</f>
        <v>96462.89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3489624.32</v>
      </c>
      <c r="G194" s="47">
        <f>G112+G140+G170+G193</f>
        <v>82512.02</v>
      </c>
      <c r="H194" s="47">
        <f>H112+H140+H170+H193</f>
        <v>109084.56</v>
      </c>
      <c r="I194" s="47">
        <f>I112+I140+I170+I193</f>
        <v>0</v>
      </c>
      <c r="J194" s="47">
        <f>J112+J140+J193</f>
        <v>31915.989999999998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352991.69</v>
      </c>
      <c r="G198" s="18">
        <v>188390.56</v>
      </c>
      <c r="H198" s="18">
        <v>2175.25</v>
      </c>
      <c r="I198" s="18">
        <v>20388.39</v>
      </c>
      <c r="J198" s="18">
        <v>13110.29</v>
      </c>
      <c r="K198" s="18">
        <v>210</v>
      </c>
      <c r="L198" s="19">
        <f>SUM(F198:K198)</f>
        <v>577266.18000000005</v>
      </c>
      <c r="M198" s="8"/>
      <c r="N198" s="266"/>
    </row>
    <row r="199" spans="1:14" s="3" customFormat="1" ht="12.2" customHeight="1" x14ac:dyDescent="0.15">
      <c r="A199" s="1" t="s">
        <v>439</v>
      </c>
      <c r="B199" s="2" t="s">
        <v>341</v>
      </c>
      <c r="C199" s="2" t="s">
        <v>291</v>
      </c>
      <c r="D199" s="2" t="s">
        <v>431</v>
      </c>
      <c r="E199" s="6">
        <v>1200</v>
      </c>
      <c r="F199" s="18">
        <v>149406.37000000002</v>
      </c>
      <c r="G199" s="18">
        <v>17949.550000000003</v>
      </c>
      <c r="H199" s="18">
        <v>34231</v>
      </c>
      <c r="I199" s="18">
        <v>357.74</v>
      </c>
      <c r="J199" s="18"/>
      <c r="K199" s="18"/>
      <c r="L199" s="19">
        <f>SUM(F199:K199)</f>
        <v>201944.66000000003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5210.8700000000008</v>
      </c>
      <c r="G201" s="18">
        <v>736.66999999999985</v>
      </c>
      <c r="H201" s="18"/>
      <c r="I201" s="18"/>
      <c r="J201" s="18"/>
      <c r="K201" s="18"/>
      <c r="L201" s="19">
        <f>SUM(F201:K201)</f>
        <v>5947.5400000000009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89946.28</v>
      </c>
      <c r="G203" s="18">
        <v>44314.30000000001</v>
      </c>
      <c r="H203" s="18">
        <v>77134.989999999991</v>
      </c>
      <c r="I203" s="18">
        <v>2868.9300000000003</v>
      </c>
      <c r="J203" s="18">
        <v>0</v>
      </c>
      <c r="K203" s="18">
        <v>239</v>
      </c>
      <c r="L203" s="19">
        <f t="shared" ref="L203:L209" si="0">SUM(F203:K203)</f>
        <v>214503.5</v>
      </c>
      <c r="M203" s="8"/>
      <c r="N203" s="266"/>
    </row>
    <row r="204" spans="1:14" s="3" customFormat="1" ht="12.2" customHeight="1" x14ac:dyDescent="0.15">
      <c r="A204" s="1" t="s">
        <v>443</v>
      </c>
      <c r="B204" s="2" t="s">
        <v>341</v>
      </c>
      <c r="C204" s="2" t="s">
        <v>295</v>
      </c>
      <c r="D204" s="2" t="s">
        <v>431</v>
      </c>
      <c r="E204" s="6">
        <v>2200</v>
      </c>
      <c r="F204" s="18">
        <v>28644.04</v>
      </c>
      <c r="G204" s="18">
        <v>3789.27</v>
      </c>
      <c r="H204" s="18">
        <v>2614.41</v>
      </c>
      <c r="I204" s="18">
        <v>1370.08</v>
      </c>
      <c r="J204" s="18">
        <v>3469.42</v>
      </c>
      <c r="K204" s="18"/>
      <c r="L204" s="19">
        <f t="shared" si="0"/>
        <v>39887.22</v>
      </c>
      <c r="M204" s="8"/>
      <c r="N204" s="266"/>
    </row>
    <row r="205" spans="1:14" s="3" customFormat="1" ht="12.2" customHeight="1" x14ac:dyDescent="0.15">
      <c r="A205" s="1" t="s">
        <v>444</v>
      </c>
      <c r="B205" s="2" t="s">
        <v>341</v>
      </c>
      <c r="C205" s="2" t="s">
        <v>296</v>
      </c>
      <c r="D205" s="2" t="s">
        <v>431</v>
      </c>
      <c r="E205" s="6">
        <v>2300</v>
      </c>
      <c r="F205" s="18">
        <v>1889.8266844426214</v>
      </c>
      <c r="G205" s="18">
        <v>148.23383858065841</v>
      </c>
      <c r="H205" s="18">
        <v>88364.272070556864</v>
      </c>
      <c r="I205" s="18">
        <v>504.06290636857756</v>
      </c>
      <c r="J205" s="18">
        <v>0</v>
      </c>
      <c r="K205" s="18">
        <v>1820.1382094144192</v>
      </c>
      <c r="L205" s="19">
        <f t="shared" si="0"/>
        <v>92726.533709363139</v>
      </c>
      <c r="M205" s="8"/>
      <c r="N205" s="266"/>
    </row>
    <row r="206" spans="1:14" s="3" customFormat="1" ht="12.2" customHeight="1" x14ac:dyDescent="0.15">
      <c r="A206" s="1" t="s">
        <v>445</v>
      </c>
      <c r="B206" s="2" t="s">
        <v>341</v>
      </c>
      <c r="C206" s="2" t="s">
        <v>297</v>
      </c>
      <c r="D206" s="2" t="s">
        <v>431</v>
      </c>
      <c r="E206" s="6">
        <v>2400</v>
      </c>
      <c r="F206" s="18">
        <v>93670.31</v>
      </c>
      <c r="G206" s="18">
        <v>43328.05</v>
      </c>
      <c r="H206" s="18">
        <v>3787.09</v>
      </c>
      <c r="I206" s="18">
        <v>3852.9500000000003</v>
      </c>
      <c r="J206" s="18">
        <v>1114.29</v>
      </c>
      <c r="K206" s="18">
        <v>2679.16</v>
      </c>
      <c r="L206" s="19">
        <f t="shared" si="0"/>
        <v>148431.85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65303.54</v>
      </c>
      <c r="G208" s="18">
        <v>28868.23</v>
      </c>
      <c r="H208" s="18">
        <v>28763.78</v>
      </c>
      <c r="I208" s="18">
        <v>66155.12</v>
      </c>
      <c r="J208" s="18">
        <v>7574.53</v>
      </c>
      <c r="K208" s="18">
        <v>100</v>
      </c>
      <c r="L208" s="19">
        <f t="shared" si="0"/>
        <v>196765.19999999998</v>
      </c>
      <c r="M208" s="8"/>
      <c r="N208" s="266"/>
    </row>
    <row r="209" spans="1:14" s="3" customFormat="1" ht="12.2" customHeight="1" x14ac:dyDescent="0.15">
      <c r="A209" s="1" t="s">
        <v>448</v>
      </c>
      <c r="B209" s="2" t="s">
        <v>341</v>
      </c>
      <c r="C209" s="2" t="s">
        <v>300</v>
      </c>
      <c r="D209" s="2" t="s">
        <v>431</v>
      </c>
      <c r="E209" s="6">
        <v>2700</v>
      </c>
      <c r="F209" s="18"/>
      <c r="G209" s="18"/>
      <c r="H209" s="18">
        <v>110873.54713771673</v>
      </c>
      <c r="I209" s="18">
        <v>5763.7962446843303</v>
      </c>
      <c r="J209" s="18"/>
      <c r="K209" s="18"/>
      <c r="L209" s="19">
        <f t="shared" si="0"/>
        <v>116637.34338240106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787062.92668444267</v>
      </c>
      <c r="G212" s="41">
        <f t="shared" si="1"/>
        <v>327524.86383858067</v>
      </c>
      <c r="H212" s="41">
        <f t="shared" si="1"/>
        <v>347944.33920827357</v>
      </c>
      <c r="I212" s="41">
        <f t="shared" si="1"/>
        <v>101261.0691510529</v>
      </c>
      <c r="J212" s="41">
        <f t="shared" si="1"/>
        <v>25268.53</v>
      </c>
      <c r="K212" s="41">
        <f t="shared" si="1"/>
        <v>5048.298209414419</v>
      </c>
      <c r="L212" s="41">
        <f t="shared" si="1"/>
        <v>1594110.0270917644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341693.13</v>
      </c>
      <c r="I216" s="18"/>
      <c r="J216" s="18"/>
      <c r="K216" s="18"/>
      <c r="L216" s="19">
        <f>SUM(F216:K216)</f>
        <v>341693.13</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v>53.11</v>
      </c>
      <c r="I221" s="18"/>
      <c r="J221" s="18"/>
      <c r="K221" s="18"/>
      <c r="L221" s="19">
        <f t="shared" ref="L221:L227" si="2">SUM(F221:K221)</f>
        <v>53.11</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343.19044200594811</v>
      </c>
      <c r="G223" s="18">
        <v>26.919101630601986</v>
      </c>
      <c r="H223" s="18">
        <v>16046.854369808223</v>
      </c>
      <c r="I223" s="18">
        <v>91.537267972515622</v>
      </c>
      <c r="J223" s="18">
        <v>0</v>
      </c>
      <c r="K223" s="18">
        <v>330.53509178545789</v>
      </c>
      <c r="L223" s="19">
        <f t="shared" si="2"/>
        <v>16839.036273202746</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22369.969120052338</v>
      </c>
      <c r="I227" s="18">
        <v>1162.9098855086684</v>
      </c>
      <c r="J227" s="18"/>
      <c r="K227" s="18"/>
      <c r="L227" s="19">
        <f t="shared" si="2"/>
        <v>23532.879005561004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343.19044200594811</v>
      </c>
      <c r="G230" s="41">
        <f>SUM(G216:G229)</f>
        <v>26.919101630601986</v>
      </c>
      <c r="H230" s="41">
        <f>SUM(H216:H229)</f>
        <v>380163.06348986056</v>
      </c>
      <c r="I230" s="41">
        <f>SUM(I216:I229)</f>
        <v>1254.4471534811839</v>
      </c>
      <c r="J230" s="41">
        <f>SUM(J216:J229)</f>
        <v>0</v>
      </c>
      <c r="K230" s="41">
        <f t="shared" si="3"/>
        <v>330.53509178545789</v>
      </c>
      <c r="L230" s="41">
        <f t="shared" si="3"/>
        <v>382118.15527876373</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1076941.3</v>
      </c>
      <c r="I234" s="18"/>
      <c r="J234" s="18"/>
      <c r="K234" s="18"/>
      <c r="L234" s="19">
        <f>SUM(F234:K234)</f>
        <v>1076941.3</v>
      </c>
      <c r="M234" s="8"/>
      <c r="N234" s="266"/>
    </row>
    <row r="235" spans="1:14" s="3" customFormat="1" ht="12.2" customHeight="1" x14ac:dyDescent="0.15">
      <c r="A235" s="1" t="s">
        <v>439</v>
      </c>
      <c r="B235" s="2" t="s">
        <v>350</v>
      </c>
      <c r="C235" s="2" t="s">
        <v>291</v>
      </c>
      <c r="D235" s="2" t="s">
        <v>431</v>
      </c>
      <c r="E235" s="6">
        <v>1200</v>
      </c>
      <c r="F235" s="18"/>
      <c r="G235" s="18"/>
      <c r="H235" s="18">
        <v>90384.540000000008</v>
      </c>
      <c r="I235" s="18"/>
      <c r="J235" s="18"/>
      <c r="K235" s="18"/>
      <c r="L235" s="19">
        <f>SUM(F235:K235)</f>
        <v>90384.540000000008</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72.989999999999995</v>
      </c>
      <c r="I239" s="18"/>
      <c r="J239" s="18"/>
      <c r="K239" s="18"/>
      <c r="L239" s="19">
        <f t="shared" ref="L239:L245" si="4">SUM(F239:K239)</f>
        <v>72.989999999999995</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941.98287355143066</v>
      </c>
      <c r="G241" s="18">
        <v>73.88705978873962</v>
      </c>
      <c r="H241" s="18">
        <v>44045.113559634905</v>
      </c>
      <c r="I241" s="18">
        <v>251.24982565890676</v>
      </c>
      <c r="J241" s="18">
        <v>0</v>
      </c>
      <c r="K241" s="18">
        <v>907.24669880012311</v>
      </c>
      <c r="L241" s="19">
        <f t="shared" si="4"/>
        <v>46219.480017434107</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87433.183742230933</v>
      </c>
      <c r="I245" s="18">
        <v>3191.9338698069996</v>
      </c>
      <c r="J245" s="18"/>
      <c r="K245" s="18"/>
      <c r="L245" s="19">
        <f t="shared" si="4"/>
        <v>90625.117612037939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941.98287355143066</v>
      </c>
      <c r="G248" s="41">
        <f t="shared" si="5"/>
        <v>73.88705978873962</v>
      </c>
      <c r="H248" s="41">
        <f t="shared" si="5"/>
        <v>1298877.127301866</v>
      </c>
      <c r="I248" s="41">
        <f t="shared" si="5"/>
        <v>3443.1836954659066</v>
      </c>
      <c r="J248" s="41">
        <f t="shared" si="5"/>
        <v>0</v>
      </c>
      <c r="K248" s="41">
        <f t="shared" si="5"/>
        <v>907.24669880012311</v>
      </c>
      <c r="L248" s="41">
        <f t="shared" si="5"/>
        <v>1304243.4276294722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v>2500</v>
      </c>
      <c r="G254" s="18">
        <v>196.67</v>
      </c>
      <c r="H254" s="18">
        <v>1025</v>
      </c>
      <c r="I254" s="18">
        <v>2878.67</v>
      </c>
      <c r="J254" s="18"/>
      <c r="K254" s="18">
        <v>340</v>
      </c>
      <c r="L254" s="19">
        <f t="shared" si="6"/>
        <v>6940.34</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2500</v>
      </c>
      <c r="G257" s="41">
        <f t="shared" si="7"/>
        <v>196.67</v>
      </c>
      <c r="H257" s="41">
        <f t="shared" si="7"/>
        <v>1025</v>
      </c>
      <c r="I257" s="41">
        <f t="shared" si="7"/>
        <v>2878.67</v>
      </c>
      <c r="J257" s="41">
        <f t="shared" si="7"/>
        <v>0</v>
      </c>
      <c r="K257" s="41">
        <f t="shared" si="7"/>
        <v>340</v>
      </c>
      <c r="L257" s="41">
        <f>SUM(F257:K257)</f>
        <v>6940.34</v>
      </c>
      <c r="M257" s="8"/>
      <c r="N257" s="266"/>
    </row>
    <row r="258" spans="1:14" s="3" customFormat="1" ht="12.2" customHeight="1" thickTop="1" x14ac:dyDescent="0.15">
      <c r="A258" s="38" t="s">
        <v>462</v>
      </c>
      <c r="B258" s="40">
        <v>10</v>
      </c>
      <c r="C258" s="40">
        <v>8</v>
      </c>
      <c r="D258" s="39" t="s">
        <v>431</v>
      </c>
      <c r="E258" s="40"/>
      <c r="F258" s="41">
        <f t="shared" ref="F258:L258" si="8">F212+F230+F248+F257</f>
        <v>790848.10000000009</v>
      </c>
      <c r="G258" s="41">
        <f t="shared" si="8"/>
        <v>327822.34000000003</v>
      </c>
      <c r="H258" s="41">
        <f t="shared" si="8"/>
        <v>2028009.53</v>
      </c>
      <c r="I258" s="41">
        <f t="shared" si="8"/>
        <v>108837.37</v>
      </c>
      <c r="J258" s="41">
        <f t="shared" si="8"/>
        <v>25268.53</v>
      </c>
      <c r="K258" s="41">
        <f t="shared" si="8"/>
        <v>6626.08</v>
      </c>
      <c r="L258" s="41">
        <f t="shared" si="8"/>
        <v>3287411.95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99000</v>
      </c>
      <c r="L261" s="19">
        <f>SUM(F261:K261)</f>
        <v>99000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7139</v>
      </c>
      <c r="L262" s="19">
        <f>SUM(F262:K262)</f>
        <v>7139</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14400</v>
      </c>
      <c r="L269" s="19">
        <f t="shared" si="9"/>
        <v>14400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145539</v>
      </c>
      <c r="L271" s="41">
        <f t="shared" si="9"/>
        <v>145539</v>
      </c>
      <c r="M271" s="8"/>
      <c r="N271" s="266"/>
    </row>
    <row r="272" spans="1:14" s="34" customFormat="1" ht="12.2" customHeight="1" thickTop="1" x14ac:dyDescent="0.2">
      <c r="A272" s="43" t="s">
        <v>464</v>
      </c>
      <c r="B272" s="40">
        <v>10</v>
      </c>
      <c r="C272" s="40">
        <v>18</v>
      </c>
      <c r="D272" s="39" t="s">
        <v>431</v>
      </c>
      <c r="E272" s="40"/>
      <c r="F272" s="42">
        <f t="shared" ref="F272:L272" si="11">F258+F271</f>
        <v>790848.10000000009</v>
      </c>
      <c r="G272" s="42">
        <f t="shared" si="11"/>
        <v>327822.34000000003</v>
      </c>
      <c r="H272" s="42">
        <f t="shared" si="11"/>
        <v>2028009.53</v>
      </c>
      <c r="I272" s="42">
        <f t="shared" si="11"/>
        <v>108837.37</v>
      </c>
      <c r="J272" s="42">
        <f t="shared" si="11"/>
        <v>25268.53</v>
      </c>
      <c r="K272" s="42">
        <f t="shared" si="11"/>
        <v>152165.07999999999</v>
      </c>
      <c r="L272" s="42">
        <f t="shared" si="11"/>
        <v>3432950.95</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39509.040000000001</v>
      </c>
      <c r="G277" s="18">
        <v>8802.52</v>
      </c>
      <c r="H277" s="18"/>
      <c r="I277" s="18">
        <v>9581.4399999999987</v>
      </c>
      <c r="J277" s="18">
        <v>2746.5699999999997</v>
      </c>
      <c r="K277" s="18"/>
      <c r="L277" s="19">
        <f>SUM(F277:K277)</f>
        <v>60639.57</v>
      </c>
      <c r="M277" s="8"/>
      <c r="N277" s="266"/>
    </row>
    <row r="278" spans="1:14" s="3" customFormat="1" ht="12.2" customHeight="1" x14ac:dyDescent="0.15">
      <c r="A278" s="1" t="s">
        <v>439</v>
      </c>
      <c r="B278" s="2" t="s">
        <v>357</v>
      </c>
      <c r="C278" s="2" t="s">
        <v>291</v>
      </c>
      <c r="D278" s="2" t="s">
        <v>431</v>
      </c>
      <c r="E278" s="6">
        <v>1200</v>
      </c>
      <c r="F278" s="18"/>
      <c r="G278" s="18"/>
      <c r="H278" s="18"/>
      <c r="I278" s="18">
        <v>2083.15</v>
      </c>
      <c r="J278" s="18"/>
      <c r="K278" s="18"/>
      <c r="L278" s="19">
        <f>SUM(F278:K278)</f>
        <v>2083.15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2979.9</v>
      </c>
      <c r="G280" s="18">
        <v>517.93999999999994</v>
      </c>
      <c r="H280" s="18">
        <v>2400</v>
      </c>
      <c r="I280" s="18">
        <v>4646.3999999999996</v>
      </c>
      <c r="J280" s="18">
        <v>238</v>
      </c>
      <c r="K280" s="18"/>
      <c r="L280" s="19">
        <f>SUM(F280:K280)</f>
        <v>10782.24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19711.5</v>
      </c>
      <c r="I282" s="18"/>
      <c r="J282" s="18"/>
      <c r="K282" s="18"/>
      <c r="L282" s="19">
        <f t="shared" ref="L282:L288" si="12">SUM(F282:K282)</f>
        <v>19711.5</v>
      </c>
      <c r="M282" s="8"/>
      <c r="N282" s="266"/>
    </row>
    <row r="283" spans="1:14" s="3" customFormat="1" ht="12.2" customHeight="1" x14ac:dyDescent="0.15">
      <c r="A283" s="1" t="s">
        <v>443</v>
      </c>
      <c r="B283" s="2" t="s">
        <v>357</v>
      </c>
      <c r="C283" s="2" t="s">
        <v>295</v>
      </c>
      <c r="D283" s="2" t="s">
        <v>431</v>
      </c>
      <c r="E283" s="6">
        <v>2200</v>
      </c>
      <c r="F283" s="18"/>
      <c r="G283" s="18"/>
      <c r="H283" s="18">
        <v>6184.2</v>
      </c>
      <c r="I283" s="18">
        <v>0</v>
      </c>
      <c r="J283" s="18"/>
      <c r="K283" s="18"/>
      <c r="L283" s="19">
        <f t="shared" si="12"/>
        <v>6184.2</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42488.94</v>
      </c>
      <c r="G291" s="42">
        <f t="shared" si="13"/>
        <v>9320.4600000000009</v>
      </c>
      <c r="H291" s="42">
        <f t="shared" si="13"/>
        <v>28295.7</v>
      </c>
      <c r="I291" s="42">
        <f t="shared" si="13"/>
        <v>16310.989999999998</v>
      </c>
      <c r="J291" s="42">
        <f t="shared" si="13"/>
        <v>2984.5699999999997</v>
      </c>
      <c r="K291" s="42">
        <f t="shared" si="13"/>
        <v>0</v>
      </c>
      <c r="L291" s="41">
        <f t="shared" si="13"/>
        <v>99400.66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v>3092</v>
      </c>
      <c r="I301" s="18"/>
      <c r="J301" s="18"/>
      <c r="K301" s="18"/>
      <c r="L301" s="19">
        <f t="shared" ref="L301:L307" si="14">SUM(F301:K301)</f>
        <v>3092</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3092</v>
      </c>
      <c r="I310" s="42">
        <f t="shared" si="15"/>
        <v>0</v>
      </c>
      <c r="J310" s="42">
        <f t="shared" si="15"/>
        <v>0</v>
      </c>
      <c r="K310" s="42">
        <f t="shared" si="15"/>
        <v>0</v>
      </c>
      <c r="L310" s="41">
        <f t="shared" si="15"/>
        <v>3092</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3285.25</v>
      </c>
      <c r="I320" s="18"/>
      <c r="J320" s="18"/>
      <c r="K320" s="18"/>
      <c r="L320" s="19">
        <f t="shared" ref="L320:L326" si="16">SUM(F320:K320)</f>
        <v>3285.25</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3285.25</v>
      </c>
      <c r="I329" s="42">
        <f t="shared" si="17"/>
        <v>0</v>
      </c>
      <c r="J329" s="42">
        <f t="shared" si="17"/>
        <v>0</v>
      </c>
      <c r="K329" s="42">
        <f t="shared" si="17"/>
        <v>0</v>
      </c>
      <c r="L329" s="41">
        <f t="shared" si="17"/>
        <v>3285.25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v>80.02</v>
      </c>
      <c r="J336" s="18"/>
      <c r="K336" s="18"/>
      <c r="L336" s="19">
        <f t="shared" si="18"/>
        <v>80.02</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80.02</v>
      </c>
      <c r="J338" s="41">
        <f t="shared" si="19"/>
        <v>0</v>
      </c>
      <c r="K338" s="41">
        <f t="shared" si="19"/>
        <v>0</v>
      </c>
      <c r="L338" s="41">
        <f t="shared" si="18"/>
        <v>80.02</v>
      </c>
      <c r="M338" s="8"/>
      <c r="N338" s="266"/>
    </row>
    <row r="339" spans="1:43" s="3" customFormat="1" ht="12.2" customHeight="1" thickTop="1" x14ac:dyDescent="0.15">
      <c r="A339" s="38" t="s">
        <v>468</v>
      </c>
      <c r="B339" s="40">
        <v>14</v>
      </c>
      <c r="C339" s="40">
        <v>7</v>
      </c>
      <c r="D339" s="39" t="s">
        <v>431</v>
      </c>
      <c r="E339" s="40"/>
      <c r="F339" s="41">
        <f t="shared" ref="F339:L339" si="20">F291+F310+F329+F338</f>
        <v>42488.94</v>
      </c>
      <c r="G339" s="41">
        <f t="shared" si="20"/>
        <v>9320.4600000000009</v>
      </c>
      <c r="H339" s="41">
        <f t="shared" si="20"/>
        <v>34672.949999999997</v>
      </c>
      <c r="I339" s="41">
        <f t="shared" si="20"/>
        <v>16391.009999999998</v>
      </c>
      <c r="J339" s="41">
        <f t="shared" si="20"/>
        <v>2984.5699999999997</v>
      </c>
      <c r="K339" s="41">
        <f t="shared" si="20"/>
        <v>0</v>
      </c>
      <c r="L339" s="41">
        <f t="shared" si="20"/>
        <v>105857.93000000001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3226.6299999999997</v>
      </c>
      <c r="L351" s="19">
        <f t="shared" si="21"/>
        <v>3226.6299999999997</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3226.6299999999997</v>
      </c>
      <c r="L352" s="41">
        <f>SUM(L342:L351)</f>
        <v>3226.6299999999997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42488.94</v>
      </c>
      <c r="G353" s="41">
        <f>G339</f>
        <v>9320.4600000000009</v>
      </c>
      <c r="H353" s="41">
        <f>H339</f>
        <v>34672.949999999997</v>
      </c>
      <c r="I353" s="41">
        <f>I339</f>
        <v>16391.009999999998</v>
      </c>
      <c r="J353" s="41">
        <f>J339</f>
        <v>2984.5699999999997</v>
      </c>
      <c r="K353" s="47">
        <f>K339+K352</f>
        <v>3226.6299999999997</v>
      </c>
      <c r="L353" s="41">
        <f>L339+L352</f>
        <v>109084.56000000001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70568.160000000003</v>
      </c>
      <c r="I359" s="18">
        <v>5030.3100000000004</v>
      </c>
      <c r="J359" s="18"/>
      <c r="K359" s="18">
        <v>350</v>
      </c>
      <c r="L359" s="13">
        <f>SUM(F359:K359)</f>
        <v>75948.47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70568.160000000003</v>
      </c>
      <c r="I363" s="47">
        <f t="shared" si="22"/>
        <v>5030.3100000000004</v>
      </c>
      <c r="J363" s="47">
        <f t="shared" si="22"/>
        <v>0</v>
      </c>
      <c r="K363" s="47">
        <f t="shared" si="22"/>
        <v>350</v>
      </c>
      <c r="L363" s="47">
        <f t="shared" si="22"/>
        <v>75948.47</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5030.3100000000004</v>
      </c>
      <c r="G368" s="18"/>
      <c r="H368" s="18"/>
      <c r="I368" s="56">
        <f>SUM(F368:H368)</f>
        <v>5030.3100000000004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5030.3100000000004</v>
      </c>
      <c r="G370" s="47">
        <f>SUM(G368:G369)</f>
        <v>0</v>
      </c>
      <c r="H370" s="47">
        <f>SUM(H368:H369)</f>
        <v>0</v>
      </c>
      <c r="I370" s="47">
        <f>SUM(I368:I369)</f>
        <v>5030.3100000000004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5000</v>
      </c>
      <c r="H390" s="18">
        <v>2458.71</v>
      </c>
      <c r="I390" s="18"/>
      <c r="J390" s="24" t="s">
        <v>288</v>
      </c>
      <c r="K390" s="24" t="s">
        <v>288</v>
      </c>
      <c r="L390" s="56">
        <f t="shared" si="25"/>
        <v>7458.71</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f>12.15+730.45</f>
        <v>742.6</v>
      </c>
      <c r="I393" s="18">
        <v>725</v>
      </c>
      <c r="J393" s="24" t="s">
        <v>288</v>
      </c>
      <c r="K393" s="24" t="s">
        <v>288</v>
      </c>
      <c r="L393" s="56">
        <f t="shared" si="25"/>
        <v>1467.6</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3201.31</v>
      </c>
      <c r="I394" s="65">
        <f>SUM(I388:I393)</f>
        <v>725</v>
      </c>
      <c r="J394" s="45" t="s">
        <v>288</v>
      </c>
      <c r="K394" s="45" t="s">
        <v>288</v>
      </c>
      <c r="L394" s="47">
        <f>SUM(L388:L393)</f>
        <v>8926.31</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v>20000</v>
      </c>
      <c r="H399" s="18">
        <v>2571.13</v>
      </c>
      <c r="I399" s="18"/>
      <c r="J399" s="24" t="s">
        <v>288</v>
      </c>
      <c r="K399" s="24" t="s">
        <v>288</v>
      </c>
      <c r="L399" s="56">
        <f t="shared" si="26"/>
        <v>22571.13</v>
      </c>
      <c r="M399" s="8"/>
      <c r="N399" s="266"/>
    </row>
    <row r="400" spans="1:14" s="3" customFormat="1" ht="12.2" customHeight="1" x14ac:dyDescent="0.15">
      <c r="A400" s="79" t="s">
        <v>559</v>
      </c>
      <c r="B400" s="2" t="s">
        <v>381</v>
      </c>
      <c r="C400" s="6">
        <v>12</v>
      </c>
      <c r="D400" s="2" t="s">
        <v>432</v>
      </c>
      <c r="E400" s="6"/>
      <c r="F400" s="18"/>
      <c r="G400" s="18"/>
      <c r="H400" s="18">
        <v>256.35000000000002</v>
      </c>
      <c r="I400" s="18"/>
      <c r="J400" s="24" t="s">
        <v>288</v>
      </c>
      <c r="K400" s="24" t="s">
        <v>288</v>
      </c>
      <c r="L400" s="56">
        <f t="shared" si="26"/>
        <v>256.35000000000002</v>
      </c>
      <c r="M400" s="8"/>
      <c r="N400" s="266"/>
    </row>
    <row r="401" spans="1:21" s="3" customFormat="1" ht="12.2" customHeight="1" thickBot="1" x14ac:dyDescent="0.2">
      <c r="A401" s="79" t="s">
        <v>510</v>
      </c>
      <c r="B401" s="2" t="s">
        <v>381</v>
      </c>
      <c r="C401" s="6">
        <v>13</v>
      </c>
      <c r="D401" s="2" t="s">
        <v>432</v>
      </c>
      <c r="E401" s="6"/>
      <c r="F401" s="18"/>
      <c r="G401" s="18"/>
      <c r="H401" s="18">
        <v>162.19999999999999</v>
      </c>
      <c r="I401" s="18"/>
      <c r="J401" s="24" t="s">
        <v>288</v>
      </c>
      <c r="K401" s="24" t="s">
        <v>288</v>
      </c>
      <c r="L401" s="56">
        <f t="shared" si="26"/>
        <v>162.19999999999999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2989.68</v>
      </c>
      <c r="I402" s="47">
        <f>SUM(I396:I401)</f>
        <v>0</v>
      </c>
      <c r="J402" s="45" t="s">
        <v>288</v>
      </c>
      <c r="K402" s="45" t="s">
        <v>288</v>
      </c>
      <c r="L402" s="47">
        <f>SUM(L396:L401)</f>
        <v>22989.68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6190.99</v>
      </c>
      <c r="I409" s="47">
        <f>I394+I402+I408</f>
        <v>725</v>
      </c>
      <c r="J409" s="24" t="s">
        <v>288</v>
      </c>
      <c r="K409" s="24" t="s">
        <v>288</v>
      </c>
      <c r="L409" s="47">
        <f>L394+L402+L408</f>
        <v>31915.989999999998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21444</v>
      </c>
      <c r="L416" s="56">
        <f t="shared" si="27"/>
        <v>21444</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21444</v>
      </c>
      <c r="L420" s="47">
        <f t="shared" si="28"/>
        <v>21444</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21444</v>
      </c>
      <c r="L435" s="47">
        <f t="shared" si="32"/>
        <v>21444</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230556.75</v>
      </c>
      <c r="G441" s="18">
        <v>192792.9</v>
      </c>
      <c r="H441" s="18"/>
      <c r="I441" s="56">
        <f t="shared" si="33"/>
        <v>423349.65</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5693.75</v>
      </c>
      <c r="H442" s="18"/>
      <c r="I442" s="56">
        <f t="shared" si="33"/>
        <v>5693.75</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230556.75</v>
      </c>
      <c r="G447" s="13">
        <f>SUM(G440:G446)</f>
        <v>198486.65</v>
      </c>
      <c r="H447" s="13">
        <f>SUM(H440:H446)</f>
        <v>0</v>
      </c>
      <c r="I447" s="13">
        <f>SUM(I440:I446)</f>
        <v>429043.4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21444</v>
      </c>
      <c r="G450" s="18"/>
      <c r="H450" s="18"/>
      <c r="I450" s="56">
        <f>SUM(F450:H450)</f>
        <v>21444</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21444</v>
      </c>
      <c r="G453" s="72">
        <f>SUM(G449:G452)</f>
        <v>0</v>
      </c>
      <c r="H453" s="72">
        <f>SUM(H449:H452)</f>
        <v>0</v>
      </c>
      <c r="I453" s="72">
        <f>SUM(I449:I452)</f>
        <v>21444</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209112.75</v>
      </c>
      <c r="G460" s="18">
        <v>198486.65</v>
      </c>
      <c r="H460" s="18"/>
      <c r="I460" s="56">
        <f t="shared" si="34"/>
        <v>407599.4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209112.75</v>
      </c>
      <c r="G461" s="83">
        <f>SUM(G455:G460)</f>
        <v>198486.65</v>
      </c>
      <c r="H461" s="83">
        <f>SUM(H455:H460)</f>
        <v>0</v>
      </c>
      <c r="I461" s="83">
        <f>SUM(I455:I460)</f>
        <v>407599.4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230556.75</v>
      </c>
      <c r="G462" s="42">
        <f>G453+G461</f>
        <v>198486.65</v>
      </c>
      <c r="H462" s="42">
        <f>H453+H461</f>
        <v>0</v>
      </c>
      <c r="I462" s="42">
        <f>I453+I461</f>
        <v>429043.4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70049.179999999993</v>
      </c>
      <c r="G466" s="18">
        <v>570</v>
      </c>
      <c r="H466" s="18">
        <v>0</v>
      </c>
      <c r="I466" s="18"/>
      <c r="J466" s="18">
        <v>397127.41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3489624.32</v>
      </c>
      <c r="G469" s="18">
        <v>82512.02</v>
      </c>
      <c r="H469" s="18">
        <v>109084.56</v>
      </c>
      <c r="I469" s="18"/>
      <c r="J469" s="18">
        <v>31915.99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3489624.32</v>
      </c>
      <c r="G471" s="53">
        <f>SUM(G469:G470)</f>
        <v>82512.02</v>
      </c>
      <c r="H471" s="53">
        <f>SUM(H469:H470)</f>
        <v>109084.56</v>
      </c>
      <c r="I471" s="53">
        <f>SUM(I469:I470)</f>
        <v>0</v>
      </c>
      <c r="J471" s="53">
        <f>SUM(J469:J470)</f>
        <v>31915.99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3432950.95</v>
      </c>
      <c r="G473" s="18">
        <v>75948.47</v>
      </c>
      <c r="H473" s="18">
        <v>109084.56</v>
      </c>
      <c r="I473" s="18"/>
      <c r="J473" s="18">
        <v>21444</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3432950.95</v>
      </c>
      <c r="G475" s="53">
        <f>SUM(G473:G474)</f>
        <v>75948.47</v>
      </c>
      <c r="H475" s="53">
        <f>SUM(H473:H474)</f>
        <v>109084.56</v>
      </c>
      <c r="I475" s="53">
        <f>SUM(I473:I474)</f>
        <v>0</v>
      </c>
      <c r="J475" s="53">
        <f>SUM(J473:J474)</f>
        <v>21444</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126722.54999999981</v>
      </c>
      <c r="G477" s="53">
        <f>(G466+G471)- G475</f>
        <v>7133.5500000000029</v>
      </c>
      <c r="H477" s="53">
        <f>(H466+H471)- H475</f>
        <v>0</v>
      </c>
      <c r="I477" s="53">
        <f>(I466+I471)- I475</f>
        <v>0</v>
      </c>
      <c r="J477" s="53">
        <f>(J466+J471)- J475</f>
        <v>407599.39999999997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495000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0.02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396000</v>
      </c>
      <c r="G496" s="18"/>
      <c r="H496" s="18"/>
      <c r="I496" s="18"/>
      <c r="J496" s="18"/>
      <c r="K496" s="53">
        <f>SUM(F496:J496)</f>
        <v>396000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99000</v>
      </c>
      <c r="G498" s="18"/>
      <c r="H498" s="18"/>
      <c r="I498" s="18"/>
      <c r="J498" s="18"/>
      <c r="K498" s="53">
        <f t="shared" si="35"/>
        <v>99000</v>
      </c>
      <c r="L498" s="24" t="s">
        <v>288</v>
      </c>
      <c r="N498" s="265"/>
    </row>
    <row r="499" spans="1:14" s="52" customFormat="1" ht="12.2" customHeight="1" x14ac:dyDescent="0.2">
      <c r="A499" s="200" t="s">
        <v>622</v>
      </c>
      <c r="B499" s="201">
        <v>20</v>
      </c>
      <c r="C499" s="202">
        <v>9</v>
      </c>
      <c r="D499" s="203" t="s">
        <v>432</v>
      </c>
      <c r="E499" s="202"/>
      <c r="F499" s="204">
        <f>F496-F498</f>
        <v>297000</v>
      </c>
      <c r="G499" s="204"/>
      <c r="H499" s="204"/>
      <c r="I499" s="204"/>
      <c r="J499" s="204"/>
      <c r="K499" s="205">
        <f t="shared" si="35"/>
        <v>297000</v>
      </c>
      <c r="L499" s="206" t="s">
        <v>288</v>
      </c>
      <c r="N499" s="265"/>
    </row>
    <row r="500" spans="1:14" s="52" customFormat="1" ht="12.2" customHeight="1" thickBot="1" x14ac:dyDescent="0.25">
      <c r="A500" s="22" t="s">
        <v>623</v>
      </c>
      <c r="B500" s="75">
        <v>20</v>
      </c>
      <c r="C500" s="115">
        <v>10</v>
      </c>
      <c r="D500" s="2" t="s">
        <v>432</v>
      </c>
      <c r="E500" s="115"/>
      <c r="F500" s="18">
        <v>8910</v>
      </c>
      <c r="G500" s="18"/>
      <c r="H500" s="18"/>
      <c r="I500" s="18"/>
      <c r="J500" s="18"/>
      <c r="K500" s="53">
        <f t="shared" si="35"/>
        <v>8910</v>
      </c>
      <c r="L500" s="24" t="s">
        <v>288</v>
      </c>
      <c r="N500" s="265"/>
    </row>
    <row r="501" spans="1:14" s="52" customFormat="1" ht="12.2" customHeight="1" thickTop="1" x14ac:dyDescent="0.2">
      <c r="A501" s="139" t="s">
        <v>624</v>
      </c>
      <c r="B501" s="44">
        <v>20</v>
      </c>
      <c r="C501" s="195">
        <v>11</v>
      </c>
      <c r="D501" s="39" t="s">
        <v>432</v>
      </c>
      <c r="E501" s="195"/>
      <c r="F501" s="42">
        <f>SUM(F499:F500)</f>
        <v>305910</v>
      </c>
      <c r="G501" s="42">
        <f>SUM(G499:G500)</f>
        <v>0</v>
      </c>
      <c r="H501" s="42">
        <f>SUM(H499:H500)</f>
        <v>0</v>
      </c>
      <c r="I501" s="42">
        <f>SUM(I499:I500)</f>
        <v>0</v>
      </c>
      <c r="J501" s="42">
        <f>SUM(J499:J500)</f>
        <v>0</v>
      </c>
      <c r="K501" s="42">
        <f t="shared" si="35"/>
        <v>305910</v>
      </c>
      <c r="L501" s="45" t="s">
        <v>288</v>
      </c>
      <c r="N501" s="265"/>
    </row>
    <row r="502" spans="1:14" s="52" customFormat="1" ht="12.2" customHeight="1" x14ac:dyDescent="0.2">
      <c r="A502" s="200" t="s">
        <v>651</v>
      </c>
      <c r="B502" s="201">
        <v>20</v>
      </c>
      <c r="C502" s="202">
        <v>12</v>
      </c>
      <c r="D502" s="203" t="s">
        <v>432</v>
      </c>
      <c r="E502" s="202"/>
      <c r="F502" s="204">
        <v>99000</v>
      </c>
      <c r="G502" s="204"/>
      <c r="H502" s="204"/>
      <c r="I502" s="204"/>
      <c r="J502" s="204"/>
      <c r="K502" s="205">
        <f t="shared" si="35"/>
        <v>99000</v>
      </c>
      <c r="L502" s="206" t="s">
        <v>288</v>
      </c>
      <c r="N502" s="265"/>
    </row>
    <row r="503" spans="1:14" s="52" customFormat="1" ht="12.2" customHeight="1" thickBot="1" x14ac:dyDescent="0.25">
      <c r="A503" s="22" t="s">
        <v>625</v>
      </c>
      <c r="B503" s="75">
        <v>20</v>
      </c>
      <c r="C503" s="115">
        <v>13</v>
      </c>
      <c r="D503" s="2" t="s">
        <v>432</v>
      </c>
      <c r="E503" s="115"/>
      <c r="F503" s="18">
        <v>4950</v>
      </c>
      <c r="G503" s="18"/>
      <c r="H503" s="18"/>
      <c r="I503" s="18"/>
      <c r="J503" s="18"/>
      <c r="K503" s="53">
        <f t="shared" si="35"/>
        <v>4950</v>
      </c>
      <c r="L503" s="24" t="s">
        <v>288</v>
      </c>
      <c r="N503" s="265"/>
    </row>
    <row r="504" spans="1:14" s="52" customFormat="1" ht="12.2" customHeight="1" thickTop="1" x14ac:dyDescent="0.2">
      <c r="A504" s="139" t="s">
        <v>626</v>
      </c>
      <c r="B504" s="44">
        <v>20</v>
      </c>
      <c r="C504" s="195">
        <v>14</v>
      </c>
      <c r="D504" s="39" t="s">
        <v>432</v>
      </c>
      <c r="E504" s="195"/>
      <c r="F504" s="42">
        <f>SUM(F502:F503)</f>
        <v>103950</v>
      </c>
      <c r="G504" s="42">
        <f>SUM(G502:G503)</f>
        <v>0</v>
      </c>
      <c r="H504" s="42">
        <f>SUM(H502:H503)</f>
        <v>0</v>
      </c>
      <c r="I504" s="42">
        <f>SUM(I502:I503)</f>
        <v>0</v>
      </c>
      <c r="J504" s="42">
        <f>SUM(J502:J503)</f>
        <v>0</v>
      </c>
      <c r="K504" s="42">
        <f t="shared" si="35"/>
        <v>103950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12778</v>
      </c>
      <c r="G508" s="144"/>
      <c r="H508" s="144">
        <v>3728</v>
      </c>
      <c r="I508" s="144">
        <v>9050</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v>33000</v>
      </c>
      <c r="G512" s="24" t="s">
        <v>288</v>
      </c>
      <c r="H512" s="18">
        <v>33000</v>
      </c>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v>3476572</v>
      </c>
      <c r="G514" s="24" t="s">
        <v>288</v>
      </c>
      <c r="H514" s="18">
        <v>3401941</v>
      </c>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v>34747</v>
      </c>
      <c r="G515" s="24" t="s">
        <v>288</v>
      </c>
      <c r="H515" s="18">
        <v>28382</v>
      </c>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3544319</v>
      </c>
      <c r="G518" s="42">
        <f>SUM(G512:G517)</f>
        <v>0</v>
      </c>
      <c r="H518" s="42">
        <f>SUM(H512:H517)</f>
        <v>3463323</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154617.24</v>
      </c>
      <c r="G522" s="18">
        <v>18686.22</v>
      </c>
      <c r="H522" s="18">
        <v>34231</v>
      </c>
      <c r="I522" s="18">
        <v>2440.89</v>
      </c>
      <c r="J522" s="18"/>
      <c r="K522" s="18"/>
      <c r="L522" s="88">
        <f>SUM(F522:K522)</f>
        <v>209975.35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90384.54</v>
      </c>
      <c r="I524" s="18"/>
      <c r="J524" s="18"/>
      <c r="K524" s="18"/>
      <c r="L524" s="88">
        <f>SUM(F524:K524)</f>
        <v>90384.54</v>
      </c>
      <c r="N524" s="265"/>
    </row>
    <row r="525" spans="1:14" s="52" customFormat="1" ht="12.2" customHeight="1" thickTop="1" x14ac:dyDescent="0.2">
      <c r="A525" s="139" t="s">
        <v>63</v>
      </c>
      <c r="B525" s="107">
        <v>21</v>
      </c>
      <c r="C525" s="195">
        <v>4</v>
      </c>
      <c r="D525" s="196" t="s">
        <v>432</v>
      </c>
      <c r="E525" s="195"/>
      <c r="F525" s="108">
        <f>SUM(F522:F524)</f>
        <v>154617.24</v>
      </c>
      <c r="G525" s="108">
        <f t="shared" ref="G525:L525" si="36">SUM(G522:G524)</f>
        <v>18686.22</v>
      </c>
      <c r="H525" s="108">
        <f t="shared" si="36"/>
        <v>124615.54</v>
      </c>
      <c r="I525" s="108">
        <f t="shared" si="36"/>
        <v>2440.89</v>
      </c>
      <c r="J525" s="108">
        <f t="shared" si="36"/>
        <v>0</v>
      </c>
      <c r="K525" s="108">
        <f t="shared" si="36"/>
        <v>0</v>
      </c>
      <c r="L525" s="89">
        <f t="shared" si="36"/>
        <v>300359.89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31887</v>
      </c>
      <c r="G527" s="18">
        <v>2484.42</v>
      </c>
      <c r="H527" s="18">
        <v>96075.89</v>
      </c>
      <c r="I527" s="18"/>
      <c r="J527" s="18"/>
      <c r="K527" s="18"/>
      <c r="L527" s="88">
        <f>SUM(F527:K527)</f>
        <v>130447.31</v>
      </c>
      <c r="M527" s="8"/>
      <c r="N527" s="266"/>
    </row>
    <row r="528" spans="1:14" s="3" customFormat="1" ht="12.2" customHeight="1" x14ac:dyDescent="0.15">
      <c r="A528" s="22" t="s">
        <v>634</v>
      </c>
      <c r="B528" s="105">
        <v>21</v>
      </c>
      <c r="C528" s="115">
        <v>6</v>
      </c>
      <c r="D528" s="2" t="s">
        <v>432</v>
      </c>
      <c r="E528" s="115"/>
      <c r="F528" s="18"/>
      <c r="G528" s="18"/>
      <c r="H528" s="18">
        <v>3145.11</v>
      </c>
      <c r="I528" s="18"/>
      <c r="J528" s="18"/>
      <c r="K528" s="18"/>
      <c r="L528" s="88">
        <f>SUM(F528:K528)</f>
        <v>3145.11</v>
      </c>
      <c r="M528" s="8"/>
      <c r="N528" s="266"/>
    </row>
    <row r="529" spans="1:14" s="3" customFormat="1" ht="12.2" customHeight="1" thickBot="1" x14ac:dyDescent="0.2">
      <c r="A529" s="22" t="s">
        <v>635</v>
      </c>
      <c r="B529" s="118">
        <v>21</v>
      </c>
      <c r="C529" s="118">
        <v>7</v>
      </c>
      <c r="D529" s="2" t="s">
        <v>432</v>
      </c>
      <c r="E529" s="118"/>
      <c r="F529" s="18"/>
      <c r="G529" s="18"/>
      <c r="H529" s="18">
        <v>3358.24</v>
      </c>
      <c r="I529" s="18"/>
      <c r="J529" s="18"/>
      <c r="K529" s="18"/>
      <c r="L529" s="88">
        <f>SUM(F529:K529)</f>
        <v>3358.24</v>
      </c>
      <c r="M529" s="8"/>
      <c r="N529" s="266"/>
    </row>
    <row r="530" spans="1:14" s="3" customFormat="1" ht="12.2" customHeight="1" thickTop="1" x14ac:dyDescent="0.15">
      <c r="A530" s="139" t="s">
        <v>65</v>
      </c>
      <c r="B530" s="107">
        <v>21</v>
      </c>
      <c r="C530" s="107">
        <v>8</v>
      </c>
      <c r="D530" s="158" t="s">
        <v>432</v>
      </c>
      <c r="E530" s="107"/>
      <c r="F530" s="89">
        <f>SUM(F527:F529)</f>
        <v>31887</v>
      </c>
      <c r="G530" s="89">
        <f t="shared" ref="G530:L530" si="37">SUM(G527:G529)</f>
        <v>2484.42</v>
      </c>
      <c r="H530" s="89">
        <f t="shared" si="37"/>
        <v>102579.24</v>
      </c>
      <c r="I530" s="89">
        <f t="shared" si="37"/>
        <v>0</v>
      </c>
      <c r="J530" s="89">
        <f t="shared" si="37"/>
        <v>0</v>
      </c>
      <c r="K530" s="89">
        <f t="shared" si="37"/>
        <v>0</v>
      </c>
      <c r="L530" s="89">
        <f t="shared" si="37"/>
        <v>136950.65999999997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12461.300312300667</v>
      </c>
      <c r="I532" s="18"/>
      <c r="J532" s="18"/>
      <c r="K532" s="18"/>
      <c r="L532" s="88">
        <f>SUM(F532:K532)</f>
        <v>12461.300312300667</v>
      </c>
      <c r="M532" s="8"/>
      <c r="N532" s="266"/>
    </row>
    <row r="533" spans="1:14" s="3" customFormat="1" ht="12.2" customHeight="1" x14ac:dyDescent="0.15">
      <c r="A533" s="22" t="s">
        <v>634</v>
      </c>
      <c r="B533" s="105">
        <v>21</v>
      </c>
      <c r="C533" s="105">
        <v>10</v>
      </c>
      <c r="D533" s="2" t="s">
        <v>432</v>
      </c>
      <c r="E533" s="105"/>
      <c r="F533" s="18"/>
      <c r="G533" s="18"/>
      <c r="H533" s="18">
        <v>2708.9783287610153</v>
      </c>
      <c r="I533" s="18"/>
      <c r="J533" s="18"/>
      <c r="K533" s="18"/>
      <c r="L533" s="88">
        <f>SUM(F533:K533)</f>
        <v>2708.9783287610153</v>
      </c>
      <c r="M533" s="8"/>
      <c r="N533" s="266"/>
    </row>
    <row r="534" spans="1:14" s="3" customFormat="1" ht="12.2" customHeight="1" thickBot="1" x14ac:dyDescent="0.2">
      <c r="A534" s="22" t="s">
        <v>635</v>
      </c>
      <c r="B534" s="105">
        <v>21</v>
      </c>
      <c r="C534" s="105">
        <v>11</v>
      </c>
      <c r="D534" s="2" t="s">
        <v>432</v>
      </c>
      <c r="E534" s="105"/>
      <c r="F534" s="18"/>
      <c r="G534" s="18"/>
      <c r="H534" s="18">
        <v>4334.3653260176234</v>
      </c>
      <c r="I534" s="18"/>
      <c r="J534" s="18"/>
      <c r="K534" s="18"/>
      <c r="L534" s="88">
        <f>SUM(F534:K534)</f>
        <v>4334.3653260176234</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19504.643967079304</v>
      </c>
      <c r="I535" s="89">
        <f t="shared" si="38"/>
        <v>0</v>
      </c>
      <c r="J535" s="89">
        <f t="shared" si="38"/>
        <v>0</v>
      </c>
      <c r="K535" s="89">
        <f t="shared" si="38"/>
        <v>0</v>
      </c>
      <c r="L535" s="89">
        <f t="shared" si="38"/>
        <v>19504.643967079304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26032.5</v>
      </c>
      <c r="I544" s="18"/>
      <c r="J544" s="18"/>
      <c r="K544" s="18"/>
      <c r="L544" s="88">
        <f>SUM(F544:K544)</f>
        <v>26032.5</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26032.5</v>
      </c>
      <c r="I545" s="193">
        <f t="shared" si="40"/>
        <v>0</v>
      </c>
      <c r="J545" s="193">
        <f t="shared" si="40"/>
        <v>0</v>
      </c>
      <c r="K545" s="193">
        <f t="shared" si="40"/>
        <v>0</v>
      </c>
      <c r="L545" s="193">
        <f t="shared" si="40"/>
        <v>26032.5</v>
      </c>
      <c r="M545" s="8"/>
      <c r="N545" s="266"/>
    </row>
    <row r="546" spans="1:14" s="3" customFormat="1" ht="12.2" customHeight="1" thickTop="1" x14ac:dyDescent="0.15">
      <c r="A546" s="98" t="s">
        <v>72</v>
      </c>
      <c r="B546" s="107">
        <v>21</v>
      </c>
      <c r="C546" s="107">
        <v>21</v>
      </c>
      <c r="D546" s="158" t="s">
        <v>432</v>
      </c>
      <c r="E546" s="107"/>
      <c r="F546" s="89">
        <f>F525+F530+F535+F540+F545</f>
        <v>186504.24</v>
      </c>
      <c r="G546" s="89">
        <f t="shared" ref="G546:L546" si="41">G525+G530+G535+G540+G545</f>
        <v>21170.639999999999</v>
      </c>
      <c r="H546" s="89">
        <f t="shared" si="41"/>
        <v>272731.92396707932</v>
      </c>
      <c r="I546" s="89">
        <f t="shared" si="41"/>
        <v>2440.89</v>
      </c>
      <c r="J546" s="89">
        <f t="shared" si="41"/>
        <v>0</v>
      </c>
      <c r="K546" s="89">
        <f t="shared" si="41"/>
        <v>0</v>
      </c>
      <c r="L546" s="89">
        <f t="shared" si="41"/>
        <v>482847.69396707928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209975.35</v>
      </c>
      <c r="G550" s="87">
        <f>L527</f>
        <v>130447.31</v>
      </c>
      <c r="H550" s="87">
        <f>L532</f>
        <v>12461.300312300667</v>
      </c>
      <c r="I550" s="87">
        <f>L537</f>
        <v>0</v>
      </c>
      <c r="J550" s="87">
        <f>L542</f>
        <v>0</v>
      </c>
      <c r="K550" s="87">
        <f>SUM(F550:J550)</f>
        <v>352883.96031230071</v>
      </c>
      <c r="L550" s="24" t="s">
        <v>288</v>
      </c>
      <c r="M550" s="8"/>
      <c r="N550" s="266"/>
    </row>
    <row r="551" spans="1:14" s="3" customFormat="1" ht="12.2" customHeight="1" x14ac:dyDescent="0.15">
      <c r="A551" s="22" t="s">
        <v>634</v>
      </c>
      <c r="B551" s="75">
        <v>21</v>
      </c>
      <c r="C551" s="75">
        <v>23</v>
      </c>
      <c r="D551" s="2" t="s">
        <v>432</v>
      </c>
      <c r="E551" s="75"/>
      <c r="F551" s="87">
        <f>L523</f>
        <v>0</v>
      </c>
      <c r="G551" s="87">
        <f>L528</f>
        <v>3145.11</v>
      </c>
      <c r="H551" s="87">
        <f>L533</f>
        <v>2708.9783287610153</v>
      </c>
      <c r="I551" s="87">
        <f>L538</f>
        <v>0</v>
      </c>
      <c r="J551" s="87">
        <f>L543</f>
        <v>0</v>
      </c>
      <c r="K551" s="87">
        <f>SUM(F551:J551)</f>
        <v>5854.0883287610159</v>
      </c>
      <c r="L551" s="24" t="s">
        <v>288</v>
      </c>
      <c r="M551" s="8"/>
      <c r="N551" s="266"/>
    </row>
    <row r="552" spans="1:14" s="3" customFormat="1" ht="12.2" customHeight="1" thickBot="1" x14ac:dyDescent="0.2">
      <c r="A552" s="22" t="s">
        <v>635</v>
      </c>
      <c r="B552" s="75">
        <v>21</v>
      </c>
      <c r="C552" s="75">
        <v>24</v>
      </c>
      <c r="D552" s="2" t="s">
        <v>432</v>
      </c>
      <c r="E552" s="75"/>
      <c r="F552" s="87">
        <f>L524</f>
        <v>90384.54</v>
      </c>
      <c r="G552" s="87">
        <f>L529</f>
        <v>3358.24</v>
      </c>
      <c r="H552" s="87">
        <f>L534</f>
        <v>4334.3653260176234</v>
      </c>
      <c r="I552" s="87">
        <f>L539</f>
        <v>0</v>
      </c>
      <c r="J552" s="87">
        <f>L544</f>
        <v>26032.5</v>
      </c>
      <c r="K552" s="87">
        <f>SUM(F552:J552)</f>
        <v>124109.64532601762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300359.89</v>
      </c>
      <c r="G553" s="89">
        <f t="shared" si="42"/>
        <v>136950.65999999997</v>
      </c>
      <c r="H553" s="89">
        <f t="shared" si="42"/>
        <v>19504.643967079304</v>
      </c>
      <c r="I553" s="89">
        <f t="shared" si="42"/>
        <v>0</v>
      </c>
      <c r="J553" s="89">
        <f t="shared" si="42"/>
        <v>26032.5</v>
      </c>
      <c r="K553" s="89">
        <f t="shared" si="42"/>
        <v>482847.69396707934</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341693.13</v>
      </c>
      <c r="H576" s="18">
        <v>1076941.3</v>
      </c>
      <c r="I576" s="87">
        <f>SUM(F576:H576)</f>
        <v>1418634.4300000002</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36291.599999999999</v>
      </c>
      <c r="I583" s="87">
        <f t="shared" si="47"/>
        <v>36291.599999999999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116637.34</v>
      </c>
      <c r="I592" s="18">
        <v>23532.880000000001</v>
      </c>
      <c r="J592" s="18">
        <v>64592.62</v>
      </c>
      <c r="K592" s="104">
        <f t="shared" ref="K592:K598" si="48">SUM(H592:J592)</f>
        <v>204762.84</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26032.5</v>
      </c>
      <c r="K593" s="104">
        <f t="shared" si="48"/>
        <v>26032.5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116637.34</v>
      </c>
      <c r="I599" s="108">
        <f>SUM(I592:I598)</f>
        <v>23532.880000000001</v>
      </c>
      <c r="J599" s="108">
        <f>SUM(J592:J598)</f>
        <v>90625.12</v>
      </c>
      <c r="K599" s="108">
        <f>SUM(K592:K598)</f>
        <v>230795.34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28253.1</v>
      </c>
      <c r="I605" s="18"/>
      <c r="J605" s="18"/>
      <c r="K605" s="104">
        <f>SUM(H605:J605)</f>
        <v>28253.1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28253.1</v>
      </c>
      <c r="I606" s="108">
        <f>SUM(I603:I605)</f>
        <v>0</v>
      </c>
      <c r="J606" s="108">
        <f>SUM(J603:J605)</f>
        <v>0</v>
      </c>
      <c r="K606" s="108">
        <f>SUM(K603:K605)</f>
        <v>28253.1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7190.77</v>
      </c>
      <c r="G612" s="18">
        <v>1109.0699999999997</v>
      </c>
      <c r="H612" s="18">
        <v>0</v>
      </c>
      <c r="I612" s="18">
        <v>4646.3999999999996</v>
      </c>
      <c r="J612" s="18">
        <v>0</v>
      </c>
      <c r="K612" s="18">
        <v>0</v>
      </c>
      <c r="L612" s="88">
        <f>SUM(F612:K612)</f>
        <v>12946.24</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7190.77</v>
      </c>
      <c r="G615" s="108">
        <f t="shared" si="49"/>
        <v>1109.0699999999997</v>
      </c>
      <c r="H615" s="108">
        <f t="shared" si="49"/>
        <v>0</v>
      </c>
      <c r="I615" s="108">
        <f t="shared" si="49"/>
        <v>4646.3999999999996</v>
      </c>
      <c r="J615" s="108">
        <f t="shared" si="49"/>
        <v>0</v>
      </c>
      <c r="K615" s="108">
        <f t="shared" si="49"/>
        <v>0</v>
      </c>
      <c r="L615" s="89">
        <f t="shared" si="49"/>
        <v>12946.24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405791.61</v>
      </c>
      <c r="H618" s="109">
        <f>SUM(F52)</f>
        <v>405791.61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39433.64</v>
      </c>
      <c r="H619" s="109">
        <f>SUM(G52)</f>
        <v>39433.64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55957.73</v>
      </c>
      <c r="H620" s="109">
        <f>SUM(H52)</f>
        <v>55957.729999999996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429043.4</v>
      </c>
      <c r="H622" s="109">
        <f>SUM(J52)</f>
        <v>429043.4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126722.55</v>
      </c>
      <c r="H623" s="109">
        <f>F477</f>
        <v>126722.54999999981</v>
      </c>
      <c r="I623" s="121" t="s">
        <v>101</v>
      </c>
      <c r="J623" s="109">
        <f t="shared" ref="J623:J656" si="50">G623-H623</f>
        <v>1.8917489796876907E-10</v>
      </c>
      <c r="K623" s="109"/>
      <c r="L623" s="109"/>
      <c r="M623" s="8"/>
    </row>
    <row r="624" spans="1:14" s="3" customFormat="1" ht="12.2" customHeight="1" x14ac:dyDescent="0.15">
      <c r="A624" s="97"/>
      <c r="B624" s="105"/>
      <c r="C624" s="119"/>
      <c r="D624" s="119"/>
      <c r="E624" s="119"/>
      <c r="F624" s="119" t="s">
        <v>866</v>
      </c>
      <c r="G624" s="109">
        <f>G51</f>
        <v>7133.55</v>
      </c>
      <c r="H624" s="109">
        <f>G477</f>
        <v>7133.5500000000029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407599.4</v>
      </c>
      <c r="H627" s="109">
        <f>J477</f>
        <v>407599.39999999997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3489624.32</v>
      </c>
      <c r="H628" s="104">
        <f>SUM(F469)</f>
        <v>3489624.32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82512.02</v>
      </c>
      <c r="H629" s="104">
        <f>SUM(G469)</f>
        <v>82512.02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109084.56</v>
      </c>
      <c r="H630" s="104">
        <f>SUM(H469)</f>
        <v>109084.56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31915.989999999998</v>
      </c>
      <c r="H632" s="104">
        <f>SUM(J469)</f>
        <v>31915.99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3432950.95</v>
      </c>
      <c r="H633" s="104">
        <f>SUM(F473)</f>
        <v>3432950.95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109084.56000000001</v>
      </c>
      <c r="H634" s="104">
        <f>SUM(H473)</f>
        <v>109084.56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5030.3100000000004</v>
      </c>
      <c r="H635" s="104">
        <f>I370</f>
        <v>5030.3100000000004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75948.47</v>
      </c>
      <c r="H636" s="104">
        <f>SUM(G473)</f>
        <v>75948.47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31915.989999999998</v>
      </c>
      <c r="H638" s="164">
        <f>SUM(J469)</f>
        <v>31915.99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21444</v>
      </c>
      <c r="H639" s="164">
        <f>SUM(J473)</f>
        <v>21444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230556.75</v>
      </c>
      <c r="H640" s="104">
        <f>SUM(F462)</f>
        <v>230556.75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198486.65</v>
      </c>
      <c r="H641" s="104">
        <f>SUM(G462)</f>
        <v>198486.65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429043.4</v>
      </c>
      <c r="H643" s="104">
        <f>SUM(I462)</f>
        <v>429043.4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6190.99</v>
      </c>
      <c r="H645" s="104">
        <f>H409</f>
        <v>6190.99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31915.989999999998</v>
      </c>
      <c r="H647" s="104">
        <f>L409</f>
        <v>31915.989999999998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230795.34</v>
      </c>
      <c r="H648" s="104">
        <f>L209+L227+L245</f>
        <v>230795.34000000003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28253.1</v>
      </c>
      <c r="H649" s="104">
        <f>(J258+J339)-(J256+J337)</f>
        <v>28253.1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116637.34338240106</v>
      </c>
      <c r="H650" s="104">
        <f>H599</f>
        <v>116637.34</v>
      </c>
      <c r="I650" s="140" t="s">
        <v>388</v>
      </c>
      <c r="J650" s="109">
        <f t="shared" si="50"/>
        <v>3.3824010606622323E-3</v>
      </c>
      <c r="K650" s="85"/>
      <c r="L650" s="88"/>
      <c r="M650" s="8"/>
    </row>
    <row r="651" spans="1:13" s="3" customFormat="1" ht="12.2" customHeight="1" x14ac:dyDescent="0.15">
      <c r="A651" s="22"/>
      <c r="B651" s="105"/>
      <c r="C651" s="105"/>
      <c r="D651" s="105"/>
      <c r="E651" s="105"/>
      <c r="F651" s="120" t="s">
        <v>392</v>
      </c>
      <c r="G651" s="109">
        <f>L227</f>
        <v>23532.879005561004</v>
      </c>
      <c r="H651" s="104">
        <f>I599</f>
        <v>23532.880000000001</v>
      </c>
      <c r="I651" s="140" t="s">
        <v>389</v>
      </c>
      <c r="J651" s="109">
        <f t="shared" si="50"/>
        <v>-9.9443899671314284E-4</v>
      </c>
      <c r="K651" s="85"/>
      <c r="L651" s="88"/>
      <c r="M651" s="8"/>
    </row>
    <row r="652" spans="1:13" s="3" customFormat="1" ht="12.2" customHeight="1" x14ac:dyDescent="0.15">
      <c r="A652" s="22"/>
      <c r="B652" s="105"/>
      <c r="C652" s="105"/>
      <c r="D652" s="105"/>
      <c r="E652" s="105"/>
      <c r="F652" s="120" t="s">
        <v>393</v>
      </c>
      <c r="G652" s="109">
        <f>L245</f>
        <v>90625.117612037939</v>
      </c>
      <c r="H652" s="104">
        <f>J599</f>
        <v>90625.12</v>
      </c>
      <c r="I652" s="140" t="s">
        <v>390</v>
      </c>
      <c r="J652" s="109">
        <f t="shared" si="50"/>
        <v>-2.3879620566731319E-3</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1769459.1570917643</v>
      </c>
      <c r="G661" s="19">
        <f>(L230+L310+L360)</f>
        <v>385210.15527876373</v>
      </c>
      <c r="H661" s="19">
        <f>(L248+L329+L361)</f>
        <v>1307528.6776294722</v>
      </c>
      <c r="I661" s="19">
        <f>SUM(F661:H661)</f>
        <v>3462197.99</v>
      </c>
      <c r="J661" s="13"/>
      <c r="K661" s="13"/>
      <c r="L661" s="13"/>
      <c r="M661" s="9"/>
    </row>
    <row r="662" spans="1:13" s="3" customFormat="1" ht="12.2" customHeight="1" x14ac:dyDescent="0.2">
      <c r="A662" s="1" t="s">
        <v>127</v>
      </c>
      <c r="F662" s="19">
        <f>(L359/IF(SUM(L359:L361)=0,1,SUM(L359:L361))*(SUM(G97:G110)))</f>
        <v>16808.099999999999</v>
      </c>
      <c r="G662" s="19">
        <f>(L360/IF(SUM(L359:L361)=0,1,SUM(L359:L361))*(SUM(G97:G110)))</f>
        <v>0</v>
      </c>
      <c r="H662" s="19">
        <f>(L361/IF(SUM(L359:L361)=0,1,SUM(L359:L361))*(SUM(G97:G110)))</f>
        <v>0</v>
      </c>
      <c r="I662" s="19">
        <f>SUM(F662:H662)</f>
        <v>16808.099999999999</v>
      </c>
      <c r="J662"/>
      <c r="K662" s="13"/>
      <c r="L662" s="13"/>
      <c r="M662" s="8"/>
    </row>
    <row r="663" spans="1:13" s="3" customFormat="1" ht="12.2" customHeight="1" x14ac:dyDescent="0.2">
      <c r="A663" s="1" t="s">
        <v>128</v>
      </c>
      <c r="F663" s="19">
        <f>(L209+L288)-(J209+J288)</f>
        <v>116637.34338240106</v>
      </c>
      <c r="G663" s="19">
        <f>(L227+L307)-(J227+J307)</f>
        <v>23532.879005561004</v>
      </c>
      <c r="H663" s="19">
        <f>(L245+L326)-(J245+J326)</f>
        <v>90625.117612037939</v>
      </c>
      <c r="I663" s="19">
        <f>SUM(F663:H663)</f>
        <v>230795.34000000003</v>
      </c>
      <c r="J663"/>
      <c r="K663" s="13"/>
      <c r="L663" s="13"/>
      <c r="M663" s="9"/>
    </row>
    <row r="664" spans="1:13" s="3" customFormat="1" ht="12.2" customHeight="1" x14ac:dyDescent="0.15">
      <c r="A664" s="198" t="s">
        <v>129</v>
      </c>
      <c r="B664" s="169"/>
      <c r="C664" s="169"/>
      <c r="D664" s="169"/>
      <c r="E664" s="169"/>
      <c r="F664" s="199">
        <f>SUM(F576:F588)+SUM(H603:H605)+SUM(L612)</f>
        <v>41199.339999999997</v>
      </c>
      <c r="G664" s="199">
        <f>SUM(G576:G588)+SUM(I603:I605)+L613</f>
        <v>341693.13</v>
      </c>
      <c r="H664" s="199">
        <f>SUM(H576:H588)+SUM(J603:J605)+L614</f>
        <v>1113232.9000000001</v>
      </c>
      <c r="I664" s="19">
        <f>SUM(F664:H664)</f>
        <v>1496125.37</v>
      </c>
      <c r="J664" s="13"/>
      <c r="K664" s="13"/>
      <c r="L664" s="13"/>
      <c r="M664" s="9"/>
    </row>
    <row r="665" spans="1:13" s="3" customFormat="1" ht="12.2" customHeight="1" x14ac:dyDescent="0.15">
      <c r="A665" s="1" t="s">
        <v>130</v>
      </c>
      <c r="F665" s="19">
        <f>F661-SUM(F662:F664)</f>
        <v>1594814.3737093632</v>
      </c>
      <c r="G665" s="19">
        <f>G661-SUM(G662:G664)</f>
        <v>19984.146273202728</v>
      </c>
      <c r="H665" s="19">
        <f>H661-SUM(H662:H664)</f>
        <v>103670.66001743404</v>
      </c>
      <c r="I665" s="19">
        <f>I661-SUM(I662:I664)</f>
        <v>1718469.1800000002</v>
      </c>
      <c r="J665" s="13"/>
      <c r="K665" s="13"/>
      <c r="L665" s="13"/>
      <c r="M665" s="8"/>
    </row>
    <row r="666" spans="1:13" s="3" customFormat="1" ht="12.2" customHeight="1" x14ac:dyDescent="0.2">
      <c r="A666" s="1" t="s">
        <v>131</v>
      </c>
      <c r="F666" s="246">
        <v>116.08</v>
      </c>
      <c r="G666" s="247"/>
      <c r="H666" s="247"/>
      <c r="I666" s="19">
        <f>SUM(F666:H666)</f>
        <v>116.08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13738.92</v>
      </c>
      <c r="G668" s="19" t="e">
        <f>ROUND(G665/G666,2)</f>
        <v>#DIV/0!</v>
      </c>
      <c r="H668" s="19" t="e">
        <f>ROUND(H665/H666,2)</f>
        <v>#DIV/0!</v>
      </c>
      <c r="I668" s="19">
        <f>ROUND(I665/I666,2)</f>
        <v>14804.18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-19984.150000000001</v>
      </c>
      <c r="H670" s="18">
        <v>-103670.66</v>
      </c>
      <c r="I670" s="19">
        <f>SUM(F670:H670)</f>
        <v>-123654.81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13738.92</v>
      </c>
      <c r="G673" s="19" t="e">
        <f>ROUND((G665+G670)/(G666+G671),2)</f>
        <v>#DIV/0!</v>
      </c>
      <c r="H673" s="19" t="e">
        <f>ROUND((H665+H670)/(H666+H671),2)</f>
        <v>#DIV/0!</v>
      </c>
      <c r="I673" s="19">
        <f>ROUND((I665+I670)/(I666+I671),2)</f>
        <v>13738.92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9"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Milan</v>
      </c>
      <c r="C5" s="344"/>
      <c r="D5" s="344"/>
      <c r="E5" s="344"/>
      <c r="F5" s="344"/>
    </row>
    <row r="8" spans="1:9" ht="18" x14ac:dyDescent="0.25">
      <c r="A8" s="323" t="s">
        <v>1591</v>
      </c>
      <c r="F8" s="330" t="s">
        <v>1609</v>
      </c>
    </row>
    <row r="9" spans="1:9" ht="15" x14ac:dyDescent="0.2">
      <c r="A9" s="321" t="s">
        <v>1592</v>
      </c>
      <c r="B9" s="324">
        <f>'DOE25'!G97</f>
        <v>16661.099999999999</v>
      </c>
      <c r="F9" s="321" t="s">
        <v>1605</v>
      </c>
    </row>
    <row r="10" spans="1:9" ht="15" x14ac:dyDescent="0.2">
      <c r="A10" s="321" t="s">
        <v>1593</v>
      </c>
      <c r="B10" s="324">
        <f>'DOE25'!G112-'DOE25'!G97</f>
        <v>147</v>
      </c>
      <c r="F10" s="321" t="s">
        <v>1606</v>
      </c>
    </row>
    <row r="11" spans="1:9" ht="15" x14ac:dyDescent="0.2">
      <c r="A11" s="321" t="s">
        <v>1594</v>
      </c>
      <c r="B11" s="324">
        <f>'DOE25'!G140</f>
        <v>1129.45</v>
      </c>
      <c r="F11" s="321" t="s">
        <v>1607</v>
      </c>
    </row>
    <row r="12" spans="1:9" ht="15" x14ac:dyDescent="0.2">
      <c r="A12" s="321" t="s">
        <v>1595</v>
      </c>
      <c r="B12" s="324">
        <f>'DOE25'!G170</f>
        <v>64574.47</v>
      </c>
      <c r="F12" s="321" t="s">
        <v>1608</v>
      </c>
    </row>
    <row r="13" spans="1:9" ht="15" x14ac:dyDescent="0.2">
      <c r="A13" s="321" t="s">
        <v>1596</v>
      </c>
      <c r="B13" s="324">
        <f>'DOE25'!G193-'DOE25'!G180</f>
        <v>0</v>
      </c>
      <c r="F13" s="321" t="s">
        <v>1618</v>
      </c>
    </row>
    <row r="14" spans="1:9" ht="18" x14ac:dyDescent="0.25">
      <c r="A14" s="323" t="s">
        <v>732</v>
      </c>
      <c r="B14" s="325">
        <f>SUM(B9:B13)</f>
        <v>82512.02</v>
      </c>
    </row>
    <row r="16" spans="1:9" ht="18" x14ac:dyDescent="0.25">
      <c r="A16" s="323" t="s">
        <v>786</v>
      </c>
      <c r="F16" s="330" t="s">
        <v>1610</v>
      </c>
    </row>
    <row r="17" spans="1:6" ht="15" x14ac:dyDescent="0.2">
      <c r="A17" s="321" t="s">
        <v>1597</v>
      </c>
      <c r="B17" s="324">
        <f>'DOE25'!L363-'DOE25'!L362</f>
        <v>75948.47</v>
      </c>
      <c r="F17" s="321" t="s">
        <v>1611</v>
      </c>
    </row>
    <row r="18" spans="1:6" ht="15" x14ac:dyDescent="0.2">
      <c r="A18" s="321" t="s">
        <v>1598</v>
      </c>
      <c r="B18" s="338"/>
      <c r="F18" s="330" t="s">
        <v>1637</v>
      </c>
    </row>
    <row r="19" spans="1:6" ht="18" x14ac:dyDescent="0.25">
      <c r="A19" s="323" t="s">
        <v>725</v>
      </c>
      <c r="B19" s="325">
        <f>SUM(B17:B18)</f>
        <v>75948.47</v>
      </c>
    </row>
    <row r="21" spans="1:6" ht="18.75" thickBot="1" x14ac:dyDescent="0.3">
      <c r="A21" s="323" t="s">
        <v>1599</v>
      </c>
    </row>
    <row r="22" spans="1:6" ht="18.75" thickTop="1" x14ac:dyDescent="0.25">
      <c r="A22" s="323" t="s">
        <v>1600</v>
      </c>
      <c r="B22" s="329">
        <f>B14-B19</f>
        <v>6563.5500000000029</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570</v>
      </c>
      <c r="F31" s="321" t="s">
        <v>1615</v>
      </c>
    </row>
    <row r="33" spans="1:6" ht="15" x14ac:dyDescent="0.2">
      <c r="A33" s="321" t="s">
        <v>1641</v>
      </c>
      <c r="B33" s="324">
        <f>'DOE25'!G477</f>
        <v>7133.5500000000029</v>
      </c>
      <c r="F33" s="321" t="s">
        <v>1616</v>
      </c>
    </row>
    <row r="36" spans="1:6" ht="15" x14ac:dyDescent="0.2">
      <c r="A36" s="321" t="s">
        <v>1602</v>
      </c>
      <c r="B36" s="339">
        <v>4015.27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B15" sqref="B15:C1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Milan</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392500.73</v>
      </c>
      <c r="C9" s="229">
        <f>'DOE25'!G198+'DOE25'!G216+'DOE25'!G234+'DOE25'!G277+'DOE25'!G296+'DOE25'!G315</f>
        <v>197193.08</v>
      </c>
    </row>
    <row r="10" spans="1:3" x14ac:dyDescent="0.2">
      <c r="A10" t="s">
        <v>775</v>
      </c>
      <c r="B10" s="240">
        <v>382699.94</v>
      </c>
      <c r="C10" s="240">
        <v>194977.48308241848</v>
      </c>
    </row>
    <row r="11" spans="1:3" x14ac:dyDescent="0.2">
      <c r="A11" t="s">
        <v>776</v>
      </c>
      <c r="B11" s="240">
        <v>5024.42</v>
      </c>
      <c r="C11" s="240">
        <v>756.80629055704981</v>
      </c>
    </row>
    <row r="12" spans="1:3" x14ac:dyDescent="0.2">
      <c r="A12" t="s">
        <v>777</v>
      </c>
      <c r="B12" s="240">
        <v>4776.37</v>
      </c>
      <c r="C12" s="240">
        <v>1458.7906270244835</v>
      </c>
    </row>
    <row r="13" spans="1:3" x14ac:dyDescent="0.2">
      <c r="A13" t="str">
        <f>IF(B9=B13,IF(C9=C13,"Check Total OK","Check Total Error"),"Check Total Error")</f>
        <v>Check Total OK</v>
      </c>
      <c r="B13" s="231">
        <f>SUM(B10:B12)</f>
        <v>392500.73</v>
      </c>
      <c r="C13" s="231">
        <f>SUM(C10:C12)</f>
        <v>197193.08000000002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149406.37000000002</v>
      </c>
      <c r="C18" s="229">
        <f>'DOE25'!G199+'DOE25'!G217+'DOE25'!G235+'DOE25'!G278+'DOE25'!G297+'DOE25'!G316</f>
        <v>17949.550000000003</v>
      </c>
    </row>
    <row r="19" spans="1:3" x14ac:dyDescent="0.2">
      <c r="A19" t="s">
        <v>775</v>
      </c>
      <c r="B19" s="240">
        <v>45062.25</v>
      </c>
      <c r="C19" s="240">
        <v>9741.6558555062093</v>
      </c>
    </row>
    <row r="20" spans="1:3" x14ac:dyDescent="0.2">
      <c r="A20" t="s">
        <v>776</v>
      </c>
      <c r="B20" s="240">
        <v>101841.51</v>
      </c>
      <c r="C20" s="240">
        <v>8013.1689824535006</v>
      </c>
    </row>
    <row r="21" spans="1:3" x14ac:dyDescent="0.2">
      <c r="A21" t="s">
        <v>777</v>
      </c>
      <c r="B21" s="240">
        <v>2502.61</v>
      </c>
      <c r="C21" s="240">
        <v>194.72516204029139</v>
      </c>
    </row>
    <row r="22" spans="1:3" x14ac:dyDescent="0.2">
      <c r="A22" t="str">
        <f>IF(B18=B22,IF(C18=C22,"Check Total OK","Check Total Error"),"Check Total Error")</f>
        <v>Check Total OK</v>
      </c>
      <c r="B22" s="231">
        <f>SUM(B19:B21)</f>
        <v>149406.37</v>
      </c>
      <c r="C22" s="231">
        <f>SUM(C19:C21)</f>
        <v>17949.550000000003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8190.77</v>
      </c>
      <c r="C36" s="235">
        <f>'DOE25'!G201+'DOE25'!G219+'DOE25'!G237+'DOE25'!G280+'DOE25'!G299+'DOE25'!G318</f>
        <v>1254.6099999999997</v>
      </c>
    </row>
    <row r="37" spans="1:3" x14ac:dyDescent="0.2">
      <c r="A37" t="s">
        <v>775</v>
      </c>
      <c r="B37" s="240">
        <v>5693.52</v>
      </c>
      <c r="C37" s="240">
        <v>1077.0766658233601</v>
      </c>
    </row>
    <row r="38" spans="1:3" x14ac:dyDescent="0.2">
      <c r="A38" t="s">
        <v>776</v>
      </c>
      <c r="B38" s="240">
        <v>2497.25</v>
      </c>
      <c r="C38" s="240">
        <v>177.53333417663976</v>
      </c>
    </row>
    <row r="39" spans="1:3" x14ac:dyDescent="0.2">
      <c r="A39" t="s">
        <v>777</v>
      </c>
      <c r="B39" s="240"/>
      <c r="C39" s="240"/>
    </row>
    <row r="40" spans="1:3" x14ac:dyDescent="0.2">
      <c r="A40" t="str">
        <f>IF(B36=B40,IF(C36=C40,"Check Total OK","Check Total Error"),"Check Total Error")</f>
        <v>Check Total OK</v>
      </c>
      <c r="B40" s="231">
        <f>SUM(B37:B39)</f>
        <v>8190.77</v>
      </c>
      <c r="C40" s="231">
        <f>SUM(C37:C39)</f>
        <v>1254.6099999999999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opLeftCell="B1" zoomScale="90" zoomScaleNormal="90" workbookViewId="0">
      <pane ySplit="4" topLeftCell="A5"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Milan</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2294177.3500000006</v>
      </c>
      <c r="D5" s="20">
        <f>SUM('DOE25'!L198:L201)+SUM('DOE25'!L216:L219)+SUM('DOE25'!L234:L237)-F5-G5-H5</f>
        <v>2280857.0600000005</v>
      </c>
      <c r="E5" s="243"/>
      <c r="F5" s="244"/>
      <c r="G5" s="53">
        <f>SUM('DOE25'!J198:J201)+SUM('DOE25'!J216:J219)+SUM('DOE25'!J234:J237)</f>
        <v>13110.29</v>
      </c>
      <c r="H5" s="53">
        <f>SUM('DOE25'!K198:K201)+SUM('DOE25'!K216:K219)+SUM('DOE25'!K234:K237)</f>
        <v>210</v>
      </c>
      <c r="I5" s="256"/>
    </row>
    <row r="6" spans="1:9" x14ac:dyDescent="0.2">
      <c r="A6" s="32">
        <v>2100</v>
      </c>
      <c r="B6" t="s">
        <v>796</v>
      </c>
      <c r="C6" s="276">
        <f t="shared" si="0"/>
        <v>214629.59999999998</v>
      </c>
      <c r="D6" s="20">
        <f>'DOE25'!L203+'DOE25'!L221+'DOE25'!L239-F6-G6-H6</f>
        <v>202286.59999999998</v>
      </c>
      <c r="E6" s="243"/>
      <c r="F6" s="244">
        <v>12104</v>
      </c>
      <c r="G6" s="53">
        <f>'DOE25'!J203+'DOE25'!J221+'DOE25'!J239</f>
        <v>0</v>
      </c>
      <c r="H6" s="53">
        <f>'DOE25'!K203+'DOE25'!K221+'DOE25'!K239</f>
        <v>239</v>
      </c>
      <c r="I6" s="256"/>
    </row>
    <row r="7" spans="1:9" x14ac:dyDescent="0.2">
      <c r="A7" s="32">
        <v>2200</v>
      </c>
      <c r="B7" t="s">
        <v>821</v>
      </c>
      <c r="C7" s="276">
        <f t="shared" si="0"/>
        <v>39887.22</v>
      </c>
      <c r="D7" s="20">
        <f>'DOE25'!L204+'DOE25'!L222+'DOE25'!L240-F7-G7-H7</f>
        <v>36417.800000000003</v>
      </c>
      <c r="E7" s="243"/>
      <c r="F7" s="244"/>
      <c r="G7" s="53">
        <f>'DOE25'!J204+'DOE25'!J222+'DOE25'!J240</f>
        <v>3469.42</v>
      </c>
      <c r="H7" s="53">
        <f>'DOE25'!K204+'DOE25'!K222+'DOE25'!K240</f>
        <v>0</v>
      </c>
      <c r="I7" s="256"/>
    </row>
    <row r="8" spans="1:9" x14ac:dyDescent="0.2">
      <c r="A8" s="32">
        <v>2300</v>
      </c>
      <c r="B8" t="s">
        <v>797</v>
      </c>
      <c r="C8" s="276">
        <f t="shared" si="0"/>
        <v>118418.67999999996</v>
      </c>
      <c r="D8" s="243"/>
      <c r="E8" s="20">
        <f>'DOE25'!L205+'DOE25'!L223+'DOE25'!L241-F8-G8-H8-D9-D11</f>
        <v>115360.75999999997</v>
      </c>
      <c r="F8" s="244"/>
      <c r="G8" s="53">
        <f>'DOE25'!J205+'DOE25'!J223+'DOE25'!J241</f>
        <v>0</v>
      </c>
      <c r="H8" s="53">
        <f>'DOE25'!K205+'DOE25'!K223+'DOE25'!K241</f>
        <v>3057.92</v>
      </c>
      <c r="I8" s="256"/>
    </row>
    <row r="9" spans="1:9" ht="14.25" x14ac:dyDescent="0.2">
      <c r="A9" s="32">
        <v>2310</v>
      </c>
      <c r="B9" s="185" t="s">
        <v>890</v>
      </c>
      <c r="C9" s="276">
        <f t="shared" si="0"/>
        <v>8558.92</v>
      </c>
      <c r="D9" s="244">
        <v>8558.92</v>
      </c>
      <c r="E9" s="243"/>
      <c r="F9" s="253"/>
      <c r="G9" s="253"/>
      <c r="H9" s="253"/>
      <c r="I9" s="256"/>
    </row>
    <row r="10" spans="1:9" ht="14.25" x14ac:dyDescent="0.2">
      <c r="A10" s="32">
        <v>2317</v>
      </c>
      <c r="B10" s="185" t="s">
        <v>891</v>
      </c>
      <c r="C10" s="276">
        <f t="shared" si="0"/>
        <v>5303.98</v>
      </c>
      <c r="D10" s="243"/>
      <c r="E10" s="244">
        <v>5303.98</v>
      </c>
      <c r="F10" s="253"/>
      <c r="G10" s="253"/>
      <c r="H10" s="253"/>
      <c r="I10" s="256"/>
    </row>
    <row r="11" spans="1:9" ht="14.25" x14ac:dyDescent="0.2">
      <c r="A11" s="32">
        <v>2321</v>
      </c>
      <c r="B11" s="185" t="s">
        <v>892</v>
      </c>
      <c r="C11" s="276">
        <f t="shared" si="0"/>
        <v>28807.45</v>
      </c>
      <c r="D11" s="244">
        <v>28807.45</v>
      </c>
      <c r="E11" s="243"/>
      <c r="F11" s="253"/>
      <c r="G11" s="253"/>
      <c r="H11" s="253"/>
      <c r="I11" s="256"/>
    </row>
    <row r="12" spans="1:9" x14ac:dyDescent="0.2">
      <c r="A12" s="32">
        <v>2400</v>
      </c>
      <c r="B12" t="s">
        <v>711</v>
      </c>
      <c r="C12" s="276">
        <f t="shared" si="0"/>
        <v>148431.85</v>
      </c>
      <c r="D12" s="20">
        <f>'DOE25'!L206+'DOE25'!L224+'DOE25'!L242-F12-G12-H12</f>
        <v>144638.39999999999</v>
      </c>
      <c r="E12" s="243"/>
      <c r="F12" s="244"/>
      <c r="G12" s="53">
        <f>'DOE25'!J206+'DOE25'!J224+'DOE25'!J242</f>
        <v>1114.29</v>
      </c>
      <c r="H12" s="53">
        <f>'DOE25'!K206+'DOE25'!K224+'DOE25'!K242</f>
        <v>2679.16</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196765.19999999998</v>
      </c>
      <c r="D14" s="20">
        <f>'DOE25'!L208+'DOE25'!L226+'DOE25'!L244-F14-G14-H14</f>
        <v>189090.66999999998</v>
      </c>
      <c r="E14" s="243"/>
      <c r="F14" s="244"/>
      <c r="G14" s="53">
        <f>'DOE25'!J208+'DOE25'!J226+'DOE25'!J244</f>
        <v>7574.53</v>
      </c>
      <c r="H14" s="53">
        <f>'DOE25'!K208+'DOE25'!K226+'DOE25'!K244</f>
        <v>100</v>
      </c>
      <c r="I14" s="256"/>
    </row>
    <row r="15" spans="1:9" x14ac:dyDescent="0.2">
      <c r="A15" s="32">
        <v>2700</v>
      </c>
      <c r="B15" t="s">
        <v>799</v>
      </c>
      <c r="C15" s="276">
        <f t="shared" si="0"/>
        <v>230795.34000000003</v>
      </c>
      <c r="D15" s="20">
        <f>'DOE25'!L209+'DOE25'!L227+'DOE25'!L245-F15-G15-H15</f>
        <v>35514.97000000003</v>
      </c>
      <c r="E15" s="243"/>
      <c r="F15" s="244">
        <v>195280.37</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6940.34</v>
      </c>
      <c r="D19" s="20">
        <f>'DOE25'!L254-F19-G19-H19</f>
        <v>6600.34</v>
      </c>
      <c r="E19" s="243"/>
      <c r="F19" s="244"/>
      <c r="G19" s="53">
        <f>'DOE25'!J254</f>
        <v>0</v>
      </c>
      <c r="H19" s="53">
        <f>'DOE25'!K254</f>
        <v>340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106139</v>
      </c>
      <c r="D25" s="243"/>
      <c r="E25" s="243"/>
      <c r="F25" s="255"/>
      <c r="G25" s="253"/>
      <c r="H25" s="253"/>
      <c r="I25" s="254">
        <f>'DOE25'!L261+'DOE25'!L262+'DOE25'!L342+'DOE25'!L343</f>
        <v>106139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70918.16</v>
      </c>
      <c r="D29" s="284">
        <f>'DOE25'!L359+'DOE25'!L360+'DOE25'!L361-'DOE25'!I368-F29-G29-H29</f>
        <v>25000</v>
      </c>
      <c r="E29" s="243"/>
      <c r="F29" s="244">
        <v>45568.160000000003</v>
      </c>
      <c r="G29" s="53">
        <f>'DOE25'!J359+'DOE25'!J360+'DOE25'!J361</f>
        <v>0</v>
      </c>
      <c r="H29" s="53">
        <f>'DOE25'!K359+'DOE25'!K360+'DOE25'!K361</f>
        <v>350</v>
      </c>
      <c r="I29" s="256"/>
    </row>
    <row r="30" spans="1:9" x14ac:dyDescent="0.2">
      <c r="A30" s="32"/>
      <c r="C30" s="277"/>
      <c r="D30" s="20"/>
      <c r="E30" s="281"/>
      <c r="F30" s="271"/>
      <c r="G30" s="53"/>
      <c r="H30" s="53"/>
      <c r="I30" s="256"/>
    </row>
    <row r="31" spans="1:9" x14ac:dyDescent="0.2">
      <c r="A31" s="32" t="s">
        <v>818</v>
      </c>
      <c r="B31" t="s">
        <v>817</v>
      </c>
      <c r="C31" s="276">
        <f>SUM(D31:I31)</f>
        <v>105857.93000000002</v>
      </c>
      <c r="D31" s="20">
        <f>'DOE25'!L291+'DOE25'!L310+'DOE25'!L329+'DOE25'!L334+'DOE25'!L335+'DOE25'!L336-F31-G31-H31</f>
        <v>102873.36000000002</v>
      </c>
      <c r="E31" s="243"/>
      <c r="F31" s="244"/>
      <c r="G31" s="53">
        <f>'DOE25'!J291+'DOE25'!J310+'DOE25'!J329+'DOE25'!J334+'DOE25'!J335+'DOE25'!J336</f>
        <v>2984.5699999999997</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3060645.5700000003</v>
      </c>
      <c r="E33" s="245">
        <f t="shared" si="1"/>
        <v>120664.73999999996</v>
      </c>
      <c r="F33" s="245">
        <f t="shared" si="1"/>
        <v>252952.53</v>
      </c>
      <c r="G33" s="245">
        <f t="shared" si="1"/>
        <v>28253.1</v>
      </c>
      <c r="H33" s="245">
        <f t="shared" si="1"/>
        <v>6976.08</v>
      </c>
      <c r="I33" s="245">
        <f t="shared" si="1"/>
        <v>106139</v>
      </c>
    </row>
    <row r="35" spans="1:9" ht="12" thickBot="1" x14ac:dyDescent="0.25">
      <c r="B35" s="251" t="s">
        <v>831</v>
      </c>
      <c r="D35" s="252">
        <f>E33</f>
        <v>120664.73999999996</v>
      </c>
      <c r="E35" s="248"/>
    </row>
    <row r="36" spans="1:9" ht="12" thickTop="1" x14ac:dyDescent="0.2">
      <c r="B36" t="s">
        <v>810</v>
      </c>
      <c r="D36" s="20">
        <f>D33</f>
        <v>3060645.5700000003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C1" zoomScaleNormal="100" workbookViewId="0">
      <selection activeCell="H11" sqref="H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Milan</v>
      </c>
      <c r="B2" s="126">
        <f>'DOE25'!B2</f>
        <v>355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1693510.69</v>
      </c>
      <c r="G4" s="303">
        <f>'DOE25'!L212+'DOE25'!L291</f>
        <v>1693510.6870917643</v>
      </c>
      <c r="H4" s="337">
        <f>F4-G4</f>
        <v>2.9082356486469507E-3</v>
      </c>
      <c r="I4" s="309" t="str">
        <f>IF(H4=0,"","Does not match DOE25 page 7 and 11 Totals!!")</f>
        <v>Does not match DOE25 page 7 and 11 Totals!!</v>
      </c>
      <c r="N4"/>
    </row>
    <row r="5" spans="1:18" x14ac:dyDescent="0.2">
      <c r="A5" s="21" t="s">
        <v>1267</v>
      </c>
      <c r="B5" s="304">
        <f>IFERROR(VLOOKUP(A5,'School Tables'!$C$3:$D$365,2,FALSE),"")</f>
        <v>20760</v>
      </c>
      <c r="C5" s="297" t="str">
        <f>IFERROR(INDEX('School Tables'!$B$3:$B$365,MATCH('School Level Expenditures'!B5,'School Tables'!$D$3:$D$365,0)),"")</f>
        <v>Milan</v>
      </c>
      <c r="D5" s="294">
        <v>1606651.68</v>
      </c>
      <c r="E5" s="294">
        <v>86859.01</v>
      </c>
      <c r="F5" s="312">
        <f>D5+E5</f>
        <v>1693510.69</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385210.16</v>
      </c>
      <c r="G24" s="303">
        <f>'DOE25'!L230+'DOE25'!L310</f>
        <v>385210.15527876373</v>
      </c>
      <c r="H24" s="337">
        <f>F24-G24</f>
        <v>4.7212362405844033E-3</v>
      </c>
      <c r="I24" s="309" t="str">
        <f>IF(H24=0,"","Does not match DOE25 page 8 and 12 Totals!!")</f>
        <v>Does not match DOE25 page 8 and 12 Totals!!</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382118.16</v>
      </c>
      <c r="E25" s="294">
        <v>3092</v>
      </c>
      <c r="F25" s="307">
        <f>D25+E25</f>
        <v>385210.16</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1307528.68</v>
      </c>
      <c r="G36" s="303">
        <f>'DOE25'!L248+'DOE25'!L329</f>
        <v>1307528.6776294722</v>
      </c>
      <c r="H36" s="337">
        <f>F36-G36</f>
        <v>2.3705277126282454E-3</v>
      </c>
      <c r="I36" s="309" t="str">
        <f>IF(H36=0,"","Does not match DOE25 page 9 and 13 Totals!!")</f>
        <v>Does not match DOE25 page 9 and 13 Totals!!</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1304243.43</v>
      </c>
      <c r="E37" s="294">
        <v>3285.25</v>
      </c>
      <c r="F37" s="307">
        <f>D37+E37</f>
        <v>1307528.68</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Milan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73520.22</v>
      </c>
      <c r="D8" s="95">
        <f>'DOE25'!G9</f>
        <v>0</v>
      </c>
      <c r="E8" s="95">
        <f>'DOE25'!H9</f>
        <v>0</v>
      </c>
      <c r="F8" s="95">
        <f>'DOE25'!I9</f>
        <v>0</v>
      </c>
      <c r="G8" s="95">
        <f>'DOE25'!J9</f>
        <v>0</v>
      </c>
      <c r="H8" s="124"/>
      <c r="I8" s="124"/>
    </row>
    <row r="9" spans="1:9" x14ac:dyDescent="0.2">
      <c r="A9" s="1" t="s">
        <v>140</v>
      </c>
      <c r="B9" s="6">
        <v>110</v>
      </c>
      <c r="C9" s="95">
        <f>'DOE25'!F10</f>
        <v>36936.32</v>
      </c>
      <c r="D9" s="95">
        <f>'DOE25'!G10</f>
        <v>0</v>
      </c>
      <c r="E9" s="95">
        <f>'DOE25'!H10</f>
        <v>0</v>
      </c>
      <c r="F9" s="95">
        <f>'DOE25'!I10</f>
        <v>0</v>
      </c>
      <c r="G9" s="95">
        <f>'DOE25'!J10</f>
        <v>423349.65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50108.32</v>
      </c>
      <c r="D11" s="95">
        <f>'DOE25'!G12</f>
        <v>0</v>
      </c>
      <c r="E11" s="95">
        <f>'DOE25'!H12</f>
        <v>0</v>
      </c>
      <c r="F11" s="95">
        <f>'DOE25'!I12</f>
        <v>0</v>
      </c>
      <c r="G11" s="95">
        <f>'DOE25'!J12</f>
        <v>5693.75</v>
      </c>
      <c r="H11" s="124"/>
      <c r="I11" s="124"/>
    </row>
    <row r="12" spans="1:9" x14ac:dyDescent="0.2">
      <c r="A12" s="1" t="s">
        <v>143</v>
      </c>
      <c r="B12" s="6">
        <v>140</v>
      </c>
      <c r="C12" s="95">
        <f>'DOE25'!F13</f>
        <v>245226.75</v>
      </c>
      <c r="D12" s="95">
        <f>'DOE25'!G13</f>
        <v>39397.29</v>
      </c>
      <c r="E12" s="95">
        <f>'DOE25'!H13</f>
        <v>55957.73</v>
      </c>
      <c r="F12" s="95">
        <f>'DOE25'!I13</f>
        <v>0</v>
      </c>
      <c r="G12" s="95">
        <f>'DOE25'!J13</f>
        <v>0</v>
      </c>
      <c r="H12" s="124"/>
      <c r="I12" s="124"/>
    </row>
    <row r="13" spans="1:9" x14ac:dyDescent="0.2">
      <c r="A13" s="1" t="s">
        <v>144</v>
      </c>
      <c r="B13" s="6">
        <v>150</v>
      </c>
      <c r="C13" s="95">
        <f>'DOE25'!F14</f>
        <v>0</v>
      </c>
      <c r="D13" s="95">
        <f>'DOE25'!G14</f>
        <v>36.35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405791.61</v>
      </c>
      <c r="D18" s="41">
        <f>SUM(D8:D17)</f>
        <v>39433.64</v>
      </c>
      <c r="E18" s="41">
        <f>SUM(E8:E17)</f>
        <v>55957.73</v>
      </c>
      <c r="F18" s="41">
        <f>SUM(F8:F17)</f>
        <v>0</v>
      </c>
      <c r="G18" s="41">
        <f>SUM(G8:G17)</f>
        <v>429043.4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6233.87</v>
      </c>
      <c r="E21" s="95">
        <f>'DOE25'!H22</f>
        <v>49568.2</v>
      </c>
      <c r="F21" s="95">
        <f>'DOE25'!I22</f>
        <v>0</v>
      </c>
      <c r="G21" s="95">
        <f>'DOE25'!J22</f>
        <v>0</v>
      </c>
      <c r="H21" s="124"/>
      <c r="I21" s="124"/>
    </row>
    <row r="22" spans="1:9" x14ac:dyDescent="0.2">
      <c r="A22" s="1" t="s">
        <v>151</v>
      </c>
      <c r="B22" s="6">
        <v>410</v>
      </c>
      <c r="C22" s="95">
        <f>'DOE25'!F23</f>
        <v>255094.25</v>
      </c>
      <c r="D22" s="95">
        <f>'DOE25'!G23</f>
        <v>24500</v>
      </c>
      <c r="E22" s="95">
        <f>'DOE25'!H23</f>
        <v>2670.74</v>
      </c>
      <c r="F22" s="95">
        <f>'DOE25'!I23</f>
        <v>0</v>
      </c>
      <c r="G22" s="95">
        <f>'DOE25'!J23</f>
        <v>21444</v>
      </c>
      <c r="H22" s="124"/>
      <c r="I22" s="124"/>
    </row>
    <row r="23" spans="1:9" x14ac:dyDescent="0.2">
      <c r="A23" s="1" t="s">
        <v>152</v>
      </c>
      <c r="B23" s="6">
        <v>420</v>
      </c>
      <c r="C23" s="95">
        <f>'DOE25'!F24</f>
        <v>16915.420000000002</v>
      </c>
      <c r="D23" s="95">
        <f>'DOE25'!G24</f>
        <v>1566.22</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322.95</v>
      </c>
      <c r="F27" s="95">
        <f>'DOE25'!I28</f>
        <v>0</v>
      </c>
      <c r="G27" s="24" t="s">
        <v>288</v>
      </c>
      <c r="H27" s="124"/>
      <c r="I27" s="124"/>
    </row>
    <row r="28" spans="1:9" x14ac:dyDescent="0.2">
      <c r="A28" s="1" t="s">
        <v>157</v>
      </c>
      <c r="B28" s="6">
        <v>470</v>
      </c>
      <c r="C28" s="95">
        <f>'DOE25'!F29</f>
        <v>7059.39</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3395.84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279069.06</v>
      </c>
      <c r="D31" s="41">
        <f>SUM(D21:D30)</f>
        <v>32300.09</v>
      </c>
      <c r="E31" s="41">
        <f>SUM(E21:E30)</f>
        <v>55957.729999999996</v>
      </c>
      <c r="F31" s="41">
        <f>SUM(F21:F30)</f>
        <v>0</v>
      </c>
      <c r="G31" s="41">
        <f>SUM(G21:G30)</f>
        <v>21444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7133.55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48034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407599.4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78688.55</v>
      </c>
      <c r="D49" s="24" t="s">
        <v>288</v>
      </c>
      <c r="E49" s="24" t="s">
        <v>288</v>
      </c>
      <c r="F49" s="24" t="s">
        <v>288</v>
      </c>
      <c r="G49" s="24" t="s">
        <v>288</v>
      </c>
      <c r="H49" s="124"/>
      <c r="I49" s="124"/>
    </row>
    <row r="50" spans="1:9" ht="12.75" thickTop="1" thickBot="1" x14ac:dyDescent="0.25">
      <c r="A50" s="38" t="s">
        <v>884</v>
      </c>
      <c r="B50" s="48"/>
      <c r="C50" s="41">
        <f>SUM(C34:C49)</f>
        <v>126722.55</v>
      </c>
      <c r="D50" s="41">
        <f>SUM(D34:D49)</f>
        <v>7133.55</v>
      </c>
      <c r="E50" s="41">
        <f>SUM(E34:E49)</f>
        <v>0</v>
      </c>
      <c r="F50" s="41">
        <f>SUM(F34:F49)</f>
        <v>0</v>
      </c>
      <c r="G50" s="41">
        <f>SUM(G34:G49)</f>
        <v>407599.4</v>
      </c>
      <c r="H50" s="124"/>
      <c r="I50" s="124"/>
    </row>
    <row r="51" spans="1:9" ht="12" thickTop="1" x14ac:dyDescent="0.2">
      <c r="A51" s="38" t="s">
        <v>885</v>
      </c>
      <c r="B51" s="2"/>
      <c r="C51" s="41">
        <f>C50+C31</f>
        <v>405791.61</v>
      </c>
      <c r="D51" s="41">
        <f>D50+D31</f>
        <v>39433.64</v>
      </c>
      <c r="E51" s="41">
        <f>E50+E31</f>
        <v>55957.729999999996</v>
      </c>
      <c r="F51" s="41">
        <f>F50+F31</f>
        <v>0</v>
      </c>
      <c r="G51" s="41">
        <f>G50+G31</f>
        <v>429043.4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1707202</v>
      </c>
      <c r="D56" s="95">
        <f>'DOE25'!G60</f>
        <v>0</v>
      </c>
      <c r="E56" s="95">
        <f>'DOE25'!H60</f>
        <v>0</v>
      </c>
      <c r="F56" s="95">
        <f>'DOE25'!I60</f>
        <v>0</v>
      </c>
      <c r="G56" s="95">
        <f>'DOE25'!J60</f>
        <v>0</v>
      </c>
      <c r="H56"/>
      <c r="I56"/>
    </row>
    <row r="57" spans="1:9" x14ac:dyDescent="0.2">
      <c r="A57" s="1" t="s">
        <v>164</v>
      </c>
      <c r="B57" s="6" t="s">
        <v>165</v>
      </c>
      <c r="C57" s="95">
        <f>'DOE25'!F79</f>
        <v>206704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11490.18</v>
      </c>
      <c r="D59" s="95">
        <f>'DOE25'!G96</f>
        <v>0</v>
      </c>
      <c r="E59" s="95">
        <f>'DOE25'!H96</f>
        <v>0</v>
      </c>
      <c r="F59" s="95">
        <f>'DOE25'!I96</f>
        <v>0</v>
      </c>
      <c r="G59" s="95">
        <f>'DOE25'!J96</f>
        <v>6190.99</v>
      </c>
      <c r="H59"/>
      <c r="I59"/>
    </row>
    <row r="60" spans="1:9" x14ac:dyDescent="0.2">
      <c r="A60" s="1" t="s">
        <v>170</v>
      </c>
      <c r="B60" s="118" t="s">
        <v>171</v>
      </c>
      <c r="C60" s="24" t="s">
        <v>288</v>
      </c>
      <c r="D60" s="95">
        <f>'DOE25'!G97</f>
        <v>16661.099999999999</v>
      </c>
      <c r="E60" s="24" t="s">
        <v>288</v>
      </c>
      <c r="F60" s="24" t="s">
        <v>288</v>
      </c>
      <c r="G60" s="24" t="s">
        <v>288</v>
      </c>
      <c r="H60"/>
      <c r="I60"/>
    </row>
    <row r="61" spans="1:9" ht="12" thickBot="1" x14ac:dyDescent="0.25">
      <c r="A61" s="1" t="s">
        <v>172</v>
      </c>
      <c r="B61" s="118" t="s">
        <v>173</v>
      </c>
      <c r="C61" s="95">
        <f>SUM('DOE25'!F98:F110)</f>
        <v>24836.48</v>
      </c>
      <c r="D61" s="95">
        <f>SUM('DOE25'!G98:G110)</f>
        <v>147</v>
      </c>
      <c r="E61" s="95">
        <f>SUM('DOE25'!H98:H110)</f>
        <v>4690.68</v>
      </c>
      <c r="F61" s="95">
        <f>SUM('DOE25'!I98:I110)</f>
        <v>0</v>
      </c>
      <c r="G61" s="95">
        <f>SUM('DOE25'!J98:J110)</f>
        <v>725</v>
      </c>
      <c r="H61"/>
      <c r="I61"/>
    </row>
    <row r="62" spans="1:9" ht="12.75" thickTop="1" thickBot="1" x14ac:dyDescent="0.25">
      <c r="A62" s="29" t="s">
        <v>174</v>
      </c>
      <c r="B62" s="6"/>
      <c r="C62" s="130">
        <f>SUM(C57:C61)</f>
        <v>243030.66</v>
      </c>
      <c r="D62" s="130">
        <f>SUM(D57:D61)</f>
        <v>16808.099999999999</v>
      </c>
      <c r="E62" s="130">
        <f>SUM(E57:E61)</f>
        <v>4690.68</v>
      </c>
      <c r="F62" s="130">
        <f>SUM(F57:F61)</f>
        <v>0</v>
      </c>
      <c r="G62" s="130">
        <f>SUM(G57:G61)</f>
        <v>6915.99</v>
      </c>
      <c r="H62"/>
      <c r="I62"/>
    </row>
    <row r="63" spans="1:9" ht="12" thickTop="1" x14ac:dyDescent="0.2">
      <c r="A63" s="29" t="s">
        <v>175</v>
      </c>
      <c r="B63" s="6"/>
      <c r="C63" s="22">
        <f>C56+C62</f>
        <v>1950232.66</v>
      </c>
      <c r="D63" s="22">
        <f>D56+D62</f>
        <v>16808.099999999999</v>
      </c>
      <c r="E63" s="22">
        <f>E56+E62</f>
        <v>4690.68</v>
      </c>
      <c r="F63" s="22">
        <f>F56+F62</f>
        <v>0</v>
      </c>
      <c r="G63" s="22">
        <f>G56+G62</f>
        <v>6915.99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1315318.6599999999</v>
      </c>
      <c r="D66" s="24" t="s">
        <v>288</v>
      </c>
      <c r="E66" s="24" t="s">
        <v>288</v>
      </c>
      <c r="F66" s="24" t="s">
        <v>288</v>
      </c>
      <c r="G66" s="24" t="s">
        <v>288</v>
      </c>
      <c r="H66"/>
      <c r="I66"/>
    </row>
    <row r="67" spans="1:9" x14ac:dyDescent="0.2">
      <c r="A67" s="1" t="s">
        <v>770</v>
      </c>
      <c r="B67" s="6">
        <v>3112</v>
      </c>
      <c r="C67" s="95">
        <f>'DOE25'!F118</f>
        <v>214154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1529472.66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7930.99</v>
      </c>
      <c r="F76" s="95">
        <f>SUM('DOE25'!I127:I130)</f>
        <v>0</v>
      </c>
      <c r="G76" s="24" t="s">
        <v>288</v>
      </c>
      <c r="H76"/>
      <c r="I76"/>
    </row>
    <row r="77" spans="1:9" ht="12" thickBot="1" x14ac:dyDescent="0.25">
      <c r="A77" s="1" t="s">
        <v>258</v>
      </c>
      <c r="B77" s="6" t="s">
        <v>180</v>
      </c>
      <c r="C77" s="95">
        <f>SUM('DOE25'!F131:F135)</f>
        <v>0</v>
      </c>
      <c r="D77" s="95">
        <f>SUM('DOE25'!G131:G135)</f>
        <v>1129.45</v>
      </c>
      <c r="E77" s="95">
        <f>SUM('DOE25'!H131:H135)</f>
        <v>0</v>
      </c>
      <c r="F77" s="95">
        <f>SUM('DOE25'!I131:I135)</f>
        <v>0</v>
      </c>
      <c r="G77" s="95">
        <f>SUM('DOE25'!J131:J135)</f>
        <v>0</v>
      </c>
      <c r="H77"/>
      <c r="I77"/>
    </row>
    <row r="78" spans="1:9" ht="12.75" thickTop="1" thickBot="1" x14ac:dyDescent="0.25">
      <c r="A78" s="29" t="s">
        <v>259</v>
      </c>
      <c r="B78" s="6"/>
      <c r="C78" s="130">
        <f>SUM(C72:C77)</f>
        <v>0</v>
      </c>
      <c r="D78" s="130">
        <f>SUM(D72:D77)</f>
        <v>1129.45</v>
      </c>
      <c r="E78" s="130">
        <f>SUM(E72:E77)</f>
        <v>7930.99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1529472.66</v>
      </c>
      <c r="D81" s="130">
        <f>SUM(D79:D80)+D78+D70</f>
        <v>1129.45</v>
      </c>
      <c r="E81" s="130">
        <f>SUM(E79:E80)+E78+E70</f>
        <v>7930.99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5925.31</v>
      </c>
      <c r="D88" s="341">
        <f>SUM('DOE25'!G153:G162)</f>
        <v>64574.47</v>
      </c>
      <c r="E88" s="341">
        <f>SUM('DOE25'!H153:H162)</f>
        <v>96462.89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3993.69</v>
      </c>
      <c r="D90" s="24" t="s">
        <v>288</v>
      </c>
      <c r="E90" s="24" t="s">
        <v>288</v>
      </c>
      <c r="F90" s="24" t="s">
        <v>288</v>
      </c>
      <c r="G90" s="24" t="s">
        <v>288</v>
      </c>
    </row>
    <row r="91" spans="1:9" ht="12.75" thickTop="1" thickBot="1" x14ac:dyDescent="0.25">
      <c r="A91" s="33" t="s">
        <v>750</v>
      </c>
      <c r="C91" s="131">
        <f>SUM(C85:C90)</f>
        <v>9919</v>
      </c>
      <c r="D91" s="131">
        <f>SUM(D85:D90)</f>
        <v>64574.47</v>
      </c>
      <c r="E91" s="131">
        <f>SUM(E85:E90)</f>
        <v>96462.89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25000</v>
      </c>
    </row>
    <row r="104" spans="1:7" ht="12.75" thickTop="1" thickBot="1" x14ac:dyDescent="0.25">
      <c r="A104" s="33" t="s">
        <v>761</v>
      </c>
      <c r="C104" s="86">
        <f>C63+C81+C91+C103</f>
        <v>3489624.32</v>
      </c>
      <c r="D104" s="86">
        <f>D63+D81+D91+D103</f>
        <v>82512.02</v>
      </c>
      <c r="E104" s="86">
        <f>E63+E81+E91+E103</f>
        <v>109084.56</v>
      </c>
      <c r="F104" s="86">
        <f>F63+F81+F91+F103</f>
        <v>0</v>
      </c>
      <c r="G104" s="86">
        <f>G63+G81+G103</f>
        <v>31915.989999999998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1995900.61</v>
      </c>
      <c r="D109" s="24" t="s">
        <v>288</v>
      </c>
      <c r="E109" s="95">
        <f>('DOE25'!L277)+('DOE25'!L296)+('DOE25'!L315)</f>
        <v>60639.57</v>
      </c>
      <c r="F109" s="24" t="s">
        <v>288</v>
      </c>
      <c r="G109" s="24" t="s">
        <v>288</v>
      </c>
    </row>
    <row r="110" spans="1:7" x14ac:dyDescent="0.2">
      <c r="A110" t="s">
        <v>198</v>
      </c>
      <c r="B110" s="32" t="s">
        <v>199</v>
      </c>
      <c r="C110" s="95">
        <f>('DOE25'!L199)+('DOE25'!L217)+('DOE25'!L235)</f>
        <v>292329.20000000007</v>
      </c>
      <c r="D110" s="24" t="s">
        <v>288</v>
      </c>
      <c r="E110" s="95">
        <f>('DOE25'!L278)+('DOE25'!L297)+('DOE25'!L316)</f>
        <v>2083.15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5947.5400000000009</v>
      </c>
      <c r="D112" s="24" t="s">
        <v>288</v>
      </c>
      <c r="E112" s="95">
        <f>+('DOE25'!L280)+('DOE25'!L299)+('DOE25'!L318)</f>
        <v>10782.24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6940.34</v>
      </c>
      <c r="D114" s="24" t="s">
        <v>288</v>
      </c>
      <c r="E114" s="95">
        <f>+ SUM('DOE25'!L334:L336)</f>
        <v>80.02</v>
      </c>
      <c r="F114" s="24" t="s">
        <v>288</v>
      </c>
      <c r="G114" s="24" t="s">
        <v>288</v>
      </c>
    </row>
    <row r="115" spans="1:7" ht="12.75" thickTop="1" thickBot="1" x14ac:dyDescent="0.25">
      <c r="A115" s="33" t="s">
        <v>205</v>
      </c>
      <c r="C115" s="86">
        <f>SUM(C109:C114)</f>
        <v>2301117.69</v>
      </c>
      <c r="D115" s="86">
        <f>SUM(D109:D114)</f>
        <v>0</v>
      </c>
      <c r="E115" s="86">
        <f>SUM(E109:E114)</f>
        <v>73584.98000000001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214629.59999999998</v>
      </c>
      <c r="D118" s="24" t="s">
        <v>288</v>
      </c>
      <c r="E118" s="95">
        <f>+('DOE25'!L282)+('DOE25'!L301)+('DOE25'!L320)</f>
        <v>26088.75</v>
      </c>
      <c r="F118" s="24" t="s">
        <v>288</v>
      </c>
      <c r="G118" s="24" t="s">
        <v>288</v>
      </c>
    </row>
    <row r="119" spans="1:7" x14ac:dyDescent="0.2">
      <c r="A119" t="s">
        <v>208</v>
      </c>
      <c r="B119" s="32" t="s">
        <v>209</v>
      </c>
      <c r="C119" s="95">
        <f>('DOE25'!L204)+('DOE25'!L222)+('DOE25'!L240)</f>
        <v>39887.22</v>
      </c>
      <c r="D119" s="24" t="s">
        <v>288</v>
      </c>
      <c r="E119" s="95">
        <f>+('DOE25'!L283)+('DOE25'!L302)+('DOE25'!L321)</f>
        <v>6184.2</v>
      </c>
      <c r="F119" s="24" t="s">
        <v>288</v>
      </c>
      <c r="G119" s="24" t="s">
        <v>288</v>
      </c>
    </row>
    <row r="120" spans="1:7" x14ac:dyDescent="0.2">
      <c r="A120" t="s">
        <v>210</v>
      </c>
      <c r="B120" s="32" t="s">
        <v>211</v>
      </c>
      <c r="C120" s="95">
        <f>('DOE25'!L205)+('DOE25'!L223)+('DOE25'!L241)</f>
        <v>155785.04999999999</v>
      </c>
      <c r="D120" s="24" t="s">
        <v>288</v>
      </c>
      <c r="E120" s="95">
        <f>+('DOE25'!L284)+('DOE25'!L303)+('DOE25'!L322)</f>
        <v>0</v>
      </c>
      <c r="F120" s="24" t="s">
        <v>288</v>
      </c>
      <c r="G120" s="24" t="s">
        <v>288</v>
      </c>
    </row>
    <row r="121" spans="1:7" x14ac:dyDescent="0.2">
      <c r="A121" t="s">
        <v>212</v>
      </c>
      <c r="B121" s="32" t="s">
        <v>213</v>
      </c>
      <c r="C121" s="95">
        <f>('DOE25'!L206)+('DOE25'!L224)+('DOE25'!L242)</f>
        <v>148431.85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196765.19999999998</v>
      </c>
      <c r="D123" s="24" t="s">
        <v>288</v>
      </c>
      <c r="E123" s="95">
        <f>+('DOE25'!L287)+('DOE25'!L306)+('DOE25'!L325)</f>
        <v>0</v>
      </c>
      <c r="F123" s="24" t="s">
        <v>288</v>
      </c>
      <c r="G123" s="24" t="s">
        <v>288</v>
      </c>
    </row>
    <row r="124" spans="1:7" x14ac:dyDescent="0.2">
      <c r="A124" t="s">
        <v>218</v>
      </c>
      <c r="B124" s="32" t="s">
        <v>219</v>
      </c>
      <c r="C124" s="95">
        <f>('DOE25'!L209)+('DOE25'!L227)+('DOE25'!L245+'DOE25'!L255)</f>
        <v>230795.34000000003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75948.47</v>
      </c>
      <c r="E127" s="24" t="s">
        <v>288</v>
      </c>
      <c r="F127" s="24" t="s">
        <v>288</v>
      </c>
      <c r="G127" s="24" t="s">
        <v>288</v>
      </c>
    </row>
    <row r="128" spans="1:7" ht="12.75" thickTop="1" thickBot="1" x14ac:dyDescent="0.25">
      <c r="A128" s="33" t="s">
        <v>226</v>
      </c>
      <c r="C128" s="86">
        <f>SUM(C118:C127)</f>
        <v>986294.26</v>
      </c>
      <c r="D128" s="86">
        <f>SUM(D118:D127)</f>
        <v>75948.47</v>
      </c>
      <c r="E128" s="86">
        <f>SUM(E118:E127)</f>
        <v>32272.95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99000</v>
      </c>
      <c r="D131" s="24" t="s">
        <v>288</v>
      </c>
      <c r="E131" s="129">
        <f>'DOE25'!L342</f>
        <v>0</v>
      </c>
      <c r="F131" s="24" t="s">
        <v>288</v>
      </c>
      <c r="G131" s="24" t="s">
        <v>288</v>
      </c>
    </row>
    <row r="132" spans="1:7" x14ac:dyDescent="0.2">
      <c r="A132" t="s">
        <v>230</v>
      </c>
      <c r="B132" s="32">
        <v>5120</v>
      </c>
      <c r="C132" s="95">
        <f>'DOE25'!L262</f>
        <v>7139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21444</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8926.31</v>
      </c>
      <c r="D138" s="24" t="s">
        <v>288</v>
      </c>
      <c r="E138" s="24" t="s">
        <v>288</v>
      </c>
      <c r="F138" s="24" t="s">
        <v>288</v>
      </c>
      <c r="G138" s="24" t="s">
        <v>288</v>
      </c>
    </row>
    <row r="139" spans="1:7" x14ac:dyDescent="0.2">
      <c r="A139" t="s">
        <v>239</v>
      </c>
      <c r="B139" s="32">
        <v>5252</v>
      </c>
      <c r="C139" s="95">
        <f>'DOE25'!L402</f>
        <v>22989.68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-6915.989999999998</v>
      </c>
      <c r="D141" s="24" t="s">
        <v>288</v>
      </c>
      <c r="E141" s="24" t="s">
        <v>288</v>
      </c>
      <c r="F141" s="24" t="s">
        <v>288</v>
      </c>
      <c r="G141" s="24" t="s">
        <v>288</v>
      </c>
    </row>
    <row r="142" spans="1:7" x14ac:dyDescent="0.2">
      <c r="A142" t="s">
        <v>241</v>
      </c>
      <c r="B142" s="32">
        <v>5310</v>
      </c>
      <c r="C142" s="129">
        <f>'DOE25'!L269</f>
        <v>14400</v>
      </c>
      <c r="D142" s="24" t="s">
        <v>288</v>
      </c>
      <c r="E142" s="129">
        <f>'DOE25'!L350</f>
        <v>0</v>
      </c>
      <c r="F142" s="24" t="s">
        <v>288</v>
      </c>
      <c r="G142" s="24" t="s">
        <v>288</v>
      </c>
    </row>
    <row r="143" spans="1:7" ht="12" thickBot="1" x14ac:dyDescent="0.25">
      <c r="A143" t="s">
        <v>242</v>
      </c>
      <c r="B143" s="32">
        <v>5390</v>
      </c>
      <c r="C143" s="129">
        <f>'DOE25'!L270</f>
        <v>0</v>
      </c>
      <c r="D143" s="24" t="s">
        <v>288</v>
      </c>
      <c r="E143" s="129">
        <f>'DOE25'!L351</f>
        <v>3226.6299999999997</v>
      </c>
      <c r="F143" s="24" t="s">
        <v>288</v>
      </c>
      <c r="G143" s="24" t="s">
        <v>288</v>
      </c>
    </row>
    <row r="144" spans="1:7" ht="12" thickBot="1" x14ac:dyDescent="0.25">
      <c r="A144" s="33" t="s">
        <v>243</v>
      </c>
      <c r="C144" s="141">
        <f>SUM(C130:C143)</f>
        <v>145539</v>
      </c>
      <c r="D144" s="141">
        <f>SUM(D130:D143)</f>
        <v>0</v>
      </c>
      <c r="E144" s="141">
        <f>SUM(E130:E143)</f>
        <v>3226.6299999999997</v>
      </c>
      <c r="F144" s="141">
        <f>SUM(F130:F143)</f>
        <v>0</v>
      </c>
      <c r="G144" s="141">
        <f>SUM(G130:G143)</f>
        <v>21444</v>
      </c>
    </row>
    <row r="145" spans="1:9" ht="12.75" thickTop="1" thickBot="1" x14ac:dyDescent="0.25">
      <c r="A145" s="33" t="s">
        <v>244</v>
      </c>
      <c r="C145" s="86">
        <f>(C115+C128+C144)</f>
        <v>3432950.95</v>
      </c>
      <c r="D145" s="86">
        <f>(D115+D128+D144)</f>
        <v>75948.47</v>
      </c>
      <c r="E145" s="86">
        <f>(E115+E128+E144)</f>
        <v>109084.56000000001</v>
      </c>
      <c r="F145" s="86">
        <f>(F115+F128+F144)</f>
        <v>0</v>
      </c>
      <c r="G145" s="86">
        <f>(G115+G128+G144)</f>
        <v>21444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06/18</v>
      </c>
      <c r="C152" s="152">
        <f>'DOE25'!G492</f>
        <v>0</v>
      </c>
      <c r="D152" s="152">
        <f>'DOE25'!H492</f>
        <v>0</v>
      </c>
      <c r="E152" s="152">
        <f>'DOE25'!I492</f>
        <v>0</v>
      </c>
      <c r="F152" s="152">
        <f>'DOE25'!J492</f>
        <v>0</v>
      </c>
      <c r="G152" s="24" t="s">
        <v>288</v>
      </c>
    </row>
    <row r="153" spans="1:9" x14ac:dyDescent="0.2">
      <c r="A153" s="136" t="s">
        <v>29</v>
      </c>
      <c r="B153" s="152" t="str">
        <f>'DOE25'!F493</f>
        <v>09/22</v>
      </c>
      <c r="C153" s="152">
        <f>'DOE25'!G493</f>
        <v>0</v>
      </c>
      <c r="D153" s="152">
        <f>'DOE25'!H493</f>
        <v>0</v>
      </c>
      <c r="E153" s="152">
        <f>'DOE25'!I493</f>
        <v>0</v>
      </c>
      <c r="F153" s="152">
        <f>'DOE25'!J493</f>
        <v>0</v>
      </c>
      <c r="G153" s="24" t="s">
        <v>288</v>
      </c>
    </row>
    <row r="154" spans="1:9" x14ac:dyDescent="0.2">
      <c r="A154" s="136" t="s">
        <v>30</v>
      </c>
      <c r="B154" s="137">
        <f>'DOE25'!F494</f>
        <v>495000</v>
      </c>
      <c r="C154" s="137">
        <f>'DOE25'!G494</f>
        <v>0</v>
      </c>
      <c r="D154" s="137">
        <f>'DOE25'!H494</f>
        <v>0</v>
      </c>
      <c r="E154" s="137">
        <f>'DOE25'!I494</f>
        <v>0</v>
      </c>
      <c r="F154" s="137">
        <f>'DOE25'!J494</f>
        <v>0</v>
      </c>
      <c r="G154" s="24" t="s">
        <v>288</v>
      </c>
    </row>
    <row r="155" spans="1:9" x14ac:dyDescent="0.2">
      <c r="A155" s="136" t="s">
        <v>31</v>
      </c>
      <c r="B155" s="137">
        <f>'DOE25'!F495</f>
        <v>0.02</v>
      </c>
      <c r="C155" s="137">
        <f>'DOE25'!G495</f>
        <v>0</v>
      </c>
      <c r="D155" s="137">
        <f>'DOE25'!H495</f>
        <v>0</v>
      </c>
      <c r="E155" s="137">
        <f>'DOE25'!I495</f>
        <v>0</v>
      </c>
      <c r="F155" s="137">
        <f>'DOE25'!J495</f>
        <v>0</v>
      </c>
      <c r="G155" s="24" t="s">
        <v>288</v>
      </c>
    </row>
    <row r="156" spans="1:9" x14ac:dyDescent="0.2">
      <c r="A156" s="22" t="s">
        <v>32</v>
      </c>
      <c r="B156" s="137">
        <f>'DOE25'!F496</f>
        <v>396000</v>
      </c>
      <c r="C156" s="137">
        <f>'DOE25'!G496</f>
        <v>0</v>
      </c>
      <c r="D156" s="137">
        <f>'DOE25'!H496</f>
        <v>0</v>
      </c>
      <c r="E156" s="137">
        <f>'DOE25'!I496</f>
        <v>0</v>
      </c>
      <c r="F156" s="137">
        <f>'DOE25'!J496</f>
        <v>0</v>
      </c>
      <c r="G156" s="138">
        <f>SUM(B156:F156)</f>
        <v>396000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99000</v>
      </c>
      <c r="C158" s="137">
        <f>'DOE25'!G498</f>
        <v>0</v>
      </c>
      <c r="D158" s="137">
        <f>'DOE25'!H498</f>
        <v>0</v>
      </c>
      <c r="E158" s="137">
        <f>'DOE25'!I498</f>
        <v>0</v>
      </c>
      <c r="F158" s="137">
        <f>'DOE25'!J498</f>
        <v>0</v>
      </c>
      <c r="G158" s="138">
        <f t="shared" si="0"/>
        <v>99000</v>
      </c>
    </row>
    <row r="159" spans="1:9" x14ac:dyDescent="0.2">
      <c r="A159" s="22" t="s">
        <v>35</v>
      </c>
      <c r="B159" s="137">
        <f>'DOE25'!F499</f>
        <v>297000</v>
      </c>
      <c r="C159" s="137">
        <f>'DOE25'!G499</f>
        <v>0</v>
      </c>
      <c r="D159" s="137">
        <f>'DOE25'!H499</f>
        <v>0</v>
      </c>
      <c r="E159" s="137">
        <f>'DOE25'!I499</f>
        <v>0</v>
      </c>
      <c r="F159" s="137">
        <f>'DOE25'!J499</f>
        <v>0</v>
      </c>
      <c r="G159" s="138">
        <f t="shared" si="0"/>
        <v>297000</v>
      </c>
    </row>
    <row r="160" spans="1:9" x14ac:dyDescent="0.2">
      <c r="A160" s="22" t="s">
        <v>36</v>
      </c>
      <c r="B160" s="137">
        <f>'DOE25'!F500</f>
        <v>8910</v>
      </c>
      <c r="C160" s="137">
        <f>'DOE25'!G500</f>
        <v>0</v>
      </c>
      <c r="D160" s="137">
        <f>'DOE25'!H500</f>
        <v>0</v>
      </c>
      <c r="E160" s="137">
        <f>'DOE25'!I500</f>
        <v>0</v>
      </c>
      <c r="F160" s="137">
        <f>'DOE25'!J500</f>
        <v>0</v>
      </c>
      <c r="G160" s="138">
        <f t="shared" si="0"/>
        <v>8910</v>
      </c>
    </row>
    <row r="161" spans="1:7" x14ac:dyDescent="0.2">
      <c r="A161" s="22" t="s">
        <v>37</v>
      </c>
      <c r="B161" s="137">
        <f>'DOE25'!F501</f>
        <v>305910</v>
      </c>
      <c r="C161" s="137">
        <f>'DOE25'!G501</f>
        <v>0</v>
      </c>
      <c r="D161" s="137">
        <f>'DOE25'!H501</f>
        <v>0</v>
      </c>
      <c r="E161" s="137">
        <f>'DOE25'!I501</f>
        <v>0</v>
      </c>
      <c r="F161" s="137">
        <f>'DOE25'!J501</f>
        <v>0</v>
      </c>
      <c r="G161" s="138">
        <f t="shared" si="0"/>
        <v>305910</v>
      </c>
    </row>
    <row r="162" spans="1:7" x14ac:dyDescent="0.2">
      <c r="A162" s="22" t="s">
        <v>38</v>
      </c>
      <c r="B162" s="137">
        <f>'DOE25'!F502</f>
        <v>99000</v>
      </c>
      <c r="C162" s="137">
        <f>'DOE25'!G502</f>
        <v>0</v>
      </c>
      <c r="D162" s="137">
        <f>'DOE25'!H502</f>
        <v>0</v>
      </c>
      <c r="E162" s="137">
        <f>'DOE25'!I502</f>
        <v>0</v>
      </c>
      <c r="F162" s="137">
        <f>'DOE25'!J502</f>
        <v>0</v>
      </c>
      <c r="G162" s="138">
        <f t="shared" si="0"/>
        <v>99000</v>
      </c>
    </row>
    <row r="163" spans="1:7" x14ac:dyDescent="0.2">
      <c r="A163" s="22" t="s">
        <v>39</v>
      </c>
      <c r="B163" s="137">
        <f>'DOE25'!F503</f>
        <v>4950</v>
      </c>
      <c r="C163" s="137">
        <f>'DOE25'!G503</f>
        <v>0</v>
      </c>
      <c r="D163" s="137">
        <f>'DOE25'!H503</f>
        <v>0</v>
      </c>
      <c r="E163" s="137">
        <f>'DOE25'!I503</f>
        <v>0</v>
      </c>
      <c r="F163" s="137">
        <f>'DOE25'!J503</f>
        <v>0</v>
      </c>
      <c r="G163" s="138">
        <f t="shared" si="0"/>
        <v>4950</v>
      </c>
    </row>
    <row r="164" spans="1:7" x14ac:dyDescent="0.2">
      <c r="A164" s="22" t="s">
        <v>246</v>
      </c>
      <c r="B164" s="137">
        <f>'DOE25'!F504</f>
        <v>103950</v>
      </c>
      <c r="C164" s="137">
        <f>'DOE25'!G504</f>
        <v>0</v>
      </c>
      <c r="D164" s="137">
        <f>'DOE25'!H504</f>
        <v>0</v>
      </c>
      <c r="E164" s="137">
        <f>'DOE25'!I504</f>
        <v>0</v>
      </c>
      <c r="F164" s="137">
        <f>'DOE25'!J504</f>
        <v>0</v>
      </c>
      <c r="G164" s="138">
        <f t="shared" si="0"/>
        <v>103950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Milan</v>
      </c>
    </row>
    <row r="3" spans="1:4" x14ac:dyDescent="0.2">
      <c r="B3" s="188" t="s">
        <v>1587</v>
      </c>
    </row>
    <row r="4" spans="1:4" x14ac:dyDescent="0.2">
      <c r="B4" t="s">
        <v>61</v>
      </c>
      <c r="C4" s="179">
        <f>IF('DOE25'!F666+'DOE25'!F671=0,0,ROUND('DOE25'!F673,0))</f>
        <v>13739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13739</v>
      </c>
    </row>
    <row r="9" spans="1:4" x14ac:dyDescent="0.2">
      <c r="A9" s="187" t="s">
        <v>94</v>
      </c>
      <c r="B9" s="188" t="s">
        <v>1588</v>
      </c>
      <c r="C9" s="181" t="s">
        <v>720</v>
      </c>
      <c r="D9" s="181" t="s">
        <v>721</v>
      </c>
    </row>
    <row r="10" spans="1:4" x14ac:dyDescent="0.2">
      <c r="A10">
        <v>1100</v>
      </c>
      <c r="B10" t="s">
        <v>702</v>
      </c>
      <c r="C10" s="179">
        <f>ROUND('DOE25'!L198+'DOE25'!L216+'DOE25'!L234+'DOE25'!L277+'DOE25'!L296+'DOE25'!L315,0)</f>
        <v>2056540</v>
      </c>
      <c r="D10" s="182">
        <f>ROUND((C10/$C$28)*100,1)</f>
        <v>59.1</v>
      </c>
    </row>
    <row r="11" spans="1:4" x14ac:dyDescent="0.2">
      <c r="A11">
        <v>1200</v>
      </c>
      <c r="B11" t="s">
        <v>703</v>
      </c>
      <c r="C11" s="179">
        <f>ROUND('DOE25'!L199+'DOE25'!L217+'DOE25'!L235+'DOE25'!L278+'DOE25'!L297+'DOE25'!L316,0)</f>
        <v>294412</v>
      </c>
      <c r="D11" s="182">
        <f>ROUND((C11/$C$28)*100,1)</f>
        <v>8.5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16730</v>
      </c>
      <c r="D13" s="182">
        <f>ROUND((C13/$C$28)*100,1)</f>
        <v>0.5</v>
      </c>
    </row>
    <row r="14" spans="1:4" x14ac:dyDescent="0.2">
      <c r="D14" s="182"/>
    </row>
    <row r="15" spans="1:4" x14ac:dyDescent="0.2">
      <c r="A15">
        <v>2100</v>
      </c>
      <c r="B15" t="s">
        <v>706</v>
      </c>
      <c r="C15" s="179">
        <f>ROUND('DOE25'!L203+'DOE25'!L221+'DOE25'!L239+'DOE25'!L282+'DOE25'!L301+'DOE25'!L320,0)</f>
        <v>240718</v>
      </c>
      <c r="D15" s="182">
        <f t="shared" ref="D15:D27" si="0">ROUND((C15/$C$28)*100,1)</f>
        <v>6.9</v>
      </c>
    </row>
    <row r="16" spans="1:4" x14ac:dyDescent="0.2">
      <c r="A16">
        <v>2200</v>
      </c>
      <c r="B16" t="s">
        <v>707</v>
      </c>
      <c r="C16" s="179">
        <f>ROUND('DOE25'!L204+'DOE25'!L222+'DOE25'!L240+'DOE25'!L283+'DOE25'!L302+'DOE25'!L321,0)</f>
        <v>46071</v>
      </c>
      <c r="D16" s="182">
        <f t="shared" si="0"/>
        <v>1.3</v>
      </c>
    </row>
    <row r="17" spans="1:4" x14ac:dyDescent="0.2">
      <c r="A17" s="183" t="s">
        <v>723</v>
      </c>
      <c r="B17" t="s">
        <v>738</v>
      </c>
      <c r="C17" s="179">
        <f>ROUND('DOE25'!L205+'DOE25'!L210+'DOE25'!L223+'DOE25'!L228+'DOE25'!L241+'DOE25'!L246+'DOE25'!L284+'DOE25'!L289+'DOE25'!L303+'DOE25'!L308+'DOE25'!L322+'DOE25'!L327,0)</f>
        <v>155785</v>
      </c>
      <c r="D17" s="182">
        <f t="shared" si="0"/>
        <v>4.5</v>
      </c>
    </row>
    <row r="18" spans="1:4" x14ac:dyDescent="0.2">
      <c r="A18">
        <v>2400</v>
      </c>
      <c r="B18" t="s">
        <v>711</v>
      </c>
      <c r="C18" s="179">
        <f>ROUND('DOE25'!L206+'DOE25'!L224+'DOE25'!L242+'DOE25'!L285+'DOE25'!L304+'DOE25'!L323,0)</f>
        <v>148432</v>
      </c>
      <c r="D18" s="182">
        <f t="shared" si="0"/>
        <v>4.3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196765</v>
      </c>
      <c r="D20" s="182">
        <f t="shared" si="0"/>
        <v>5.7</v>
      </c>
    </row>
    <row r="21" spans="1:4" x14ac:dyDescent="0.2">
      <c r="A21">
        <v>2700</v>
      </c>
      <c r="B21" t="s">
        <v>710</v>
      </c>
      <c r="C21" s="179">
        <f>ROUND('DOE25'!L209+'DOE25'!L227+'DOE25'!L245+'DOE25'!L288+'DOE25'!L307+'DOE25'!L326,0)</f>
        <v>230795</v>
      </c>
      <c r="D21" s="182">
        <f t="shared" si="0"/>
        <v>6.6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7020</v>
      </c>
      <c r="D24" s="182">
        <f t="shared" si="0"/>
        <v>0.2</v>
      </c>
    </row>
    <row r="25" spans="1:4" x14ac:dyDescent="0.2">
      <c r="A25">
        <v>5120</v>
      </c>
      <c r="B25" t="s">
        <v>716</v>
      </c>
      <c r="C25" s="179">
        <f>ROUND('DOE25'!L262+'DOE25'!L343,0)</f>
        <v>7139</v>
      </c>
      <c r="D25" s="182">
        <f t="shared" si="0"/>
        <v>0.2</v>
      </c>
    </row>
    <row r="26" spans="1:4" x14ac:dyDescent="0.2">
      <c r="A26" s="183" t="s">
        <v>717</v>
      </c>
      <c r="B26" t="s">
        <v>718</v>
      </c>
      <c r="C26" s="179">
        <f>'DOE25'!L269+'DOE25'!L270+'DOE25'!L350+'DOE25'!L351</f>
        <v>17626.63</v>
      </c>
      <c r="D26" s="182">
        <f t="shared" si="0"/>
        <v>0.5</v>
      </c>
    </row>
    <row r="27" spans="1:4" x14ac:dyDescent="0.2">
      <c r="A27">
        <v>3100</v>
      </c>
      <c r="B27" t="s">
        <v>11</v>
      </c>
      <c r="C27" s="179">
        <f>ROUND('DOE25'!L363-'DOE25'!L362,0)-SUM('DOE25'!G97:G110)</f>
        <v>59139.9</v>
      </c>
      <c r="D27" s="182">
        <f t="shared" si="0"/>
        <v>1.7</v>
      </c>
    </row>
    <row r="28" spans="1:4" x14ac:dyDescent="0.2">
      <c r="B28" s="187" t="s">
        <v>719</v>
      </c>
      <c r="C28" s="180">
        <f>SUM(C10:C27)</f>
        <v>3477173.53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3477173.53</v>
      </c>
    </row>
    <row r="31" spans="1:4" x14ac:dyDescent="0.2">
      <c r="B31" s="33"/>
      <c r="C31" s="180"/>
    </row>
    <row r="32" spans="1:4" x14ac:dyDescent="0.2">
      <c r="A32">
        <v>5100</v>
      </c>
      <c r="B32" s="33" t="s">
        <v>726</v>
      </c>
      <c r="C32" s="180">
        <f>ROUND('DOE25'!L261+'DOE25'!L342,0)</f>
        <v>99000</v>
      </c>
    </row>
    <row r="34" spans="1:4" x14ac:dyDescent="0.2">
      <c r="A34" s="187" t="s">
        <v>94</v>
      </c>
      <c r="B34" s="188" t="s">
        <v>1589</v>
      </c>
      <c r="C34" s="181" t="s">
        <v>720</v>
      </c>
      <c r="D34" s="181" t="s">
        <v>721</v>
      </c>
    </row>
    <row r="35" spans="1:4" x14ac:dyDescent="0.2">
      <c r="A35">
        <v>1100</v>
      </c>
      <c r="B35" s="185" t="s">
        <v>727</v>
      </c>
      <c r="C35" s="179">
        <f>ROUND('DOE25'!F60+'DOE25'!G60+'DOE25'!H60+'DOE25'!I60+'DOE25'!J60,0)</f>
        <v>1707202</v>
      </c>
      <c r="D35" s="182">
        <f t="shared" ref="D35:D40" si="1">ROUND((C35/$C$41)*100,1)</f>
        <v>46.5</v>
      </c>
    </row>
    <row r="36" spans="1:4" x14ac:dyDescent="0.2">
      <c r="B36" s="185" t="s">
        <v>739</v>
      </c>
      <c r="C36" s="179">
        <f>SUM('DOE25'!F112:J112)-SUM('DOE25'!G97:G110)+('DOE25'!F175+'DOE25'!F176+'DOE25'!I175+'DOE25'!I176)-C35</f>
        <v>254637.32999999984</v>
      </c>
      <c r="D36" s="182">
        <f t="shared" si="1"/>
        <v>6.9</v>
      </c>
    </row>
    <row r="37" spans="1:4" x14ac:dyDescent="0.2">
      <c r="A37" s="183" t="s">
        <v>835</v>
      </c>
      <c r="B37" s="185" t="s">
        <v>728</v>
      </c>
      <c r="C37" s="179">
        <f>ROUND('DOE25'!F117+'DOE25'!F118,0)</f>
        <v>1529473</v>
      </c>
      <c r="D37" s="182">
        <f t="shared" si="1"/>
        <v>41.7</v>
      </c>
    </row>
    <row r="38" spans="1:4" x14ac:dyDescent="0.2">
      <c r="A38" s="183" t="s">
        <v>734</v>
      </c>
      <c r="B38" s="185" t="s">
        <v>729</v>
      </c>
      <c r="C38" s="179">
        <f>ROUND(SUM('DOE25'!F140:J140)-SUM('DOE25'!F117:F119),0)</f>
        <v>9060</v>
      </c>
      <c r="D38" s="182">
        <f t="shared" si="1"/>
        <v>0.2</v>
      </c>
    </row>
    <row r="39" spans="1:4" x14ac:dyDescent="0.2">
      <c r="A39">
        <v>4000</v>
      </c>
      <c r="B39" s="185" t="s">
        <v>730</v>
      </c>
      <c r="C39" s="179">
        <f>ROUND('DOE25'!F170+'DOE25'!G170+'DOE25'!H170+'DOE25'!I170,0)</f>
        <v>170956</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3671328.33</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7" sqref="C17:M17"/>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Milan</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v>1</v>
      </c>
      <c r="B4" s="219" t="s">
        <v>1644</v>
      </c>
      <c r="C4" s="356" t="s">
        <v>1645</v>
      </c>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v>1</v>
      </c>
      <c r="B5" s="219" t="s">
        <v>1646</v>
      </c>
      <c r="C5" s="356" t="s">
        <v>1647</v>
      </c>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v>7</v>
      </c>
      <c r="B6" s="219">
        <v>10</v>
      </c>
      <c r="C6" s="356" t="s">
        <v>1648</v>
      </c>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v>17</v>
      </c>
      <c r="B7" s="219">
        <v>3</v>
      </c>
      <c r="C7" s="356" t="s">
        <v>1649</v>
      </c>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v>18</v>
      </c>
      <c r="B8" s="219" t="s">
        <v>1650</v>
      </c>
      <c r="C8" s="356" t="s">
        <v>1651</v>
      </c>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v>19</v>
      </c>
      <c r="B9" s="219">
        <v>5</v>
      </c>
      <c r="C9" s="356" t="s">
        <v>1652</v>
      </c>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v>1</v>
      </c>
      <c r="B11" s="219">
        <v>13</v>
      </c>
      <c r="C11" s="356" t="s">
        <v>1653</v>
      </c>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v>15</v>
      </c>
      <c r="B12" s="219">
        <v>1</v>
      </c>
      <c r="C12" s="356" t="s">
        <v>1654</v>
      </c>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v>19</v>
      </c>
      <c r="B13" s="219" t="s">
        <v>1655</v>
      </c>
      <c r="C13" s="356" t="s">
        <v>1656</v>
      </c>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t="s">
        <v>1657</v>
      </c>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t="s">
        <v>1658</v>
      </c>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2020-11-20T15:25:55Z</cp:lastPrinted>
  <dcterms:created xsi:type="dcterms:W3CDTF">1997-12-04T19:04:30Z</dcterms:created>
  <dcterms:modified xsi:type="dcterms:W3CDTF">2020-11-20T15:26:06Z</dcterms:modified>
</cp:coreProperties>
</file>